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esitzer\Documents\SeniorenDerWirtschaft\Finanzplanung\neuesete Version\"/>
    </mc:Choice>
  </mc:AlternateContent>
  <bookViews>
    <workbookView xWindow="0" yWindow="0" windowWidth="28800" windowHeight="11835" tabRatio="815"/>
  </bookViews>
  <sheets>
    <sheet name="Deckblatt|Cover" sheetId="1" r:id="rId1"/>
    <sheet name="Vorwort|Preface" sheetId="12" r:id="rId2"/>
    <sheet name="Deckblatt Gruender|Data Founder" sheetId="13" r:id="rId3"/>
    <sheet name="1 Pers.Ausgaben|Pers Expenses" sheetId="2" r:id="rId4"/>
    <sheet name="2  Umsatz|Sales" sheetId="14" r:id="rId5"/>
    <sheet name="3 Anschaffungen|Investment" sheetId="6" r:id="rId6"/>
    <sheet name="4  Betriebskosten|Operation Ex" sheetId="4" r:id="rId7"/>
    <sheet name="5  Rentabilitaet|Profit" sheetId="18" r:id="rId8"/>
    <sheet name="6  Liquiditaet|Liquidity" sheetId="17" r:id="rId9"/>
    <sheet name="7 Finanzierung|Financing" sheetId="16" r:id="rId10"/>
    <sheet name=" Cockpit-Chart" sheetId="27" r:id="rId11"/>
  </sheets>
  <definedNames>
    <definedName name="_ftn1" localSheetId="1">'Vorwort|Preface'!$CX$15</definedName>
    <definedName name="_ftnref1" localSheetId="1">'Vorwort|Preface'!$CX$11</definedName>
    <definedName name="_xlnm.Print_Area" localSheetId="10">' Cockpit-Chart'!$A$1:$W$57</definedName>
    <definedName name="_xlnm.Print_Area" localSheetId="3">'1 Pers.Ausgaben|Pers Expenses'!$B$48:$P$104</definedName>
    <definedName name="_xlnm.Print_Area" localSheetId="4">'2  Umsatz|Sales'!$B$1:$Q$125</definedName>
    <definedName name="_xlnm.Print_Area" localSheetId="5">'3 Anschaffungen|Investment'!$B$1:$P$56</definedName>
    <definedName name="_xlnm.Print_Area" localSheetId="6">'4  Betriebskosten|Operation Ex'!$B$1:$P$223</definedName>
    <definedName name="_xlnm.Print_Area" localSheetId="7">'5  Rentabilitaet|Profit'!$C$1:$P$62</definedName>
    <definedName name="_xlnm.Print_Area" localSheetId="8">'6  Liquiditaet|Liquidity'!$B$1:$P$112</definedName>
    <definedName name="_xlnm.Print_Area" localSheetId="9">'7 Finanzierung|Financing'!$B$1:$P$61</definedName>
    <definedName name="_xlnm.Print_Area" localSheetId="2">'Deckblatt Gruender|Data Founder'!$A$5:$K$27</definedName>
    <definedName name="_xlnm.Print_Area" localSheetId="0">'Deckblatt|Cover'!$A$1:$K$30</definedName>
    <definedName name="_xlnm.Print_Area" localSheetId="1">'Vorwort|Preface'!$B$1:$Q$32</definedName>
    <definedName name="_xlnm.Print_Titles" localSheetId="3">'1 Pers.Ausgaben|Pers Expenses'!$1:$1</definedName>
    <definedName name="_xlnm.Print_Titles" localSheetId="4">'2  Umsatz|Sales'!$1:$1</definedName>
    <definedName name="_xlnm.Print_Titles" localSheetId="5">'3 Anschaffungen|Investment'!$1:$1</definedName>
    <definedName name="_xlnm.Print_Titles" localSheetId="6">'4  Betriebskosten|Operation Ex'!$1:$1</definedName>
    <definedName name="_xlnm.Print_Titles" localSheetId="7">'5  Rentabilitaet|Profit'!$1:$1</definedName>
    <definedName name="_xlnm.Print_Titles" localSheetId="8">'6  Liquiditaet|Liquidity'!$1:$1</definedName>
    <definedName name="_xlnm.Print_Titles" localSheetId="9">'7 Finanzierung|Financing'!$1:$1</definedName>
    <definedName name="_xlnm.Print_Titles" localSheetId="2">'Deckblatt Gruender|Data Founder'!$5:$5</definedName>
    <definedName name="_xlnm.Print_Titles" localSheetId="1">'Vorwort|Preface'!$1:$1</definedName>
  </definedNames>
  <calcPr calcId="152511"/>
</workbook>
</file>

<file path=xl/calcChain.xml><?xml version="1.0" encoding="utf-8"?>
<calcChain xmlns="http://schemas.openxmlformats.org/spreadsheetml/2006/main">
  <c r="D9" i="17" l="1"/>
  <c r="H45" i="17"/>
  <c r="F46" i="17"/>
  <c r="E46" i="17"/>
  <c r="D46" i="17"/>
  <c r="F45" i="17"/>
  <c r="D45" i="17"/>
  <c r="D59" i="17"/>
  <c r="AZ171" i="4" l="1"/>
  <c r="BM25" i="4"/>
  <c r="BC25" i="4"/>
  <c r="BD25" i="4"/>
  <c r="BE25" i="4"/>
  <c r="BF25" i="4"/>
  <c r="BG25" i="4"/>
  <c r="BH25" i="4"/>
  <c r="BI25" i="4"/>
  <c r="BJ25" i="4"/>
  <c r="BK25" i="4"/>
  <c r="BL25" i="4"/>
  <c r="BN25" i="4"/>
  <c r="Q215" i="4"/>
  <c r="CF171" i="4"/>
  <c r="BO171" i="4"/>
  <c r="C2" i="2" l="1"/>
  <c r="C4" i="2" s="1"/>
  <c r="X11" i="6"/>
  <c r="X10" i="6"/>
  <c r="Y16" i="6"/>
  <c r="F371" i="6"/>
  <c r="X371" i="6"/>
  <c r="X375" i="6"/>
  <c r="G54" i="17"/>
  <c r="Y15" i="6"/>
  <c r="W371" i="6"/>
  <c r="W375" i="6"/>
  <c r="F54" i="17"/>
  <c r="Y14" i="6"/>
  <c r="V371" i="6"/>
  <c r="V375" i="6"/>
  <c r="E54" i="17"/>
  <c r="Y13" i="6"/>
  <c r="U371" i="6"/>
  <c r="U375" i="6"/>
  <c r="D54" i="17"/>
  <c r="Y17" i="6"/>
  <c r="Y371" i="6"/>
  <c r="Y375" i="6"/>
  <c r="H54" i="17"/>
  <c r="Y24" i="6"/>
  <c r="AF371" i="6"/>
  <c r="AF375" i="6"/>
  <c r="O54" i="17"/>
  <c r="Y23" i="6"/>
  <c r="AE371" i="6"/>
  <c r="AE375" i="6"/>
  <c r="N54" i="17"/>
  <c r="Y22" i="6"/>
  <c r="AD371" i="6"/>
  <c r="AD375" i="6"/>
  <c r="M54" i="17"/>
  <c r="Y21" i="6"/>
  <c r="AC371" i="6"/>
  <c r="AC375" i="6"/>
  <c r="L54" i="17"/>
  <c r="Y20" i="6"/>
  <c r="AB371" i="6"/>
  <c r="AB375" i="6"/>
  <c r="K54" i="17"/>
  <c r="Y19" i="6"/>
  <c r="AA371" i="6"/>
  <c r="AA375" i="6"/>
  <c r="J54" i="17"/>
  <c r="Y18" i="6"/>
  <c r="Z371" i="6"/>
  <c r="Z375" i="6"/>
  <c r="I54" i="17"/>
  <c r="AD11" i="6"/>
  <c r="AD12" i="6"/>
  <c r="AE13" i="6"/>
  <c r="AB11" i="6"/>
  <c r="AB7" i="6"/>
  <c r="AC13" i="6"/>
  <c r="AE24" i="6"/>
  <c r="AC24" i="6"/>
  <c r="Z11" i="6"/>
  <c r="Z9" i="6"/>
  <c r="AA24" i="6"/>
  <c r="AE11" i="6"/>
  <c r="AE23" i="6"/>
  <c r="AC23" i="6"/>
  <c r="AA23" i="6"/>
  <c r="AE22" i="6"/>
  <c r="AC22" i="6"/>
  <c r="AA22" i="6"/>
  <c r="AE21" i="6"/>
  <c r="AC21" i="6"/>
  <c r="AA21" i="6"/>
  <c r="AE20" i="6"/>
  <c r="AC20" i="6"/>
  <c r="AA20" i="6"/>
  <c r="AE19" i="6"/>
  <c r="AC19" i="6"/>
  <c r="AA19" i="6"/>
  <c r="AE18" i="6"/>
  <c r="AC18" i="6"/>
  <c r="AA18" i="6"/>
  <c r="AE17" i="6"/>
  <c r="AC17" i="6"/>
  <c r="AA17" i="6"/>
  <c r="AE16" i="6"/>
  <c r="AC16" i="6"/>
  <c r="AA16" i="6"/>
  <c r="AE15" i="6"/>
  <c r="AC15" i="6"/>
  <c r="AA15" i="6"/>
  <c r="AE14" i="6"/>
  <c r="AC14" i="6"/>
  <c r="AA14" i="6"/>
  <c r="T357" i="6"/>
  <c r="I430" i="6"/>
  <c r="N430" i="6"/>
  <c r="O430" i="6"/>
  <c r="M430" i="6"/>
  <c r="L430" i="6"/>
  <c r="K430" i="6"/>
  <c r="J430" i="6"/>
  <c r="T356" i="6"/>
  <c r="I429" i="6"/>
  <c r="N429" i="6"/>
  <c r="O429" i="6"/>
  <c r="M429" i="6"/>
  <c r="L429" i="6"/>
  <c r="K429" i="6"/>
  <c r="J429" i="6"/>
  <c r="T355" i="6"/>
  <c r="I428" i="6"/>
  <c r="N428" i="6"/>
  <c r="O428" i="6"/>
  <c r="M428" i="6"/>
  <c r="L428" i="6"/>
  <c r="K428" i="6"/>
  <c r="J428" i="6"/>
  <c r="T354" i="6"/>
  <c r="I427" i="6"/>
  <c r="N427" i="6"/>
  <c r="O427" i="6"/>
  <c r="M427" i="6"/>
  <c r="L427" i="6"/>
  <c r="K427" i="6"/>
  <c r="J427" i="6"/>
  <c r="T353" i="6"/>
  <c r="I426" i="6"/>
  <c r="N426" i="6"/>
  <c r="O426" i="6"/>
  <c r="M426" i="6"/>
  <c r="L426" i="6"/>
  <c r="K426" i="6"/>
  <c r="J426" i="6"/>
  <c r="T352" i="6"/>
  <c r="I425" i="6"/>
  <c r="N425" i="6"/>
  <c r="O425" i="6"/>
  <c r="M425" i="6"/>
  <c r="L425" i="6"/>
  <c r="K425" i="6"/>
  <c r="J425" i="6"/>
  <c r="T351" i="6"/>
  <c r="I424" i="6"/>
  <c r="N424" i="6"/>
  <c r="O424" i="6"/>
  <c r="M424" i="6"/>
  <c r="L424" i="6"/>
  <c r="K424" i="6"/>
  <c r="J424" i="6"/>
  <c r="M420" i="6"/>
  <c r="O420" i="6"/>
  <c r="N420" i="6"/>
  <c r="L420" i="6"/>
  <c r="K420" i="6"/>
  <c r="J420" i="6"/>
  <c r="N357" i="6"/>
  <c r="H419" i="6"/>
  <c r="M419" i="6"/>
  <c r="O419" i="6"/>
  <c r="S357" i="6"/>
  <c r="I419" i="6"/>
  <c r="N419" i="6"/>
  <c r="L419" i="6"/>
  <c r="K419" i="6"/>
  <c r="J419" i="6"/>
  <c r="N356" i="6"/>
  <c r="H418" i="6"/>
  <c r="M418" i="6"/>
  <c r="O418" i="6"/>
  <c r="S356" i="6"/>
  <c r="I418" i="6"/>
  <c r="N418" i="6"/>
  <c r="L418" i="6"/>
  <c r="K418" i="6"/>
  <c r="J418" i="6"/>
  <c r="N355" i="6"/>
  <c r="H417" i="6"/>
  <c r="M417" i="6"/>
  <c r="O417" i="6"/>
  <c r="S355" i="6"/>
  <c r="I417" i="6"/>
  <c r="N417" i="6"/>
  <c r="L417" i="6"/>
  <c r="K417" i="6"/>
  <c r="J417" i="6"/>
  <c r="N354" i="6"/>
  <c r="H416" i="6"/>
  <c r="M416" i="6"/>
  <c r="O416" i="6"/>
  <c r="S354" i="6"/>
  <c r="I416" i="6"/>
  <c r="N416" i="6"/>
  <c r="L416" i="6"/>
  <c r="K416" i="6"/>
  <c r="J416" i="6"/>
  <c r="N353" i="6"/>
  <c r="H415" i="6"/>
  <c r="M415" i="6"/>
  <c r="O415" i="6"/>
  <c r="S353" i="6"/>
  <c r="I415" i="6"/>
  <c r="N415" i="6"/>
  <c r="L415" i="6"/>
  <c r="K415" i="6"/>
  <c r="J415" i="6"/>
  <c r="N352" i="6"/>
  <c r="H414" i="6"/>
  <c r="M414" i="6"/>
  <c r="O414" i="6"/>
  <c r="S352" i="6"/>
  <c r="I414" i="6"/>
  <c r="N414" i="6"/>
  <c r="L414" i="6"/>
  <c r="K414" i="6"/>
  <c r="J414" i="6"/>
  <c r="N351" i="6"/>
  <c r="H413" i="6"/>
  <c r="M413" i="6"/>
  <c r="O413" i="6"/>
  <c r="S351" i="6"/>
  <c r="I413" i="6"/>
  <c r="N413" i="6"/>
  <c r="L413" i="6"/>
  <c r="K413" i="6"/>
  <c r="J413" i="6"/>
  <c r="L409" i="6"/>
  <c r="O409" i="6"/>
  <c r="N409" i="6"/>
  <c r="M409" i="6"/>
  <c r="K409" i="6"/>
  <c r="J409" i="6"/>
  <c r="J357" i="6"/>
  <c r="G408" i="6"/>
  <c r="L408" i="6"/>
  <c r="O408" i="6"/>
  <c r="R357" i="6"/>
  <c r="I408" i="6"/>
  <c r="N408" i="6"/>
  <c r="M357" i="6"/>
  <c r="H408" i="6"/>
  <c r="M408" i="6"/>
  <c r="K408" i="6"/>
  <c r="J408" i="6"/>
  <c r="J356" i="6"/>
  <c r="G407" i="6"/>
  <c r="L407" i="6"/>
  <c r="O407" i="6"/>
  <c r="R356" i="6"/>
  <c r="I407" i="6"/>
  <c r="N407" i="6"/>
  <c r="M356" i="6"/>
  <c r="H407" i="6"/>
  <c r="M407" i="6"/>
  <c r="K407" i="6"/>
  <c r="J407" i="6"/>
  <c r="J355" i="6"/>
  <c r="G406" i="6"/>
  <c r="L406" i="6"/>
  <c r="O406" i="6"/>
  <c r="R355" i="6"/>
  <c r="I406" i="6"/>
  <c r="N406" i="6"/>
  <c r="M355" i="6"/>
  <c r="H406" i="6"/>
  <c r="M406" i="6"/>
  <c r="K406" i="6"/>
  <c r="J406" i="6"/>
  <c r="J354" i="6"/>
  <c r="G405" i="6"/>
  <c r="L405" i="6"/>
  <c r="O405" i="6"/>
  <c r="R354" i="6"/>
  <c r="I405" i="6"/>
  <c r="N405" i="6"/>
  <c r="M354" i="6"/>
  <c r="H405" i="6"/>
  <c r="M405" i="6"/>
  <c r="K405" i="6"/>
  <c r="J405" i="6"/>
  <c r="J353" i="6"/>
  <c r="G404" i="6"/>
  <c r="L404" i="6"/>
  <c r="O404" i="6"/>
  <c r="R353" i="6"/>
  <c r="I404" i="6"/>
  <c r="N404" i="6"/>
  <c r="M353" i="6"/>
  <c r="H404" i="6"/>
  <c r="M404" i="6"/>
  <c r="K404" i="6"/>
  <c r="J404" i="6"/>
  <c r="J352" i="6"/>
  <c r="G403" i="6"/>
  <c r="L403" i="6"/>
  <c r="O403" i="6"/>
  <c r="R352" i="6"/>
  <c r="I403" i="6"/>
  <c r="N403" i="6"/>
  <c r="M352" i="6"/>
  <c r="H403" i="6"/>
  <c r="M403" i="6"/>
  <c r="K403" i="6"/>
  <c r="J403" i="6"/>
  <c r="J351" i="6"/>
  <c r="G402" i="6"/>
  <c r="L402" i="6"/>
  <c r="O402" i="6"/>
  <c r="R351" i="6"/>
  <c r="I402" i="6"/>
  <c r="N402" i="6"/>
  <c r="M351" i="6"/>
  <c r="H402" i="6"/>
  <c r="M402" i="6"/>
  <c r="K402" i="6"/>
  <c r="J402" i="6"/>
  <c r="K398" i="6"/>
  <c r="O398" i="6"/>
  <c r="N398" i="6"/>
  <c r="M398" i="6"/>
  <c r="L398" i="6"/>
  <c r="J398" i="6"/>
  <c r="G357" i="6"/>
  <c r="F397" i="6"/>
  <c r="K397" i="6"/>
  <c r="O397" i="6"/>
  <c r="P357" i="6"/>
  <c r="I397" i="6"/>
  <c r="N397" i="6"/>
  <c r="H397" i="6"/>
  <c r="M397" i="6"/>
  <c r="L357" i="6"/>
  <c r="G397" i="6"/>
  <c r="L397" i="6"/>
  <c r="J397" i="6"/>
  <c r="G356" i="6"/>
  <c r="F396" i="6"/>
  <c r="K396" i="6"/>
  <c r="O396" i="6"/>
  <c r="P356" i="6"/>
  <c r="I396" i="6"/>
  <c r="N396" i="6"/>
  <c r="H396" i="6"/>
  <c r="M396" i="6"/>
  <c r="L356" i="6"/>
  <c r="G396" i="6"/>
  <c r="L396" i="6"/>
  <c r="J396" i="6"/>
  <c r="G355" i="6"/>
  <c r="F395" i="6"/>
  <c r="K395" i="6"/>
  <c r="O395" i="6"/>
  <c r="P355" i="6"/>
  <c r="I395" i="6"/>
  <c r="N395" i="6"/>
  <c r="H395" i="6"/>
  <c r="M395" i="6"/>
  <c r="L355" i="6"/>
  <c r="G395" i="6"/>
  <c r="L395" i="6"/>
  <c r="J395" i="6"/>
  <c r="G354" i="6"/>
  <c r="F394" i="6"/>
  <c r="K394" i="6"/>
  <c r="O394" i="6"/>
  <c r="P354" i="6"/>
  <c r="I394" i="6"/>
  <c r="N394" i="6"/>
  <c r="H394" i="6"/>
  <c r="M394" i="6"/>
  <c r="L354" i="6"/>
  <c r="G394" i="6"/>
  <c r="L394" i="6"/>
  <c r="J394" i="6"/>
  <c r="G353" i="6"/>
  <c r="F393" i="6"/>
  <c r="K393" i="6"/>
  <c r="O393" i="6"/>
  <c r="P353" i="6"/>
  <c r="I393" i="6"/>
  <c r="N393" i="6"/>
  <c r="H393" i="6"/>
  <c r="M393" i="6"/>
  <c r="L353" i="6"/>
  <c r="G393" i="6"/>
  <c r="L393" i="6"/>
  <c r="J393" i="6"/>
  <c r="G352" i="6"/>
  <c r="F392" i="6"/>
  <c r="K392" i="6"/>
  <c r="O392" i="6"/>
  <c r="P352" i="6"/>
  <c r="I392" i="6"/>
  <c r="N392" i="6"/>
  <c r="H392" i="6"/>
  <c r="M392" i="6"/>
  <c r="L352" i="6"/>
  <c r="G392" i="6"/>
  <c r="L392" i="6"/>
  <c r="J392" i="6"/>
  <c r="G351" i="6"/>
  <c r="F391" i="6"/>
  <c r="K391" i="6"/>
  <c r="O391" i="6"/>
  <c r="P351" i="6"/>
  <c r="I391" i="6"/>
  <c r="N391" i="6"/>
  <c r="H391" i="6"/>
  <c r="M391" i="6"/>
  <c r="L351" i="6"/>
  <c r="G391" i="6"/>
  <c r="L391" i="6"/>
  <c r="J391" i="6"/>
  <c r="Z388" i="6"/>
  <c r="K13" i="6"/>
  <c r="Y388" i="6"/>
  <c r="I13" i="6"/>
  <c r="X388" i="6"/>
  <c r="W388" i="6"/>
  <c r="E13" i="6"/>
  <c r="V388" i="6"/>
  <c r="J387" i="6"/>
  <c r="O387" i="6"/>
  <c r="N387" i="6"/>
  <c r="M387" i="6"/>
  <c r="L387" i="6"/>
  <c r="K387" i="6"/>
  <c r="E357" i="6"/>
  <c r="E386" i="6"/>
  <c r="J386" i="6"/>
  <c r="O386" i="6"/>
  <c r="O357" i="6"/>
  <c r="I386" i="6"/>
  <c r="N386" i="6"/>
  <c r="K357" i="6"/>
  <c r="H386" i="6"/>
  <c r="M386" i="6"/>
  <c r="H357" i="6"/>
  <c r="G386" i="6"/>
  <c r="L386" i="6"/>
  <c r="F357" i="6"/>
  <c r="F386" i="6"/>
  <c r="K386" i="6"/>
  <c r="E356" i="6"/>
  <c r="E385" i="6"/>
  <c r="J385" i="6"/>
  <c r="O385" i="6"/>
  <c r="O356" i="6"/>
  <c r="I385" i="6"/>
  <c r="N385" i="6"/>
  <c r="K356" i="6"/>
  <c r="H385" i="6"/>
  <c r="M385" i="6"/>
  <c r="H356" i="6"/>
  <c r="G385" i="6"/>
  <c r="L385" i="6"/>
  <c r="F356" i="6"/>
  <c r="F385" i="6"/>
  <c r="K385" i="6"/>
  <c r="E355" i="6"/>
  <c r="E384" i="6"/>
  <c r="J384" i="6"/>
  <c r="O384" i="6"/>
  <c r="O355" i="6"/>
  <c r="I384" i="6"/>
  <c r="N384" i="6"/>
  <c r="K355" i="6"/>
  <c r="H384" i="6"/>
  <c r="M384" i="6"/>
  <c r="H355" i="6"/>
  <c r="G384" i="6"/>
  <c r="L384" i="6"/>
  <c r="F355" i="6"/>
  <c r="F384" i="6"/>
  <c r="K384" i="6"/>
  <c r="E354" i="6"/>
  <c r="E383" i="6"/>
  <c r="J383" i="6"/>
  <c r="O383" i="6"/>
  <c r="O354" i="6"/>
  <c r="I383" i="6"/>
  <c r="N383" i="6"/>
  <c r="K354" i="6"/>
  <c r="H383" i="6"/>
  <c r="M383" i="6"/>
  <c r="H354" i="6"/>
  <c r="G383" i="6"/>
  <c r="L383" i="6"/>
  <c r="F354" i="6"/>
  <c r="F383" i="6"/>
  <c r="K383" i="6"/>
  <c r="E353" i="6"/>
  <c r="E382" i="6"/>
  <c r="J382" i="6"/>
  <c r="O382" i="6"/>
  <c r="O353" i="6"/>
  <c r="I382" i="6"/>
  <c r="N382" i="6"/>
  <c r="K353" i="6"/>
  <c r="H382" i="6"/>
  <c r="M382" i="6"/>
  <c r="H353" i="6"/>
  <c r="G382" i="6"/>
  <c r="L382" i="6"/>
  <c r="F353" i="6"/>
  <c r="F382" i="6"/>
  <c r="K382" i="6"/>
  <c r="E352" i="6"/>
  <c r="E381" i="6"/>
  <c r="J381" i="6"/>
  <c r="O381" i="6"/>
  <c r="O352" i="6"/>
  <c r="I381" i="6"/>
  <c r="N381" i="6"/>
  <c r="K352" i="6"/>
  <c r="H381" i="6"/>
  <c r="M381" i="6"/>
  <c r="H352" i="6"/>
  <c r="G381" i="6"/>
  <c r="L381" i="6"/>
  <c r="F352" i="6"/>
  <c r="F381" i="6"/>
  <c r="K381" i="6"/>
  <c r="E351" i="6"/>
  <c r="E380" i="6"/>
  <c r="J380" i="6"/>
  <c r="O380" i="6"/>
  <c r="O351" i="6"/>
  <c r="I380" i="6"/>
  <c r="N380" i="6"/>
  <c r="K351" i="6"/>
  <c r="H380" i="6"/>
  <c r="M380" i="6"/>
  <c r="H351" i="6"/>
  <c r="G380" i="6"/>
  <c r="L380" i="6"/>
  <c r="F351" i="6"/>
  <c r="F380" i="6"/>
  <c r="K380" i="6"/>
  <c r="I357" i="6"/>
  <c r="I356" i="6"/>
  <c r="I355" i="6"/>
  <c r="I354" i="6"/>
  <c r="I353" i="6"/>
  <c r="I352" i="6"/>
  <c r="I351" i="6"/>
  <c r="I156" i="6"/>
  <c r="I130" i="6"/>
  <c r="I104" i="6"/>
  <c r="G77" i="6"/>
  <c r="H77" i="6"/>
  <c r="O89" i="6"/>
  <c r="N89" i="6"/>
  <c r="M89" i="6"/>
  <c r="L89" i="6"/>
  <c r="K89" i="6"/>
  <c r="J89" i="6"/>
  <c r="I89" i="6"/>
  <c r="H89" i="6"/>
  <c r="G89" i="6"/>
  <c r="F89" i="6"/>
  <c r="E89" i="6"/>
  <c r="D89" i="6"/>
  <c r="H76" i="6"/>
  <c r="O88" i="6"/>
  <c r="N88" i="6"/>
  <c r="M88" i="6"/>
  <c r="L88" i="6"/>
  <c r="K88" i="6"/>
  <c r="J88" i="6"/>
  <c r="I88" i="6"/>
  <c r="H88" i="6"/>
  <c r="G88" i="6"/>
  <c r="F88" i="6"/>
  <c r="E88" i="6"/>
  <c r="D88" i="6"/>
  <c r="H75" i="6"/>
  <c r="O87" i="6"/>
  <c r="N87" i="6"/>
  <c r="M87" i="6"/>
  <c r="L87" i="6"/>
  <c r="K87" i="6"/>
  <c r="J87" i="6"/>
  <c r="I87" i="6"/>
  <c r="H87" i="6"/>
  <c r="G87" i="6"/>
  <c r="F87" i="6"/>
  <c r="E87" i="6"/>
  <c r="D87" i="6"/>
  <c r="H74" i="6"/>
  <c r="O86" i="6"/>
  <c r="N86" i="6"/>
  <c r="M86" i="6"/>
  <c r="L86" i="6"/>
  <c r="K86" i="6"/>
  <c r="J86" i="6"/>
  <c r="I86" i="6"/>
  <c r="H86" i="6"/>
  <c r="G86" i="6"/>
  <c r="F86" i="6"/>
  <c r="E86" i="6"/>
  <c r="D86" i="6"/>
  <c r="G73" i="6"/>
  <c r="H73" i="6"/>
  <c r="F73" i="6"/>
  <c r="E73" i="6"/>
  <c r="O85" i="6"/>
  <c r="D73" i="6"/>
  <c r="I73" i="6"/>
  <c r="N85" i="6"/>
  <c r="M85" i="6"/>
  <c r="L85" i="6"/>
  <c r="K85" i="6"/>
  <c r="J85" i="6"/>
  <c r="I85" i="6"/>
  <c r="H85" i="6"/>
  <c r="G85" i="6"/>
  <c r="F85" i="6"/>
  <c r="E85" i="6"/>
  <c r="D85" i="6"/>
  <c r="H72" i="6"/>
  <c r="F72" i="6"/>
  <c r="E72" i="6"/>
  <c r="O84" i="6"/>
  <c r="N84" i="6"/>
  <c r="M84" i="6"/>
  <c r="L84" i="6"/>
  <c r="K84" i="6"/>
  <c r="J84" i="6"/>
  <c r="I84" i="6"/>
  <c r="H84" i="6"/>
  <c r="G84" i="6"/>
  <c r="F84" i="6"/>
  <c r="E84" i="6"/>
  <c r="D84" i="6"/>
  <c r="H71" i="6"/>
  <c r="F71" i="6"/>
  <c r="E71" i="6"/>
  <c r="O83" i="6"/>
  <c r="N83" i="6"/>
  <c r="M83" i="6"/>
  <c r="L83" i="6"/>
  <c r="K83" i="6"/>
  <c r="J83" i="6"/>
  <c r="I83" i="6"/>
  <c r="H83" i="6"/>
  <c r="G83" i="6"/>
  <c r="F83" i="6"/>
  <c r="E83" i="6"/>
  <c r="D83" i="6"/>
  <c r="I78" i="6"/>
  <c r="F51" i="6"/>
  <c r="AD6" i="6"/>
  <c r="AD7" i="6"/>
  <c r="AD8" i="6"/>
  <c r="AD9" i="6"/>
  <c r="AE6" i="6"/>
  <c r="AE7" i="6"/>
  <c r="AE8" i="6"/>
  <c r="AE9" i="6"/>
  <c r="AD10" i="6"/>
  <c r="AE10" i="6"/>
  <c r="AE12" i="6"/>
  <c r="AB6" i="6"/>
  <c r="AB8" i="6"/>
  <c r="AB9" i="6"/>
  <c r="AC6" i="6"/>
  <c r="AC7" i="6"/>
  <c r="AC8" i="6"/>
  <c r="AC9" i="6"/>
  <c r="AB10" i="6"/>
  <c r="AC10" i="6"/>
  <c r="AC11" i="6"/>
  <c r="AB12" i="6"/>
  <c r="AC12" i="6"/>
  <c r="Z6" i="6"/>
  <c r="Z7" i="6"/>
  <c r="Z8" i="6"/>
  <c r="AA6" i="6"/>
  <c r="AA7" i="6"/>
  <c r="AA8" i="6"/>
  <c r="AA9" i="6"/>
  <c r="Z10" i="6"/>
  <c r="AA10" i="6"/>
  <c r="AA11" i="6"/>
  <c r="Z12" i="6"/>
  <c r="AA12" i="6"/>
  <c r="X12" i="6"/>
  <c r="Y12" i="6"/>
  <c r="V12" i="6"/>
  <c r="W12" i="6"/>
  <c r="Y11" i="6"/>
  <c r="V11" i="6"/>
  <c r="W11" i="6"/>
  <c r="Y10" i="6"/>
  <c r="V10" i="6"/>
  <c r="W10" i="6"/>
  <c r="X9" i="6"/>
  <c r="Y9" i="6"/>
  <c r="V9" i="6"/>
  <c r="W9" i="6"/>
  <c r="X8" i="6"/>
  <c r="Y8" i="6"/>
  <c r="V8" i="6"/>
  <c r="W8" i="6"/>
  <c r="X7" i="6"/>
  <c r="Y7" i="6"/>
  <c r="V7" i="6"/>
  <c r="W7" i="6"/>
  <c r="X6" i="6"/>
  <c r="Y6" i="6"/>
  <c r="V6" i="6"/>
  <c r="W6" i="6"/>
  <c r="H409" i="6"/>
  <c r="I398" i="6"/>
  <c r="H398" i="6"/>
  <c r="G398" i="6"/>
  <c r="I387" i="6"/>
  <c r="H387" i="6"/>
  <c r="G387" i="6"/>
  <c r="F387" i="6"/>
  <c r="AA13" i="6"/>
  <c r="W24" i="6"/>
  <c r="W23" i="6"/>
  <c r="W22" i="6"/>
  <c r="W21" i="6"/>
  <c r="W20" i="6"/>
  <c r="W19" i="6"/>
  <c r="W18" i="6"/>
  <c r="W17" i="6"/>
  <c r="W16" i="6"/>
  <c r="W15" i="6"/>
  <c r="W14" i="6"/>
  <c r="W13" i="6"/>
  <c r="O374" i="6"/>
  <c r="D367" i="6"/>
  <c r="O367" i="6"/>
  <c r="D368" i="6"/>
  <c r="O368" i="6"/>
  <c r="D369" i="6"/>
  <c r="O369" i="6"/>
  <c r="O375" i="6"/>
  <c r="K20" i="17"/>
  <c r="AE25" i="6"/>
  <c r="M14" i="6"/>
  <c r="AC25" i="6"/>
  <c r="K14" i="6"/>
  <c r="AA25" i="6"/>
  <c r="I14" i="6"/>
  <c r="C374" i="6"/>
  <c r="T374" i="6"/>
  <c r="T367" i="6"/>
  <c r="T368" i="6"/>
  <c r="T369" i="6"/>
  <c r="T375" i="6"/>
  <c r="O20" i="17"/>
  <c r="S374" i="6"/>
  <c r="S367" i="6"/>
  <c r="S368" i="6"/>
  <c r="S369" i="6"/>
  <c r="S375" i="6"/>
  <c r="N20" i="17"/>
  <c r="R374" i="6"/>
  <c r="R367" i="6"/>
  <c r="R368" i="6"/>
  <c r="R369" i="6"/>
  <c r="R375" i="6"/>
  <c r="M20" i="17"/>
  <c r="P374" i="6"/>
  <c r="P367" i="6"/>
  <c r="P368" i="6"/>
  <c r="P369" i="6"/>
  <c r="P375" i="6"/>
  <c r="L20" i="17"/>
  <c r="N374" i="6"/>
  <c r="N367" i="6"/>
  <c r="N368" i="6"/>
  <c r="N369" i="6"/>
  <c r="N375" i="6"/>
  <c r="J20" i="17"/>
  <c r="H374" i="6"/>
  <c r="H367" i="6"/>
  <c r="H368" i="6"/>
  <c r="H369" i="6"/>
  <c r="H375" i="6"/>
  <c r="D20" i="17"/>
  <c r="I374" i="6"/>
  <c r="I367" i="6"/>
  <c r="I368" i="6"/>
  <c r="I369" i="6"/>
  <c r="I375" i="6"/>
  <c r="E20" i="17"/>
  <c r="J374" i="6"/>
  <c r="J367" i="6"/>
  <c r="J368" i="6"/>
  <c r="J369" i="6"/>
  <c r="J375" i="6"/>
  <c r="F20" i="17"/>
  <c r="K374" i="6"/>
  <c r="K367" i="6"/>
  <c r="K368" i="6"/>
  <c r="K369" i="6"/>
  <c r="K375" i="6"/>
  <c r="G20" i="17"/>
  <c r="M374" i="6"/>
  <c r="M367" i="6"/>
  <c r="M368" i="6"/>
  <c r="M369" i="6"/>
  <c r="M375" i="6"/>
  <c r="I20" i="17"/>
  <c r="L374" i="6"/>
  <c r="L367" i="6"/>
  <c r="L368" i="6"/>
  <c r="L369" i="6"/>
  <c r="L375" i="6"/>
  <c r="H20" i="17"/>
  <c r="Y25" i="6"/>
  <c r="E369" i="6"/>
  <c r="F369" i="6"/>
  <c r="Y369" i="6"/>
  <c r="F368" i="6"/>
  <c r="Y368" i="6"/>
  <c r="F372" i="6"/>
  <c r="Y372" i="6"/>
  <c r="F367" i="6"/>
  <c r="Y367" i="6"/>
  <c r="F370" i="6"/>
  <c r="Y370" i="6"/>
  <c r="F373" i="6"/>
  <c r="Y373" i="6"/>
  <c r="D373" i="6"/>
  <c r="J373" i="6"/>
  <c r="D370" i="6"/>
  <c r="J370" i="6"/>
  <c r="D371" i="6"/>
  <c r="J371" i="6"/>
  <c r="D372" i="6"/>
  <c r="J372" i="6"/>
  <c r="K373" i="6"/>
  <c r="K370" i="6"/>
  <c r="K371" i="6"/>
  <c r="K372" i="6"/>
  <c r="L373" i="6"/>
  <c r="L370" i="6"/>
  <c r="L371" i="6"/>
  <c r="L372" i="6"/>
  <c r="M373" i="6"/>
  <c r="M370" i="6"/>
  <c r="M371" i="6"/>
  <c r="M372" i="6"/>
  <c r="N373" i="6"/>
  <c r="N370" i="6"/>
  <c r="N371" i="6"/>
  <c r="N372" i="6"/>
  <c r="O373" i="6"/>
  <c r="O370" i="6"/>
  <c r="O371" i="6"/>
  <c r="O372" i="6"/>
  <c r="P373" i="6"/>
  <c r="P370" i="6"/>
  <c r="P371" i="6"/>
  <c r="P372" i="6"/>
  <c r="R373" i="6"/>
  <c r="R370" i="6"/>
  <c r="R371" i="6"/>
  <c r="R372" i="6"/>
  <c r="S373" i="6"/>
  <c r="S370" i="6"/>
  <c r="S371" i="6"/>
  <c r="S372" i="6"/>
  <c r="T373" i="6"/>
  <c r="T370" i="6"/>
  <c r="T371" i="6"/>
  <c r="T372" i="6"/>
  <c r="H373" i="6"/>
  <c r="H370" i="6"/>
  <c r="H371" i="6"/>
  <c r="H372" i="6"/>
  <c r="I373" i="6"/>
  <c r="I370" i="6"/>
  <c r="I371" i="6"/>
  <c r="I372" i="6"/>
  <c r="C62" i="14"/>
  <c r="C58" i="14"/>
  <c r="C57" i="14"/>
  <c r="C49" i="14"/>
  <c r="C50" i="14"/>
  <c r="C41" i="14"/>
  <c r="B105" i="6"/>
  <c r="B131" i="6"/>
  <c r="B157" i="6"/>
  <c r="B91" i="6"/>
  <c r="E96" i="6"/>
  <c r="E122" i="6"/>
  <c r="E148" i="6"/>
  <c r="E174" i="6"/>
  <c r="B107" i="6"/>
  <c r="B133" i="6"/>
  <c r="B159" i="6"/>
  <c r="B185" i="6"/>
  <c r="B118" i="6"/>
  <c r="B144" i="6"/>
  <c r="B170" i="6"/>
  <c r="B196" i="6"/>
  <c r="B116" i="6"/>
  <c r="B142" i="6"/>
  <c r="B168" i="6"/>
  <c r="B117" i="6"/>
  <c r="B143" i="6"/>
  <c r="F78" i="6"/>
  <c r="E81" i="6"/>
  <c r="B194" i="6"/>
  <c r="B195" i="6"/>
  <c r="B169" i="6"/>
  <c r="E78" i="6"/>
  <c r="F81" i="6"/>
  <c r="G81" i="6"/>
  <c r="G176" i="6"/>
  <c r="G177" i="6"/>
  <c r="G178" i="6"/>
  <c r="G179" i="6"/>
  <c r="J179" i="6"/>
  <c r="G180" i="6"/>
  <c r="J180" i="6"/>
  <c r="G181" i="6"/>
  <c r="D181" i="6"/>
  <c r="J181" i="6"/>
  <c r="G175" i="6"/>
  <c r="J175" i="6"/>
  <c r="D176" i="6"/>
  <c r="D177" i="6"/>
  <c r="D178" i="6"/>
  <c r="D179" i="6"/>
  <c r="F179" i="6"/>
  <c r="D180" i="6"/>
  <c r="F180" i="6"/>
  <c r="D175" i="6"/>
  <c r="F175" i="6"/>
  <c r="D150" i="6"/>
  <c r="D151" i="6"/>
  <c r="D152" i="6"/>
  <c r="D153" i="6"/>
  <c r="D154" i="6"/>
  <c r="D155" i="6"/>
  <c r="D149" i="6"/>
  <c r="G72" i="6"/>
  <c r="G74" i="6"/>
  <c r="G75" i="6"/>
  <c r="G76" i="6"/>
  <c r="J76" i="6"/>
  <c r="G71" i="6"/>
  <c r="D71" i="6"/>
  <c r="J71" i="6"/>
  <c r="G98" i="6"/>
  <c r="G99" i="6"/>
  <c r="G100" i="6"/>
  <c r="G101" i="6"/>
  <c r="D101" i="6"/>
  <c r="J101" i="6"/>
  <c r="G102" i="6"/>
  <c r="J102" i="6"/>
  <c r="G103" i="6"/>
  <c r="D103" i="6"/>
  <c r="J103" i="6"/>
  <c r="G97" i="6"/>
  <c r="D97" i="6"/>
  <c r="J97" i="6"/>
  <c r="G124" i="6"/>
  <c r="G125" i="6"/>
  <c r="G126" i="6"/>
  <c r="G127" i="6"/>
  <c r="G128" i="6"/>
  <c r="G129" i="6"/>
  <c r="G123" i="6"/>
  <c r="D124" i="6"/>
  <c r="D125" i="6"/>
  <c r="D126" i="6"/>
  <c r="D127" i="6"/>
  <c r="D128" i="6"/>
  <c r="D129" i="6"/>
  <c r="D123" i="6"/>
  <c r="D98" i="6"/>
  <c r="D99" i="6"/>
  <c r="D100" i="6"/>
  <c r="D102" i="6"/>
  <c r="F74" i="6"/>
  <c r="E74" i="6"/>
  <c r="F75" i="6"/>
  <c r="E75" i="6"/>
  <c r="F76" i="6"/>
  <c r="E76" i="6"/>
  <c r="F77" i="6"/>
  <c r="E77" i="6"/>
  <c r="D72" i="6"/>
  <c r="D74" i="6"/>
  <c r="D75" i="6"/>
  <c r="D76" i="6"/>
  <c r="D77" i="6"/>
  <c r="J100" i="6"/>
  <c r="J178" i="6"/>
  <c r="J74" i="6"/>
  <c r="J177" i="6"/>
  <c r="J98" i="6"/>
  <c r="J176" i="6"/>
  <c r="J75" i="6"/>
  <c r="J126" i="6"/>
  <c r="J129" i="6"/>
  <c r="J128" i="6"/>
  <c r="J123" i="6"/>
  <c r="J77" i="6"/>
  <c r="G153" i="6"/>
  <c r="J153" i="6"/>
  <c r="J127" i="6"/>
  <c r="J72" i="6"/>
  <c r="G150" i="6"/>
  <c r="J124" i="6"/>
  <c r="I72" i="6"/>
  <c r="J73" i="6"/>
  <c r="J99" i="6"/>
  <c r="J105" i="6"/>
  <c r="G151" i="6"/>
  <c r="J125" i="6"/>
  <c r="I71" i="6"/>
  <c r="G149" i="6"/>
  <c r="J149" i="6"/>
  <c r="I77" i="6"/>
  <c r="G154" i="6"/>
  <c r="J154" i="6"/>
  <c r="I76" i="6"/>
  <c r="I75" i="6"/>
  <c r="I74" i="6"/>
  <c r="G152" i="6"/>
  <c r="F176" i="6"/>
  <c r="F178" i="6"/>
  <c r="H81" i="6"/>
  <c r="G155" i="6"/>
  <c r="J155" i="6"/>
  <c r="P42" i="2"/>
  <c r="J183" i="6"/>
  <c r="L201" i="6"/>
  <c r="J151" i="6"/>
  <c r="J152" i="6"/>
  <c r="J150" i="6"/>
  <c r="J131" i="6"/>
  <c r="H201" i="6"/>
  <c r="J79" i="6"/>
  <c r="D201" i="6"/>
  <c r="F201" i="6"/>
  <c r="J157" i="6"/>
  <c r="I81" i="6"/>
  <c r="D183" i="6"/>
  <c r="L202" i="6"/>
  <c r="J201" i="6"/>
  <c r="J81" i="6"/>
  <c r="K81" i="6"/>
  <c r="L81" i="6"/>
  <c r="M81" i="6"/>
  <c r="E89" i="2"/>
  <c r="D87" i="2"/>
  <c r="D133" i="4"/>
  <c r="D128" i="4"/>
  <c r="D120" i="4"/>
  <c r="D113" i="4"/>
  <c r="D107" i="4"/>
  <c r="D101" i="4"/>
  <c r="P45" i="4"/>
  <c r="O33" i="4"/>
  <c r="D59" i="4"/>
  <c r="D54" i="4"/>
  <c r="E46" i="4"/>
  <c r="F46" i="4"/>
  <c r="G46" i="4"/>
  <c r="H46" i="4"/>
  <c r="I46" i="4"/>
  <c r="J46" i="4"/>
  <c r="K46" i="4"/>
  <c r="L46" i="4"/>
  <c r="M46" i="4"/>
  <c r="N46" i="4"/>
  <c r="O46" i="4"/>
  <c r="D46" i="4"/>
  <c r="D39" i="4"/>
  <c r="D33" i="4"/>
  <c r="D23" i="4"/>
  <c r="E27" i="4"/>
  <c r="F27" i="4"/>
  <c r="G27" i="4"/>
  <c r="H27" i="4"/>
  <c r="I27" i="4"/>
  <c r="J27" i="4"/>
  <c r="K27" i="4"/>
  <c r="L27" i="4"/>
  <c r="M27" i="4"/>
  <c r="N27" i="4"/>
  <c r="O27" i="4"/>
  <c r="D27" i="4"/>
  <c r="N81" i="6"/>
  <c r="BN65" i="4"/>
  <c r="BM65" i="4"/>
  <c r="BL65" i="4"/>
  <c r="BK65" i="4"/>
  <c r="BJ65" i="4"/>
  <c r="BI65" i="4"/>
  <c r="BH65" i="4"/>
  <c r="BG65" i="4"/>
  <c r="BF65" i="4"/>
  <c r="BE65" i="4"/>
  <c r="BD65" i="4"/>
  <c r="BC65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G209" i="4"/>
  <c r="BF209" i="4"/>
  <c r="BE209" i="4"/>
  <c r="BD209" i="4"/>
  <c r="BX209" i="4"/>
  <c r="BW209" i="4"/>
  <c r="BV209" i="4"/>
  <c r="BU209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CE56" i="4"/>
  <c r="CD56" i="4"/>
  <c r="CD59" i="4" s="1"/>
  <c r="CC56" i="4"/>
  <c r="CC59" i="4" s="1"/>
  <c r="CB56" i="4"/>
  <c r="CB59" i="4" s="1"/>
  <c r="CA56" i="4"/>
  <c r="BZ56" i="4"/>
  <c r="BZ59" i="4" s="1"/>
  <c r="BY56" i="4"/>
  <c r="BY59" i="4" s="1"/>
  <c r="BX56" i="4"/>
  <c r="BX59" i="4" s="1"/>
  <c r="BW56" i="4"/>
  <c r="BV56" i="4"/>
  <c r="BV59" i="4" s="1"/>
  <c r="BU56" i="4"/>
  <c r="BU59" i="4" s="1"/>
  <c r="BT56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CE25" i="4"/>
  <c r="CD25" i="4"/>
  <c r="CD27" i="4" s="1"/>
  <c r="CC25" i="4"/>
  <c r="CC27" i="4" s="1"/>
  <c r="CB25" i="4"/>
  <c r="CB27" i="4" s="1"/>
  <c r="CA25" i="4"/>
  <c r="BZ25" i="4"/>
  <c r="BZ27" i="4" s="1"/>
  <c r="BY25" i="4"/>
  <c r="BY27" i="4" s="1"/>
  <c r="BX25" i="4"/>
  <c r="BX27" i="4" s="1"/>
  <c r="BW25" i="4"/>
  <c r="BV25" i="4"/>
  <c r="BV27" i="4" s="1"/>
  <c r="BU25" i="4"/>
  <c r="BU27" i="4" s="1"/>
  <c r="BT25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O81" i="6"/>
  <c r="C19" i="1"/>
  <c r="C14" i="1"/>
  <c r="C16" i="1"/>
  <c r="C17" i="1"/>
  <c r="C13" i="1"/>
  <c r="C10" i="1"/>
  <c r="C9" i="1"/>
  <c r="C6" i="1"/>
  <c r="P88" i="6"/>
  <c r="E48" i="6"/>
  <c r="P87" i="6"/>
  <c r="E47" i="6"/>
  <c r="P85" i="6"/>
  <c r="E45" i="6"/>
  <c r="P89" i="6"/>
  <c r="E49" i="6"/>
  <c r="P86" i="6"/>
  <c r="E46" i="6"/>
  <c r="P84" i="6"/>
  <c r="E44" i="6"/>
  <c r="E104" i="2"/>
  <c r="F104" i="2"/>
  <c r="G104" i="2"/>
  <c r="H104" i="2"/>
  <c r="D104" i="2"/>
  <c r="D61" i="14"/>
  <c r="D95" i="14"/>
  <c r="D56" i="14"/>
  <c r="D90" i="14"/>
  <c r="D48" i="14"/>
  <c r="D82" i="14"/>
  <c r="D40" i="14"/>
  <c r="D74" i="14"/>
  <c r="P83" i="6"/>
  <c r="E43" i="6"/>
  <c r="CW100" i="17"/>
  <c r="CW101" i="17"/>
  <c r="CW104" i="17"/>
  <c r="CW105" i="17"/>
  <c r="CW77" i="17"/>
  <c r="CW78" i="17"/>
  <c r="CW79" i="17"/>
  <c r="CW76" i="17"/>
  <c r="CW65" i="17"/>
  <c r="CW66" i="17"/>
  <c r="CW67" i="17"/>
  <c r="CW102" i="17"/>
  <c r="CW68" i="17"/>
  <c r="CW103" i="17"/>
  <c r="CW69" i="17"/>
  <c r="CW70" i="17"/>
  <c r="CW71" i="17"/>
  <c r="CW106" i="17"/>
  <c r="CW62" i="17"/>
  <c r="CW97" i="17"/>
  <c r="CW51" i="17"/>
  <c r="CW86" i="17"/>
  <c r="CW52" i="17"/>
  <c r="CW87" i="17"/>
  <c r="CW53" i="17"/>
  <c r="CW88" i="17"/>
  <c r="CW50" i="17"/>
  <c r="CW85" i="17"/>
  <c r="CW47" i="17"/>
  <c r="CW82" i="17"/>
  <c r="CW42" i="17"/>
  <c r="CW43" i="17"/>
  <c r="CW44" i="17"/>
  <c r="CW41" i="17"/>
  <c r="CX57" i="16"/>
  <c r="CX58" i="16"/>
  <c r="CX56" i="16"/>
  <c r="CX45" i="16"/>
  <c r="CX46" i="16"/>
  <c r="CX47" i="16"/>
  <c r="CZ17" i="4"/>
  <c r="D80" i="14"/>
  <c r="D88" i="14"/>
  <c r="D93" i="14"/>
  <c r="E63" i="17"/>
  <c r="F63" i="17"/>
  <c r="G63" i="17"/>
  <c r="H63" i="17"/>
  <c r="I63" i="17"/>
  <c r="J63" i="17"/>
  <c r="K63" i="17"/>
  <c r="L63" i="17"/>
  <c r="M63" i="17"/>
  <c r="N63" i="17"/>
  <c r="O63" i="17"/>
  <c r="CV38" i="18"/>
  <c r="D303" i="4"/>
  <c r="BS215" i="4"/>
  <c r="BB215" i="4"/>
  <c r="BS153" i="4"/>
  <c r="BB153" i="4"/>
  <c r="BS141" i="4"/>
  <c r="BB141" i="4"/>
  <c r="BS79" i="4"/>
  <c r="BS155" i="4" s="1"/>
  <c r="BB79" i="4"/>
  <c r="BS67" i="4"/>
  <c r="BB67" i="4"/>
  <c r="BS5" i="4"/>
  <c r="BB5" i="4"/>
  <c r="CX136" i="4"/>
  <c r="CX127" i="4"/>
  <c r="CX125" i="4"/>
  <c r="CX124" i="4"/>
  <c r="CX123" i="4"/>
  <c r="CX122" i="4"/>
  <c r="CX119" i="4"/>
  <c r="CX115" i="4"/>
  <c r="CX112" i="4"/>
  <c r="CX111" i="4"/>
  <c r="CX110" i="4"/>
  <c r="CX109" i="4"/>
  <c r="CX106" i="4"/>
  <c r="CX104" i="4"/>
  <c r="CX103" i="4"/>
  <c r="CX100" i="4"/>
  <c r="CX96" i="4"/>
  <c r="CX95" i="4"/>
  <c r="CX94" i="4"/>
  <c r="CX93" i="4"/>
  <c r="CZ91" i="4"/>
  <c r="CY91" i="4"/>
  <c r="CX91" i="4"/>
  <c r="CX90" i="4"/>
  <c r="CX89" i="4"/>
  <c r="CX86" i="4"/>
  <c r="CX85" i="4"/>
  <c r="CX84" i="4"/>
  <c r="CX83" i="4"/>
  <c r="CX82" i="4"/>
  <c r="CX81" i="4"/>
  <c r="CX62" i="4"/>
  <c r="A62" i="4"/>
  <c r="CE62" i="4" s="1"/>
  <c r="CX53" i="4"/>
  <c r="DB53" i="4" s="1"/>
  <c r="CX51" i="4"/>
  <c r="A51" i="4"/>
  <c r="BX51" i="4" s="1"/>
  <c r="CX50" i="4"/>
  <c r="A50" i="4"/>
  <c r="CA50" i="4" s="1"/>
  <c r="CX49" i="4"/>
  <c r="A49" i="4"/>
  <c r="BX49" i="4" s="1"/>
  <c r="CX48" i="4"/>
  <c r="A48" i="4"/>
  <c r="CA48" i="4" s="1"/>
  <c r="CX45" i="4"/>
  <c r="CX41" i="4"/>
  <c r="A41" i="4"/>
  <c r="CE41" i="4" s="1"/>
  <c r="CE46" i="4" s="1"/>
  <c r="CX38" i="4"/>
  <c r="CX37" i="4"/>
  <c r="A37" i="4"/>
  <c r="CE37" i="4" s="1"/>
  <c r="CX36" i="4"/>
  <c r="A36" i="4"/>
  <c r="CE36" i="4" s="1"/>
  <c r="CX35" i="4"/>
  <c r="A35" i="4"/>
  <c r="CA35" i="4" s="1"/>
  <c r="CX32" i="4"/>
  <c r="CX30" i="4"/>
  <c r="DB30" i="4" s="1"/>
  <c r="A30" i="4"/>
  <c r="CX29" i="4"/>
  <c r="A29" i="4"/>
  <c r="CA29" i="4" s="1"/>
  <c r="CX26" i="4"/>
  <c r="DB26" i="4" s="1"/>
  <c r="CX22" i="4"/>
  <c r="CX21" i="4"/>
  <c r="A21" i="4"/>
  <c r="CA21" i="4" s="1"/>
  <c r="CX20" i="4"/>
  <c r="DB20" i="4" s="1"/>
  <c r="A20" i="4"/>
  <c r="CX19" i="4"/>
  <c r="A19" i="4"/>
  <c r="CA19" i="4" s="1"/>
  <c r="CY17" i="4"/>
  <c r="DC17" i="4" s="1"/>
  <c r="CX17" i="4"/>
  <c r="A17" i="4"/>
  <c r="CA17" i="4" s="1"/>
  <c r="CX16" i="4"/>
  <c r="A16" i="4"/>
  <c r="CB16" i="4" s="1"/>
  <c r="CX15" i="4"/>
  <c r="A15" i="4"/>
  <c r="CA15" i="4" s="1"/>
  <c r="CX12" i="4"/>
  <c r="CX11" i="4"/>
  <c r="A11" i="4"/>
  <c r="CX10" i="4"/>
  <c r="A10" i="4"/>
  <c r="CA10" i="4" s="1"/>
  <c r="CX9" i="4"/>
  <c r="DB10" i="4" s="1"/>
  <c r="A9" i="4"/>
  <c r="CX8" i="4"/>
  <c r="A8" i="4"/>
  <c r="CA8" i="4" s="1"/>
  <c r="CX7" i="4"/>
  <c r="A7" i="4"/>
  <c r="CX105" i="4"/>
  <c r="CZ92" i="4"/>
  <c r="CY92" i="4"/>
  <c r="CX92" i="4"/>
  <c r="CX31" i="4"/>
  <c r="A31" i="4"/>
  <c r="BM31" i="4" s="1"/>
  <c r="CZ18" i="4"/>
  <c r="CY18" i="4"/>
  <c r="CX18" i="4"/>
  <c r="A18" i="4"/>
  <c r="BM18" i="4" s="1"/>
  <c r="BU21" i="4"/>
  <c r="BT51" i="4"/>
  <c r="BX19" i="4"/>
  <c r="CE29" i="4"/>
  <c r="BZ41" i="4"/>
  <c r="CD41" i="4"/>
  <c r="BY62" i="4"/>
  <c r="BU62" i="4"/>
  <c r="B2" i="27"/>
  <c r="L2" i="27" s="1"/>
  <c r="AP140" i="16"/>
  <c r="AP138" i="16"/>
  <c r="AM140" i="16"/>
  <c r="AM139" i="16"/>
  <c r="AF140" i="16"/>
  <c r="AA137" i="16"/>
  <c r="Q137" i="16"/>
  <c r="K137" i="16"/>
  <c r="AJ136" i="16"/>
  <c r="AG136" i="16"/>
  <c r="AD136" i="16"/>
  <c r="AA136" i="16"/>
  <c r="X136" i="16"/>
  <c r="U136" i="16"/>
  <c r="Q136" i="16"/>
  <c r="N136" i="16"/>
  <c r="K136" i="16"/>
  <c r="H136" i="16"/>
  <c r="AJ135" i="16"/>
  <c r="AG135" i="16"/>
  <c r="AD135" i="16"/>
  <c r="AA135" i="16"/>
  <c r="X135" i="16"/>
  <c r="U135" i="16"/>
  <c r="Q135" i="16"/>
  <c r="N135" i="16"/>
  <c r="K135" i="16"/>
  <c r="H135" i="16"/>
  <c r="AJ134" i="16"/>
  <c r="AG134" i="16"/>
  <c r="AD134" i="16"/>
  <c r="AA134" i="16"/>
  <c r="X134" i="16"/>
  <c r="U134" i="16"/>
  <c r="Q134" i="16"/>
  <c r="N134" i="16"/>
  <c r="K134" i="16"/>
  <c r="H134" i="16"/>
  <c r="AP133" i="16"/>
  <c r="AM133" i="16"/>
  <c r="AJ133" i="16"/>
  <c r="AG133" i="16"/>
  <c r="AD133" i="16"/>
  <c r="AA133" i="16"/>
  <c r="AA139" i="16"/>
  <c r="X133" i="16"/>
  <c r="U133" i="16"/>
  <c r="Q133" i="16"/>
  <c r="Q140" i="16"/>
  <c r="N133" i="16"/>
  <c r="K133" i="16"/>
  <c r="K139" i="16"/>
  <c r="H133" i="16"/>
  <c r="L30" i="16"/>
  <c r="J30" i="16"/>
  <c r="G82" i="17"/>
  <c r="H30" i="16"/>
  <c r="F82" i="17"/>
  <c r="F30" i="16"/>
  <c r="F31" i="16"/>
  <c r="D30" i="16"/>
  <c r="L29" i="16"/>
  <c r="J29" i="16"/>
  <c r="H29" i="16"/>
  <c r="F29" i="16"/>
  <c r="D29" i="16"/>
  <c r="D31" i="16" s="1"/>
  <c r="F114" i="17"/>
  <c r="H98" i="17"/>
  <c r="G98" i="17"/>
  <c r="F98" i="17"/>
  <c r="H97" i="17"/>
  <c r="G97" i="17"/>
  <c r="F97" i="17"/>
  <c r="CV82" i="17"/>
  <c r="D63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CV47" i="17"/>
  <c r="C40" i="17"/>
  <c r="CV13" i="17"/>
  <c r="O9" i="17"/>
  <c r="N9" i="17"/>
  <c r="M9" i="17"/>
  <c r="L9" i="17"/>
  <c r="K9" i="17"/>
  <c r="J9" i="17"/>
  <c r="I9" i="17"/>
  <c r="H9" i="17"/>
  <c r="G9" i="17"/>
  <c r="F9" i="17"/>
  <c r="E9" i="17"/>
  <c r="D34" i="17"/>
  <c r="CU424" i="4"/>
  <c r="CU423" i="4"/>
  <c r="CU422" i="4"/>
  <c r="CU421" i="4"/>
  <c r="CU420" i="4"/>
  <c r="CU419" i="4"/>
  <c r="CU418" i="4"/>
  <c r="CU417" i="4"/>
  <c r="CU416" i="4"/>
  <c r="B373" i="4"/>
  <c r="D367" i="4"/>
  <c r="B304" i="4"/>
  <c r="A298" i="4"/>
  <c r="A296" i="4"/>
  <c r="B295" i="4"/>
  <c r="B433" i="4" s="1"/>
  <c r="B294" i="4"/>
  <c r="B293" i="4"/>
  <c r="B291" i="4"/>
  <c r="B290" i="4"/>
  <c r="B428" i="4" s="1"/>
  <c r="B288" i="4"/>
  <c r="B426" i="4" s="1"/>
  <c r="B287" i="4"/>
  <c r="B286" i="4"/>
  <c r="B285" i="4"/>
  <c r="B354" i="4" s="1"/>
  <c r="B283" i="4"/>
  <c r="B421" i="4" s="1"/>
  <c r="B282" i="4"/>
  <c r="B277" i="4"/>
  <c r="B274" i="4"/>
  <c r="B343" i="4" s="1"/>
  <c r="B273" i="4"/>
  <c r="B272" i="4"/>
  <c r="B270" i="4"/>
  <c r="B264" i="4"/>
  <c r="B333" i="4" s="1"/>
  <c r="B258" i="4"/>
  <c r="B255" i="4"/>
  <c r="B254" i="4"/>
  <c r="B392" i="4" s="1"/>
  <c r="B244" i="4"/>
  <c r="B313" i="4" s="1"/>
  <c r="B242" i="4"/>
  <c r="B236" i="4"/>
  <c r="B235" i="4"/>
  <c r="BS214" i="4"/>
  <c r="BB214" i="4"/>
  <c r="BS213" i="4"/>
  <c r="BR213" i="4"/>
  <c r="BB213" i="4"/>
  <c r="BA213" i="4"/>
  <c r="A213" i="4"/>
  <c r="BS212" i="4"/>
  <c r="BR212" i="4"/>
  <c r="BB212" i="4"/>
  <c r="BA212" i="4"/>
  <c r="A212" i="4"/>
  <c r="BX212" i="4" s="1"/>
  <c r="BS211" i="4"/>
  <c r="BR211" i="4"/>
  <c r="BB211" i="4"/>
  <c r="BA211" i="4"/>
  <c r="A211" i="4"/>
  <c r="BT210" i="4"/>
  <c r="BS210" i="4"/>
  <c r="BR210" i="4"/>
  <c r="BC210" i="4"/>
  <c r="BB210" i="4"/>
  <c r="BA210" i="4"/>
  <c r="BS209" i="4"/>
  <c r="BR209" i="4"/>
  <c r="BB209" i="4"/>
  <c r="BA209" i="4"/>
  <c r="BS208" i="4"/>
  <c r="BB208" i="4"/>
  <c r="B208" i="4"/>
  <c r="BS207" i="4"/>
  <c r="BB207" i="4"/>
  <c r="H207" i="4"/>
  <c r="G207" i="4"/>
  <c r="F207" i="4"/>
  <c r="BS206" i="4"/>
  <c r="BR206" i="4"/>
  <c r="BB206" i="4"/>
  <c r="BA206" i="4"/>
  <c r="A206" i="4"/>
  <c r="BX206" i="4" s="1"/>
  <c r="BT205" i="4"/>
  <c r="BS205" i="4"/>
  <c r="BR205" i="4"/>
  <c r="BC205" i="4"/>
  <c r="BB205" i="4"/>
  <c r="BA205" i="4"/>
  <c r="A205" i="4"/>
  <c r="BS204" i="4"/>
  <c r="BR204" i="4"/>
  <c r="BB204" i="4"/>
  <c r="BA204" i="4"/>
  <c r="A204" i="4"/>
  <c r="BX204" i="4" s="1"/>
  <c r="BS203" i="4"/>
  <c r="BB203" i="4"/>
  <c r="B203" i="4"/>
  <c r="BS202" i="4"/>
  <c r="BR202" i="4"/>
  <c r="BB202" i="4"/>
  <c r="BA202" i="4"/>
  <c r="H202" i="4"/>
  <c r="G202" i="4"/>
  <c r="F202" i="4"/>
  <c r="BS201" i="4"/>
  <c r="BR201" i="4"/>
  <c r="BB201" i="4"/>
  <c r="BA201" i="4"/>
  <c r="A201" i="4"/>
  <c r="BS200" i="4"/>
  <c r="BR200" i="4"/>
  <c r="BB200" i="4"/>
  <c r="BA200" i="4"/>
  <c r="A200" i="4"/>
  <c r="BX200" i="4" s="1"/>
  <c r="BS199" i="4"/>
  <c r="BR199" i="4"/>
  <c r="BB199" i="4"/>
  <c r="BA199" i="4"/>
  <c r="BS198" i="4"/>
  <c r="BR198" i="4"/>
  <c r="BB198" i="4"/>
  <c r="BA198" i="4"/>
  <c r="BT197" i="4"/>
  <c r="BS197" i="4"/>
  <c r="BR197" i="4"/>
  <c r="BC197" i="4"/>
  <c r="BB197" i="4"/>
  <c r="BA197" i="4"/>
  <c r="BS196" i="4"/>
  <c r="BR196" i="4"/>
  <c r="BB196" i="4"/>
  <c r="BA196" i="4"/>
  <c r="BS195" i="4"/>
  <c r="BB195" i="4"/>
  <c r="B195" i="4"/>
  <c r="BS194" i="4"/>
  <c r="BB194" i="4"/>
  <c r="H194" i="4"/>
  <c r="G194" i="4"/>
  <c r="F194" i="4"/>
  <c r="A194" i="4"/>
  <c r="BS193" i="4"/>
  <c r="BR193" i="4"/>
  <c r="BB193" i="4"/>
  <c r="BA193" i="4"/>
  <c r="D193" i="4"/>
  <c r="BS192" i="4"/>
  <c r="BR192" i="4"/>
  <c r="BB192" i="4"/>
  <c r="BA192" i="4"/>
  <c r="A192" i="4"/>
  <c r="BV192" i="4" s="1"/>
  <c r="BS191" i="4"/>
  <c r="BR191" i="4"/>
  <c r="BB191" i="4"/>
  <c r="BA191" i="4"/>
  <c r="A191" i="4"/>
  <c r="BT190" i="4"/>
  <c r="BS190" i="4"/>
  <c r="BR190" i="4"/>
  <c r="BC190" i="4"/>
  <c r="BB190" i="4"/>
  <c r="BA190" i="4"/>
  <c r="A190" i="4"/>
  <c r="BS189" i="4"/>
  <c r="BR189" i="4"/>
  <c r="BB189" i="4"/>
  <c r="BA189" i="4"/>
  <c r="BS188" i="4"/>
  <c r="BB188" i="4"/>
  <c r="B188" i="4"/>
  <c r="BS187" i="4"/>
  <c r="BR187" i="4"/>
  <c r="BB187" i="4"/>
  <c r="BA187" i="4"/>
  <c r="H187" i="4"/>
  <c r="G187" i="4"/>
  <c r="F187" i="4"/>
  <c r="BS186" i="4"/>
  <c r="BR186" i="4"/>
  <c r="BB186" i="4"/>
  <c r="BA186" i="4"/>
  <c r="BS185" i="4"/>
  <c r="BR185" i="4"/>
  <c r="BB185" i="4"/>
  <c r="BA185" i="4"/>
  <c r="BT184" i="4"/>
  <c r="BS184" i="4"/>
  <c r="BR184" i="4"/>
  <c r="BC184" i="4"/>
  <c r="BB184" i="4"/>
  <c r="BA184" i="4"/>
  <c r="BS183" i="4"/>
  <c r="BR183" i="4"/>
  <c r="BB183" i="4"/>
  <c r="BA183" i="4"/>
  <c r="BS182" i="4"/>
  <c r="BB182" i="4"/>
  <c r="B182" i="4"/>
  <c r="BS181" i="4"/>
  <c r="BB181" i="4"/>
  <c r="H181" i="4"/>
  <c r="G181" i="4"/>
  <c r="F181" i="4"/>
  <c r="BS180" i="4"/>
  <c r="BR180" i="4"/>
  <c r="BB180" i="4"/>
  <c r="BA180" i="4"/>
  <c r="BS179" i="4"/>
  <c r="BR179" i="4"/>
  <c r="BB179" i="4"/>
  <c r="BA179" i="4"/>
  <c r="A179" i="4"/>
  <c r="BT178" i="4"/>
  <c r="BS178" i="4"/>
  <c r="BR178" i="4"/>
  <c r="BC178" i="4"/>
  <c r="BB178" i="4"/>
  <c r="BA178" i="4"/>
  <c r="BS177" i="4"/>
  <c r="BR177" i="4"/>
  <c r="BB177" i="4"/>
  <c r="BA177" i="4"/>
  <c r="BS176" i="4"/>
  <c r="BB176" i="4"/>
  <c r="B176" i="4"/>
  <c r="BS175" i="4"/>
  <c r="BB175" i="4"/>
  <c r="H175" i="4"/>
  <c r="G175" i="4"/>
  <c r="F175" i="4"/>
  <c r="BT174" i="4"/>
  <c r="BS174" i="4"/>
  <c r="BR174" i="4"/>
  <c r="BC174" i="4"/>
  <c r="BB174" i="4"/>
  <c r="BA174" i="4"/>
  <c r="BS173" i="4"/>
  <c r="BR173" i="4"/>
  <c r="BB173" i="4"/>
  <c r="BA173" i="4"/>
  <c r="A173" i="4"/>
  <c r="BS172" i="4"/>
  <c r="BB172" i="4"/>
  <c r="B172" i="4"/>
  <c r="BS171" i="4"/>
  <c r="BB171" i="4"/>
  <c r="H171" i="4"/>
  <c r="G171" i="4"/>
  <c r="F171" i="4"/>
  <c r="BS170" i="4"/>
  <c r="BR170" i="4"/>
  <c r="BB170" i="4"/>
  <c r="BA170" i="4"/>
  <c r="BS169" i="4"/>
  <c r="BR169" i="4"/>
  <c r="BB169" i="4"/>
  <c r="BA169" i="4"/>
  <c r="BS168" i="4"/>
  <c r="BR168" i="4"/>
  <c r="BB168" i="4"/>
  <c r="BA168" i="4"/>
  <c r="BS167" i="4"/>
  <c r="BR167" i="4"/>
  <c r="BB167" i="4"/>
  <c r="BA167" i="4"/>
  <c r="BS166" i="4"/>
  <c r="BR166" i="4"/>
  <c r="BB166" i="4"/>
  <c r="BA166" i="4"/>
  <c r="BS165" i="4"/>
  <c r="BR165" i="4"/>
  <c r="BB165" i="4"/>
  <c r="BA165" i="4"/>
  <c r="BT164" i="4"/>
  <c r="BS164" i="4"/>
  <c r="BR164" i="4"/>
  <c r="BC164" i="4"/>
  <c r="BB164" i="4"/>
  <c r="BA164" i="4"/>
  <c r="BS163" i="4"/>
  <c r="BR163" i="4"/>
  <c r="BB163" i="4"/>
  <c r="BA163" i="4"/>
  <c r="BS162" i="4"/>
  <c r="BB162" i="4"/>
  <c r="B162" i="4"/>
  <c r="BS161" i="4"/>
  <c r="BB161" i="4"/>
  <c r="H161" i="4"/>
  <c r="G161" i="4"/>
  <c r="F161" i="4"/>
  <c r="BS160" i="4"/>
  <c r="BR160" i="4"/>
  <c r="BB160" i="4"/>
  <c r="BA160" i="4"/>
  <c r="A160" i="4"/>
  <c r="BS159" i="4"/>
  <c r="BR159" i="4"/>
  <c r="BB159" i="4"/>
  <c r="BA159" i="4"/>
  <c r="BS158" i="4"/>
  <c r="BR158" i="4"/>
  <c r="BB158" i="4"/>
  <c r="BA158" i="4"/>
  <c r="BS157" i="4"/>
  <c r="BR157" i="4"/>
  <c r="BB157" i="4"/>
  <c r="BA157" i="4"/>
  <c r="BT156" i="4"/>
  <c r="BS156" i="4"/>
  <c r="BR156" i="4"/>
  <c r="BC156" i="4"/>
  <c r="BB156" i="4"/>
  <c r="BA156" i="4"/>
  <c r="A156" i="4"/>
  <c r="BR155" i="4"/>
  <c r="BA155" i="4"/>
  <c r="BS154" i="4"/>
  <c r="BR154" i="4"/>
  <c r="BB154" i="4"/>
  <c r="BA154" i="4"/>
  <c r="B154" i="4"/>
  <c r="BR153" i="4"/>
  <c r="BA153" i="4"/>
  <c r="B153" i="4"/>
  <c r="CY143" i="4"/>
  <c r="DD140" i="4"/>
  <c r="DC140" i="4"/>
  <c r="DB140" i="4"/>
  <c r="DD139" i="4"/>
  <c r="DC139" i="4"/>
  <c r="DB139" i="4"/>
  <c r="P139" i="4"/>
  <c r="E213" i="4" s="1"/>
  <c r="A139" i="4"/>
  <c r="BN139" i="4" s="1"/>
  <c r="DD138" i="4"/>
  <c r="DC138" i="4"/>
  <c r="DB138" i="4"/>
  <c r="P138" i="4"/>
  <c r="E212" i="4" s="1"/>
  <c r="A138" i="4"/>
  <c r="DD137" i="4"/>
  <c r="DC137" i="4"/>
  <c r="DB137" i="4"/>
  <c r="P137" i="4"/>
  <c r="E211" i="4" s="1"/>
  <c r="A137" i="4"/>
  <c r="DD136" i="4"/>
  <c r="DC136" i="4"/>
  <c r="P136" i="4"/>
  <c r="E210" i="4" s="1"/>
  <c r="DD135" i="4"/>
  <c r="DC135" i="4"/>
  <c r="DB135" i="4"/>
  <c r="A135" i="4"/>
  <c r="DD134" i="4"/>
  <c r="DC134" i="4"/>
  <c r="DB134" i="4"/>
  <c r="DD133" i="4"/>
  <c r="DC133" i="4"/>
  <c r="DB133" i="4"/>
  <c r="O133" i="4"/>
  <c r="N133" i="4"/>
  <c r="M133" i="4"/>
  <c r="L133" i="4"/>
  <c r="K133" i="4"/>
  <c r="J133" i="4"/>
  <c r="I133" i="4"/>
  <c r="H133" i="4"/>
  <c r="G133" i="4"/>
  <c r="F133" i="4"/>
  <c r="E133" i="4"/>
  <c r="DD132" i="4"/>
  <c r="DC132" i="4"/>
  <c r="DB132" i="4"/>
  <c r="P132" i="4"/>
  <c r="E206" i="4" s="1"/>
  <c r="A132" i="4"/>
  <c r="CE132" i="4" s="1"/>
  <c r="DD131" i="4"/>
  <c r="DC131" i="4"/>
  <c r="DB131" i="4"/>
  <c r="P131" i="4"/>
  <c r="E205" i="4" s="1"/>
  <c r="A131" i="4"/>
  <c r="BY131" i="4" s="1"/>
  <c r="DD130" i="4"/>
  <c r="DC130" i="4"/>
  <c r="DB130" i="4"/>
  <c r="P130" i="4"/>
  <c r="E204" i="4" s="1"/>
  <c r="A130" i="4"/>
  <c r="DD129" i="4"/>
  <c r="DC129" i="4"/>
  <c r="DB129" i="4"/>
  <c r="DD128" i="4"/>
  <c r="DB128" i="4"/>
  <c r="CY128" i="4"/>
  <c r="O128" i="4"/>
  <c r="N128" i="4"/>
  <c r="M128" i="4"/>
  <c r="L128" i="4"/>
  <c r="K128" i="4"/>
  <c r="J128" i="4"/>
  <c r="I128" i="4"/>
  <c r="H128" i="4"/>
  <c r="G128" i="4"/>
  <c r="F128" i="4"/>
  <c r="E128" i="4"/>
  <c r="DD127" i="4"/>
  <c r="DC127" i="4"/>
  <c r="P127" i="4"/>
  <c r="E201" i="4" s="1"/>
  <c r="A127" i="4"/>
  <c r="BM127" i="4" s="1"/>
  <c r="DD126" i="4"/>
  <c r="DC126" i="4"/>
  <c r="DB126" i="4"/>
  <c r="P126" i="4"/>
  <c r="E200" i="4" s="1"/>
  <c r="A126" i="4"/>
  <c r="CE126" i="4" s="1"/>
  <c r="DD125" i="4"/>
  <c r="DC125" i="4"/>
  <c r="P125" i="4"/>
  <c r="E199" i="4" s="1"/>
  <c r="DD124" i="4"/>
  <c r="DC124" i="4"/>
  <c r="P124" i="4"/>
  <c r="E198" i="4" s="1"/>
  <c r="DD123" i="4"/>
  <c r="DC123" i="4"/>
  <c r="P123" i="4"/>
  <c r="E197" i="4" s="1"/>
  <c r="DD122" i="4"/>
  <c r="DC122" i="4"/>
  <c r="P122" i="4"/>
  <c r="E196" i="4" s="1"/>
  <c r="DD121" i="4"/>
  <c r="DC121" i="4"/>
  <c r="DB121" i="4"/>
  <c r="DD120" i="4"/>
  <c r="DB120" i="4"/>
  <c r="CY120" i="4"/>
  <c r="O120" i="4"/>
  <c r="N120" i="4"/>
  <c r="M120" i="4"/>
  <c r="L120" i="4"/>
  <c r="K120" i="4"/>
  <c r="J120" i="4"/>
  <c r="I120" i="4"/>
  <c r="H120" i="4"/>
  <c r="G120" i="4"/>
  <c r="F120" i="4"/>
  <c r="E120" i="4"/>
  <c r="DD119" i="4"/>
  <c r="DC119" i="4"/>
  <c r="P119" i="4"/>
  <c r="E193" i="4" s="1"/>
  <c r="DD118" i="4"/>
  <c r="DC118" i="4"/>
  <c r="DB118" i="4"/>
  <c r="P118" i="4"/>
  <c r="E192" i="4" s="1"/>
  <c r="A118" i="4"/>
  <c r="CE118" i="4" s="1"/>
  <c r="DD117" i="4"/>
  <c r="DC117" i="4"/>
  <c r="DB117" i="4"/>
  <c r="P117" i="4"/>
  <c r="E191" i="4" s="1"/>
  <c r="A117" i="4"/>
  <c r="DD116" i="4"/>
  <c r="DC116" i="4"/>
  <c r="DB116" i="4"/>
  <c r="P116" i="4"/>
  <c r="E190" i="4" s="1"/>
  <c r="A116" i="4"/>
  <c r="DD115" i="4"/>
  <c r="DC115" i="4"/>
  <c r="DB115" i="4"/>
  <c r="P115" i="4"/>
  <c r="E189" i="4" s="1"/>
  <c r="DD114" i="4"/>
  <c r="DC114" i="4"/>
  <c r="DB114" i="4"/>
  <c r="DD113" i="4"/>
  <c r="DB113" i="4"/>
  <c r="CY113" i="4"/>
  <c r="O113" i="4"/>
  <c r="N113" i="4"/>
  <c r="M113" i="4"/>
  <c r="L113" i="4"/>
  <c r="K113" i="4"/>
  <c r="J113" i="4"/>
  <c r="I113" i="4"/>
  <c r="H113" i="4"/>
  <c r="G113" i="4"/>
  <c r="F113" i="4"/>
  <c r="E113" i="4"/>
  <c r="DD112" i="4"/>
  <c r="DC112" i="4"/>
  <c r="P112" i="4"/>
  <c r="E186" i="4" s="1"/>
  <c r="DD111" i="4"/>
  <c r="DC111" i="4"/>
  <c r="P111" i="4"/>
  <c r="E185" i="4" s="1"/>
  <c r="DD110" i="4"/>
  <c r="DC110" i="4"/>
  <c r="P110" i="4"/>
  <c r="E184" i="4" s="1"/>
  <c r="DD109" i="4"/>
  <c r="DC109" i="4"/>
  <c r="P109" i="4"/>
  <c r="E183" i="4" s="1"/>
  <c r="DD108" i="4"/>
  <c r="DC108" i="4"/>
  <c r="DB108" i="4"/>
  <c r="DD107" i="4"/>
  <c r="DB107" i="4"/>
  <c r="CY107" i="4"/>
  <c r="O107" i="4"/>
  <c r="N107" i="4"/>
  <c r="M107" i="4"/>
  <c r="L107" i="4"/>
  <c r="K107" i="4"/>
  <c r="J107" i="4"/>
  <c r="I107" i="4"/>
  <c r="H107" i="4"/>
  <c r="G107" i="4"/>
  <c r="F107" i="4"/>
  <c r="E107" i="4"/>
  <c r="DD106" i="4"/>
  <c r="DC106" i="4"/>
  <c r="DB106" i="4"/>
  <c r="P106" i="4"/>
  <c r="E180" i="4" s="1"/>
  <c r="DD105" i="4"/>
  <c r="DC105" i="4"/>
  <c r="P105" i="4"/>
  <c r="E179" i="4" s="1"/>
  <c r="A105" i="4"/>
  <c r="BE105" i="4" s="1"/>
  <c r="DD104" i="4"/>
  <c r="DC104" i="4"/>
  <c r="P104" i="4"/>
  <c r="E178" i="4" s="1"/>
  <c r="DD103" i="4"/>
  <c r="DC103" i="4"/>
  <c r="P103" i="4"/>
  <c r="E177" i="4" s="1"/>
  <c r="DD102" i="4"/>
  <c r="DC102" i="4"/>
  <c r="DB102" i="4"/>
  <c r="A102" i="4"/>
  <c r="DD101" i="4"/>
  <c r="DC101" i="4"/>
  <c r="DB101" i="4"/>
  <c r="O101" i="4"/>
  <c r="N101" i="4"/>
  <c r="M101" i="4"/>
  <c r="L101" i="4"/>
  <c r="K101" i="4"/>
  <c r="J101" i="4"/>
  <c r="I101" i="4"/>
  <c r="H101" i="4"/>
  <c r="G101" i="4"/>
  <c r="F101" i="4"/>
  <c r="E101" i="4"/>
  <c r="A101" i="4"/>
  <c r="DD100" i="4"/>
  <c r="DC100" i="4"/>
  <c r="P100" i="4"/>
  <c r="E174" i="4" s="1"/>
  <c r="DD99" i="4"/>
  <c r="DC99" i="4"/>
  <c r="DB99" i="4"/>
  <c r="P99" i="4"/>
  <c r="E173" i="4" s="1"/>
  <c r="A99" i="4"/>
  <c r="CD99" i="4" s="1"/>
  <c r="DD98" i="4"/>
  <c r="DC98" i="4"/>
  <c r="DB98" i="4"/>
  <c r="DD97" i="4"/>
  <c r="DB97" i="4"/>
  <c r="CY97" i="4"/>
  <c r="O97" i="4"/>
  <c r="N97" i="4"/>
  <c r="M97" i="4"/>
  <c r="L97" i="4"/>
  <c r="K97" i="4"/>
  <c r="J97" i="4"/>
  <c r="I97" i="4"/>
  <c r="H97" i="4"/>
  <c r="G97" i="4"/>
  <c r="F97" i="4"/>
  <c r="E97" i="4"/>
  <c r="D97" i="4"/>
  <c r="DD96" i="4"/>
  <c r="DC96" i="4"/>
  <c r="P96" i="4"/>
  <c r="E170" i="4" s="1"/>
  <c r="DD95" i="4"/>
  <c r="DC95" i="4"/>
  <c r="P95" i="4"/>
  <c r="E169" i="4" s="1"/>
  <c r="DD94" i="4"/>
  <c r="DC94" i="4"/>
  <c r="P94" i="4"/>
  <c r="E168" i="4" s="1"/>
  <c r="DD93" i="4"/>
  <c r="DC93" i="4"/>
  <c r="P93" i="4"/>
  <c r="E167" i="4" s="1"/>
  <c r="P92" i="4"/>
  <c r="E166" i="4" s="1"/>
  <c r="P91" i="4"/>
  <c r="E165" i="4" s="1"/>
  <c r="DD90" i="4"/>
  <c r="DC90" i="4"/>
  <c r="P90" i="4"/>
  <c r="E164" i="4" s="1"/>
  <c r="DD89" i="4"/>
  <c r="DC89" i="4"/>
  <c r="P89" i="4"/>
  <c r="E163" i="4" s="1"/>
  <c r="DD88" i="4"/>
  <c r="DC88" i="4"/>
  <c r="DB88" i="4"/>
  <c r="DD87" i="4"/>
  <c r="DB87" i="4"/>
  <c r="CY87" i="4"/>
  <c r="O87" i="4"/>
  <c r="N87" i="4"/>
  <c r="M87" i="4"/>
  <c r="L87" i="4"/>
  <c r="K87" i="4"/>
  <c r="J87" i="4"/>
  <c r="I87" i="4"/>
  <c r="H87" i="4"/>
  <c r="G87" i="4"/>
  <c r="F87" i="4"/>
  <c r="E87" i="4"/>
  <c r="D87" i="4"/>
  <c r="DD86" i="4"/>
  <c r="DC86" i="4"/>
  <c r="P86" i="4"/>
  <c r="E160" i="4" s="1"/>
  <c r="A86" i="4"/>
  <c r="DD85" i="4"/>
  <c r="DC85" i="4"/>
  <c r="P85" i="4"/>
  <c r="E159" i="4" s="1"/>
  <c r="DD84" i="4"/>
  <c r="DC84" i="4"/>
  <c r="P84" i="4"/>
  <c r="E158" i="4" s="1"/>
  <c r="A84" i="4"/>
  <c r="CB84" i="4" s="1"/>
  <c r="DD83" i="4"/>
  <c r="DC83" i="4"/>
  <c r="P83" i="4"/>
  <c r="E157" i="4" s="1"/>
  <c r="DD82" i="4"/>
  <c r="DC82" i="4"/>
  <c r="P82" i="4"/>
  <c r="E156" i="4" s="1"/>
  <c r="DD81" i="4"/>
  <c r="DC81" i="4"/>
  <c r="P81" i="4"/>
  <c r="E155" i="4" s="1"/>
  <c r="DD80" i="4"/>
  <c r="DC80" i="4"/>
  <c r="DB80" i="4"/>
  <c r="BB155" i="4"/>
  <c r="D78" i="4"/>
  <c r="CY69" i="4"/>
  <c r="DD66" i="4"/>
  <c r="DC66" i="4"/>
  <c r="DB66" i="4"/>
  <c r="DD65" i="4"/>
  <c r="DC65" i="4"/>
  <c r="DB65" i="4"/>
  <c r="P65" i="4"/>
  <c r="D213" i="4" s="1"/>
  <c r="DD64" i="4"/>
  <c r="DC64" i="4"/>
  <c r="DB64" i="4"/>
  <c r="P64" i="4"/>
  <c r="D212" i="4" s="1"/>
  <c r="DD63" i="4"/>
  <c r="DC63" i="4"/>
  <c r="DB63" i="4"/>
  <c r="P63" i="4"/>
  <c r="D211" i="4" s="1"/>
  <c r="DD62" i="4"/>
  <c r="DC62" i="4"/>
  <c r="DB136" i="4"/>
  <c r="P62" i="4"/>
  <c r="D210" i="4" s="1"/>
  <c r="DD61" i="4"/>
  <c r="DC61" i="4"/>
  <c r="DB61" i="4"/>
  <c r="AG61" i="4"/>
  <c r="AG52" i="4" s="1"/>
  <c r="AF61" i="4"/>
  <c r="AF52" i="4" s="1"/>
  <c r="AE61" i="4"/>
  <c r="AE52" i="4" s="1"/>
  <c r="AD61" i="4"/>
  <c r="AD52" i="4" s="1"/>
  <c r="AC61" i="4"/>
  <c r="AC52" i="4" s="1"/>
  <c r="AB61" i="4"/>
  <c r="AB52" i="4" s="1"/>
  <c r="AA61" i="4"/>
  <c r="AA52" i="4" s="1"/>
  <c r="Z61" i="4"/>
  <c r="Z52" i="4" s="1"/>
  <c r="Y61" i="4"/>
  <c r="Y52" i="4" s="1"/>
  <c r="X61" i="4"/>
  <c r="X52" i="4" s="1"/>
  <c r="W61" i="4"/>
  <c r="W52" i="4" s="1"/>
  <c r="V61" i="4"/>
  <c r="V52" i="4" s="1"/>
  <c r="DD60" i="4"/>
  <c r="DC60" i="4"/>
  <c r="DB60" i="4"/>
  <c r="DD59" i="4"/>
  <c r="DC59" i="4"/>
  <c r="DB59" i="4"/>
  <c r="O59" i="4"/>
  <c r="N59" i="4"/>
  <c r="M59" i="4"/>
  <c r="L59" i="4"/>
  <c r="K59" i="4"/>
  <c r="J59" i="4"/>
  <c r="I59" i="4"/>
  <c r="H59" i="4"/>
  <c r="G59" i="4"/>
  <c r="F59" i="4"/>
  <c r="E59" i="4"/>
  <c r="DD58" i="4"/>
  <c r="DC58" i="4"/>
  <c r="DB58" i="4"/>
  <c r="P58" i="4"/>
  <c r="D206" i="4" s="1"/>
  <c r="DD57" i="4"/>
  <c r="DC57" i="4"/>
  <c r="DB57" i="4"/>
  <c r="P57" i="4"/>
  <c r="D205" i="4" s="1"/>
  <c r="D436" i="4" s="1"/>
  <c r="DD56" i="4"/>
  <c r="DC56" i="4"/>
  <c r="DB56" i="4"/>
  <c r="CE59" i="4"/>
  <c r="CA59" i="4"/>
  <c r="BW59" i="4"/>
  <c r="P56" i="4"/>
  <c r="D204" i="4" s="1"/>
  <c r="DD55" i="4"/>
  <c r="DC55" i="4"/>
  <c r="DB55" i="4"/>
  <c r="DD54" i="4"/>
  <c r="DB54" i="4"/>
  <c r="CY54" i="4"/>
  <c r="O54" i="4"/>
  <c r="N54" i="4"/>
  <c r="M54" i="4"/>
  <c r="L54" i="4"/>
  <c r="K54" i="4"/>
  <c r="J54" i="4"/>
  <c r="I54" i="4"/>
  <c r="H54" i="4"/>
  <c r="G54" i="4"/>
  <c r="F54" i="4"/>
  <c r="E54" i="4"/>
  <c r="DD53" i="4"/>
  <c r="DC53" i="4"/>
  <c r="P53" i="4"/>
  <c r="D201" i="4" s="1"/>
  <c r="DD52" i="4"/>
  <c r="DC52" i="4"/>
  <c r="DB52" i="4"/>
  <c r="P52" i="4"/>
  <c r="D200" i="4" s="1"/>
  <c r="DD51" i="4"/>
  <c r="DC51" i="4"/>
  <c r="P51" i="4"/>
  <c r="D199" i="4" s="1"/>
  <c r="DD50" i="4"/>
  <c r="DC50" i="4"/>
  <c r="DB124" i="4"/>
  <c r="P50" i="4"/>
  <c r="D198" i="4" s="1"/>
  <c r="DD49" i="4"/>
  <c r="DC49" i="4"/>
  <c r="AG49" i="4"/>
  <c r="AG40" i="4" s="1"/>
  <c r="AF49" i="4"/>
  <c r="AF40" i="4" s="1"/>
  <c r="AE49" i="4"/>
  <c r="AE40" i="4" s="1"/>
  <c r="AD49" i="4"/>
  <c r="AD40" i="4" s="1"/>
  <c r="AC49" i="4"/>
  <c r="AC40" i="4" s="1"/>
  <c r="AB49" i="4"/>
  <c r="AB40" i="4" s="1"/>
  <c r="AA49" i="4"/>
  <c r="AA40" i="4" s="1"/>
  <c r="Z49" i="4"/>
  <c r="Z40" i="4" s="1"/>
  <c r="Y49" i="4"/>
  <c r="Y40" i="4" s="1"/>
  <c r="X49" i="4"/>
  <c r="X40" i="4" s="1"/>
  <c r="W49" i="4"/>
  <c r="W40" i="4" s="1"/>
  <c r="V49" i="4"/>
  <c r="V40" i="4" s="1"/>
  <c r="P49" i="4"/>
  <c r="D197" i="4" s="1"/>
  <c r="DD48" i="4"/>
  <c r="DC48" i="4"/>
  <c r="DB122" i="4"/>
  <c r="P48" i="4"/>
  <c r="D196" i="4" s="1"/>
  <c r="DD47" i="4"/>
  <c r="DC47" i="4"/>
  <c r="DB47" i="4"/>
  <c r="DD46" i="4"/>
  <c r="DB46" i="4"/>
  <c r="CY46" i="4"/>
  <c r="DD45" i="4"/>
  <c r="DC45" i="4"/>
  <c r="B275" i="4"/>
  <c r="DD44" i="4"/>
  <c r="DC44" i="4"/>
  <c r="DB44" i="4"/>
  <c r="P44" i="4"/>
  <c r="D192" i="4" s="1"/>
  <c r="DD43" i="4"/>
  <c r="DC43" i="4"/>
  <c r="DB43" i="4"/>
  <c r="P43" i="4"/>
  <c r="D191" i="4" s="1"/>
  <c r="DD42" i="4"/>
  <c r="DC42" i="4"/>
  <c r="DB42" i="4"/>
  <c r="P42" i="4"/>
  <c r="D190" i="4" s="1"/>
  <c r="DD41" i="4"/>
  <c r="DC41" i="4"/>
  <c r="DB41" i="4"/>
  <c r="P41" i="4"/>
  <c r="D189" i="4" s="1"/>
  <c r="B271" i="4"/>
  <c r="B409" i="4" s="1"/>
  <c r="DD40" i="4"/>
  <c r="DC40" i="4"/>
  <c r="DB40" i="4"/>
  <c r="DD39" i="4"/>
  <c r="DB39" i="4"/>
  <c r="CY39" i="4"/>
  <c r="O39" i="4"/>
  <c r="N39" i="4"/>
  <c r="M39" i="4"/>
  <c r="L39" i="4"/>
  <c r="K39" i="4"/>
  <c r="J39" i="4"/>
  <c r="I39" i="4"/>
  <c r="H39" i="4"/>
  <c r="G39" i="4"/>
  <c r="F39" i="4"/>
  <c r="E39" i="4"/>
  <c r="DD38" i="4"/>
  <c r="DC38" i="4"/>
  <c r="P38" i="4"/>
  <c r="D186" i="4" s="1"/>
  <c r="DD37" i="4"/>
  <c r="DC37" i="4"/>
  <c r="AG37" i="4"/>
  <c r="AG28" i="4" s="1"/>
  <c r="AF37" i="4"/>
  <c r="AF28" i="4" s="1"/>
  <c r="AE37" i="4"/>
  <c r="AE28" i="4" s="1"/>
  <c r="AD37" i="4"/>
  <c r="AD28" i="4" s="1"/>
  <c r="AC37" i="4"/>
  <c r="AC28" i="4" s="1"/>
  <c r="AB37" i="4"/>
  <c r="AB28" i="4" s="1"/>
  <c r="AA37" i="4"/>
  <c r="AA28" i="4" s="1"/>
  <c r="Z37" i="4"/>
  <c r="Z28" i="4" s="1"/>
  <c r="Y37" i="4"/>
  <c r="Y28" i="4" s="1"/>
  <c r="X37" i="4"/>
  <c r="X28" i="4" s="1"/>
  <c r="W37" i="4"/>
  <c r="W28" i="4" s="1"/>
  <c r="V37" i="4"/>
  <c r="V28" i="4" s="1"/>
  <c r="P37" i="4"/>
  <c r="D185" i="4" s="1"/>
  <c r="DD36" i="4"/>
  <c r="DC36" i="4"/>
  <c r="P36" i="4"/>
  <c r="D184" i="4" s="1"/>
  <c r="DD35" i="4"/>
  <c r="DC35" i="4"/>
  <c r="P35" i="4"/>
  <c r="D183" i="4" s="1"/>
  <c r="DD34" i="4"/>
  <c r="DC34" i="4"/>
  <c r="DB34" i="4"/>
  <c r="DD33" i="4"/>
  <c r="DB33" i="4"/>
  <c r="CY33" i="4"/>
  <c r="N33" i="4"/>
  <c r="M33" i="4"/>
  <c r="L33" i="4"/>
  <c r="K33" i="4"/>
  <c r="J33" i="4"/>
  <c r="I33" i="4"/>
  <c r="H33" i="4"/>
  <c r="G33" i="4"/>
  <c r="F33" i="4"/>
  <c r="E33" i="4"/>
  <c r="DD32" i="4"/>
  <c r="DC32" i="4"/>
  <c r="DB32" i="4"/>
  <c r="P32" i="4"/>
  <c r="D180" i="4" s="1"/>
  <c r="DD31" i="4"/>
  <c r="DC31" i="4"/>
  <c r="DB31" i="4"/>
  <c r="P31" i="4"/>
  <c r="D179" i="4" s="1"/>
  <c r="DD30" i="4"/>
  <c r="DC30" i="4"/>
  <c r="P30" i="4"/>
  <c r="D178" i="4" s="1"/>
  <c r="DD29" i="4"/>
  <c r="DC29" i="4"/>
  <c r="DB29" i="4"/>
  <c r="DB103" i="4"/>
  <c r="P29" i="4"/>
  <c r="D177" i="4" s="1"/>
  <c r="DD28" i="4"/>
  <c r="DC28" i="4"/>
  <c r="DB28" i="4"/>
  <c r="DD27" i="4"/>
  <c r="DC27" i="4"/>
  <c r="DB27" i="4"/>
  <c r="DD26" i="4"/>
  <c r="DC26" i="4"/>
  <c r="P26" i="4"/>
  <c r="D174" i="4" s="1"/>
  <c r="DD25" i="4"/>
  <c r="DC25" i="4"/>
  <c r="DB25" i="4"/>
  <c r="AG25" i="4"/>
  <c r="AG16" i="4" s="1"/>
  <c r="AF25" i="4"/>
  <c r="AF16" i="4" s="1"/>
  <c r="AE25" i="4"/>
  <c r="AE16" i="4" s="1"/>
  <c r="AD25" i="4"/>
  <c r="AD16" i="4" s="1"/>
  <c r="AC25" i="4"/>
  <c r="AC16" i="4" s="1"/>
  <c r="AB25" i="4"/>
  <c r="AB16" i="4" s="1"/>
  <c r="AA25" i="4"/>
  <c r="AA16" i="4" s="1"/>
  <c r="Z25" i="4"/>
  <c r="Z16" i="4" s="1"/>
  <c r="Y25" i="4"/>
  <c r="Y16" i="4" s="1"/>
  <c r="X25" i="4"/>
  <c r="X16" i="4" s="1"/>
  <c r="W25" i="4"/>
  <c r="W16" i="4" s="1"/>
  <c r="V25" i="4"/>
  <c r="V16" i="4" s="1"/>
  <c r="DD24" i="4"/>
  <c r="DC24" i="4"/>
  <c r="DB24" i="4"/>
  <c r="DD23" i="4"/>
  <c r="DB23" i="4"/>
  <c r="CY23" i="4"/>
  <c r="O23" i="4"/>
  <c r="N23" i="4"/>
  <c r="M23" i="4"/>
  <c r="L23" i="4"/>
  <c r="K23" i="4"/>
  <c r="J23" i="4"/>
  <c r="I23" i="4"/>
  <c r="H23" i="4"/>
  <c r="G23" i="4"/>
  <c r="F23" i="4"/>
  <c r="E23" i="4"/>
  <c r="DD22" i="4"/>
  <c r="DC22" i="4"/>
  <c r="P22" i="4"/>
  <c r="D170" i="4" s="1"/>
  <c r="DD21" i="4"/>
  <c r="DC21" i="4"/>
  <c r="P21" i="4"/>
  <c r="D169" i="4" s="1"/>
  <c r="DD20" i="4"/>
  <c r="DC20" i="4"/>
  <c r="P20" i="4"/>
  <c r="D168" i="4" s="1"/>
  <c r="DD19" i="4"/>
  <c r="DC19" i="4"/>
  <c r="P19" i="4"/>
  <c r="D167" i="4" s="1"/>
  <c r="DB18" i="4"/>
  <c r="DB92" i="4"/>
  <c r="P18" i="4"/>
  <c r="D166" i="4" s="1"/>
  <c r="A92" i="4"/>
  <c r="DD91" i="4"/>
  <c r="P17" i="4"/>
  <c r="D165" i="4" s="1"/>
  <c r="DD16" i="4"/>
  <c r="DC16" i="4"/>
  <c r="DB16" i="4"/>
  <c r="DB90" i="4"/>
  <c r="P16" i="4"/>
  <c r="D164" i="4" s="1"/>
  <c r="DD15" i="4"/>
  <c r="DC15" i="4"/>
  <c r="P15" i="4"/>
  <c r="D163" i="4" s="1"/>
  <c r="DD14" i="4"/>
  <c r="DC14" i="4"/>
  <c r="DB14" i="4"/>
  <c r="DD13" i="4"/>
  <c r="DB13" i="4"/>
  <c r="CY13" i="4"/>
  <c r="AG13" i="4"/>
  <c r="AG4" i="4" s="1"/>
  <c r="AF13" i="4"/>
  <c r="AF4" i="4" s="1"/>
  <c r="AE13" i="4"/>
  <c r="AE4" i="4" s="1"/>
  <c r="AD13" i="4"/>
  <c r="AD4" i="4" s="1"/>
  <c r="AC13" i="4"/>
  <c r="AC4" i="4" s="1"/>
  <c r="AB13" i="4"/>
  <c r="AB4" i="4" s="1"/>
  <c r="AA13" i="4"/>
  <c r="AA4" i="4" s="1"/>
  <c r="Z13" i="4"/>
  <c r="Z4" i="4" s="1"/>
  <c r="Y13" i="4"/>
  <c r="Y4" i="4" s="1"/>
  <c r="X13" i="4"/>
  <c r="X4" i="4" s="1"/>
  <c r="W13" i="4"/>
  <c r="W4" i="4" s="1"/>
  <c r="V13" i="4"/>
  <c r="V4" i="4" s="1"/>
  <c r="O13" i="4"/>
  <c r="N13" i="4"/>
  <c r="M13" i="4"/>
  <c r="L13" i="4"/>
  <c r="K13" i="4"/>
  <c r="J13" i="4"/>
  <c r="I13" i="4"/>
  <c r="H13" i="4"/>
  <c r="G13" i="4"/>
  <c r="F13" i="4"/>
  <c r="E13" i="4"/>
  <c r="D13" i="4"/>
  <c r="DD12" i="4"/>
  <c r="DC12" i="4"/>
  <c r="P12" i="4"/>
  <c r="D160" i="4" s="1"/>
  <c r="DD11" i="4"/>
  <c r="DC11" i="4"/>
  <c r="P11" i="4"/>
  <c r="D159" i="4" s="1"/>
  <c r="DD10" i="4"/>
  <c r="DC10" i="4"/>
  <c r="DB83" i="4"/>
  <c r="P10" i="4"/>
  <c r="D158" i="4" s="1"/>
  <c r="DD9" i="4"/>
  <c r="DC9" i="4"/>
  <c r="DB9" i="4"/>
  <c r="P9" i="4"/>
  <c r="D157" i="4" s="1"/>
  <c r="DD8" i="4"/>
  <c r="DC8" i="4"/>
  <c r="DB82" i="4"/>
  <c r="P8" i="4"/>
  <c r="D156" i="4" s="1"/>
  <c r="B238" i="4"/>
  <c r="B376" i="4" s="1"/>
  <c r="DD7" i="4"/>
  <c r="DC7" i="4"/>
  <c r="P7" i="4"/>
  <c r="D155" i="4" s="1"/>
  <c r="DD6" i="4"/>
  <c r="DC6" i="4"/>
  <c r="DB6" i="4"/>
  <c r="H432" i="6"/>
  <c r="G432" i="6"/>
  <c r="F432" i="6"/>
  <c r="E432" i="6"/>
  <c r="CV430" i="6"/>
  <c r="CV429" i="6"/>
  <c r="CV428" i="6"/>
  <c r="CV427" i="6"/>
  <c r="CV426" i="6"/>
  <c r="CV425" i="6"/>
  <c r="CV424" i="6"/>
  <c r="G421" i="6"/>
  <c r="F421" i="6"/>
  <c r="E421" i="6"/>
  <c r="CV420" i="6"/>
  <c r="CV419" i="6"/>
  <c r="CV418" i="6"/>
  <c r="CV417" i="6"/>
  <c r="CV416" i="6"/>
  <c r="CV415" i="6"/>
  <c r="CV414" i="6"/>
  <c r="CV413" i="6"/>
  <c r="F410" i="6"/>
  <c r="E410" i="6"/>
  <c r="CV408" i="6"/>
  <c r="CV407" i="6"/>
  <c r="CV406" i="6"/>
  <c r="CV405" i="6"/>
  <c r="CV404" i="6"/>
  <c r="CV403" i="6"/>
  <c r="CV402" i="6"/>
  <c r="E399" i="6"/>
  <c r="CV397" i="6"/>
  <c r="CV396" i="6"/>
  <c r="CV395" i="6"/>
  <c r="CV394" i="6"/>
  <c r="CV393" i="6"/>
  <c r="CV392" i="6"/>
  <c r="CV391" i="6"/>
  <c r="Z387" i="6"/>
  <c r="Y387" i="6"/>
  <c r="X387" i="6"/>
  <c r="W387" i="6"/>
  <c r="V387" i="6"/>
  <c r="CV386" i="6"/>
  <c r="Z386" i="6"/>
  <c r="Y386" i="6"/>
  <c r="X386" i="6"/>
  <c r="W386" i="6"/>
  <c r="V386" i="6"/>
  <c r="CV385" i="6"/>
  <c r="Z385" i="6"/>
  <c r="Y385" i="6"/>
  <c r="X385" i="6"/>
  <c r="W385" i="6"/>
  <c r="V385" i="6"/>
  <c r="CV384" i="6"/>
  <c r="Z384" i="6"/>
  <c r="Y384" i="6"/>
  <c r="X384" i="6"/>
  <c r="W384" i="6"/>
  <c r="V384" i="6"/>
  <c r="CV383" i="6"/>
  <c r="Z383" i="6"/>
  <c r="Y383" i="6"/>
  <c r="X383" i="6"/>
  <c r="W383" i="6"/>
  <c r="V383" i="6"/>
  <c r="CV382" i="6"/>
  <c r="Z382" i="6"/>
  <c r="Y382" i="6"/>
  <c r="X382" i="6"/>
  <c r="W382" i="6"/>
  <c r="V382" i="6"/>
  <c r="CV381" i="6"/>
  <c r="Z381" i="6"/>
  <c r="Y381" i="6"/>
  <c r="X381" i="6"/>
  <c r="W381" i="6"/>
  <c r="V381" i="6"/>
  <c r="CV380" i="6"/>
  <c r="W380" i="6"/>
  <c r="X380" i="6"/>
  <c r="Y380" i="6"/>
  <c r="Z380" i="6"/>
  <c r="CV378" i="6"/>
  <c r="CV389" i="6"/>
  <c r="CV400" i="6"/>
  <c r="CV411" i="6"/>
  <c r="CV422" i="6"/>
  <c r="CV374" i="6"/>
  <c r="AE374" i="6"/>
  <c r="AD374" i="6"/>
  <c r="AC374" i="6"/>
  <c r="AB374" i="6"/>
  <c r="AA374" i="6"/>
  <c r="Z374" i="6"/>
  <c r="Y374" i="6"/>
  <c r="X374" i="6"/>
  <c r="W374" i="6"/>
  <c r="V374" i="6"/>
  <c r="U374" i="6"/>
  <c r="E374" i="6"/>
  <c r="AF374" i="6"/>
  <c r="CW373" i="6"/>
  <c r="CV373" i="6"/>
  <c r="AC373" i="6"/>
  <c r="E373" i="6"/>
  <c r="C373" i="6"/>
  <c r="CW372" i="6"/>
  <c r="CV372" i="6"/>
  <c r="AC372" i="6"/>
  <c r="E372" i="6"/>
  <c r="C372" i="6"/>
  <c r="CW371" i="6"/>
  <c r="CV371" i="6"/>
  <c r="E371" i="6"/>
  <c r="C371" i="6"/>
  <c r="CW370" i="6"/>
  <c r="CV370" i="6"/>
  <c r="AF370" i="6"/>
  <c r="E370" i="6"/>
  <c r="C370" i="6"/>
  <c r="CW369" i="6"/>
  <c r="CV369" i="6"/>
  <c r="AD369" i="6"/>
  <c r="C369" i="6"/>
  <c r="CW368" i="6"/>
  <c r="CV368" i="6"/>
  <c r="AF368" i="6"/>
  <c r="E368" i="6"/>
  <c r="C368" i="6"/>
  <c r="CW367" i="6"/>
  <c r="CV367" i="6"/>
  <c r="AD367" i="6"/>
  <c r="E367" i="6"/>
  <c r="C367" i="6"/>
  <c r="CV366" i="6"/>
  <c r="CW358" i="6"/>
  <c r="T358" i="6"/>
  <c r="CW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U357" i="6"/>
  <c r="CW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CW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W355" i="6"/>
  <c r="V355" i="6"/>
  <c r="U355" i="6"/>
  <c r="CW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U354" i="6"/>
  <c r="CW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A353" i="6"/>
  <c r="Z353" i="6"/>
  <c r="Y353" i="6"/>
  <c r="X353" i="6"/>
  <c r="W353" i="6"/>
  <c r="U353" i="6"/>
  <c r="CW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B352" i="6"/>
  <c r="AA352" i="6"/>
  <c r="Z352" i="6"/>
  <c r="Y352" i="6"/>
  <c r="X352" i="6"/>
  <c r="W352" i="6"/>
  <c r="U352" i="6"/>
  <c r="V352" i="6"/>
  <c r="CW351" i="6"/>
  <c r="AR351" i="6"/>
  <c r="AQ351" i="6"/>
  <c r="AP351" i="6"/>
  <c r="AO351" i="6"/>
  <c r="AN351" i="6"/>
  <c r="AM351" i="6"/>
  <c r="AL351" i="6"/>
  <c r="AK351" i="6"/>
  <c r="AJ351" i="6"/>
  <c r="AH351" i="6"/>
  <c r="AG351" i="6"/>
  <c r="AF351" i="6"/>
  <c r="AE351" i="6"/>
  <c r="AD351" i="6"/>
  <c r="AB351" i="6"/>
  <c r="AA351" i="6"/>
  <c r="Z351" i="6"/>
  <c r="N27" i="6"/>
  <c r="K27" i="6"/>
  <c r="H27" i="6"/>
  <c r="E27" i="6"/>
  <c r="CW18" i="6"/>
  <c r="CV18" i="6"/>
  <c r="B18" i="6"/>
  <c r="G14" i="6"/>
  <c r="I99" i="14"/>
  <c r="H99" i="14"/>
  <c r="G99" i="14"/>
  <c r="D98" i="14"/>
  <c r="C96" i="14"/>
  <c r="I94" i="14"/>
  <c r="H94" i="14"/>
  <c r="G94" i="14"/>
  <c r="C92" i="14"/>
  <c r="C91" i="14"/>
  <c r="W81" i="14"/>
  <c r="Z87" i="14"/>
  <c r="I87" i="14"/>
  <c r="Y87" i="14"/>
  <c r="H87" i="14"/>
  <c r="X87" i="14"/>
  <c r="G87" i="14"/>
  <c r="C83" i="14"/>
  <c r="Z79" i="14"/>
  <c r="I79" i="14"/>
  <c r="Y79" i="14"/>
  <c r="H79" i="14"/>
  <c r="X79" i="14"/>
  <c r="G79" i="14"/>
  <c r="W73" i="14"/>
  <c r="C75" i="14"/>
  <c r="B73" i="14"/>
  <c r="P65" i="14"/>
  <c r="AB179" i="14"/>
  <c r="O65" i="14"/>
  <c r="AA179" i="14"/>
  <c r="N65" i="14"/>
  <c r="Z179" i="14"/>
  <c r="M65" i="14"/>
  <c r="Y179" i="14"/>
  <c r="L65" i="14"/>
  <c r="X179" i="14"/>
  <c r="K65" i="14"/>
  <c r="W179" i="14"/>
  <c r="J65" i="14"/>
  <c r="V179" i="14"/>
  <c r="I65" i="14"/>
  <c r="U179" i="14"/>
  <c r="H65" i="14"/>
  <c r="T179" i="14"/>
  <c r="G65" i="14"/>
  <c r="S179" i="14"/>
  <c r="F65" i="14"/>
  <c r="E65" i="14"/>
  <c r="D64" i="14"/>
  <c r="Q63" i="14"/>
  <c r="F97" i="14"/>
  <c r="C63" i="14"/>
  <c r="C97" i="14"/>
  <c r="Q62" i="14"/>
  <c r="F96" i="14"/>
  <c r="P60" i="14"/>
  <c r="AB178" i="14"/>
  <c r="O60" i="14"/>
  <c r="AA178" i="14"/>
  <c r="N60" i="14"/>
  <c r="Z178" i="14"/>
  <c r="M60" i="14"/>
  <c r="Y178" i="14"/>
  <c r="L60" i="14"/>
  <c r="X178" i="14"/>
  <c r="K60" i="14"/>
  <c r="W178" i="14"/>
  <c r="J60" i="14"/>
  <c r="V178" i="14"/>
  <c r="I60" i="14"/>
  <c r="U178" i="14"/>
  <c r="H60" i="14"/>
  <c r="T178" i="14"/>
  <c r="G60" i="14"/>
  <c r="S178" i="14"/>
  <c r="F60" i="14"/>
  <c r="R178" i="14"/>
  <c r="E60" i="14"/>
  <c r="D59" i="14"/>
  <c r="Q58" i="14"/>
  <c r="F92" i="14"/>
  <c r="Q57" i="14"/>
  <c r="F91" i="14"/>
  <c r="D54" i="14"/>
  <c r="W47" i="14"/>
  <c r="AI53" i="14"/>
  <c r="P53" i="14"/>
  <c r="AH53" i="14"/>
  <c r="O53" i="14"/>
  <c r="AG53" i="14"/>
  <c r="N53" i="14"/>
  <c r="AF53" i="14"/>
  <c r="M53" i="14"/>
  <c r="AE53" i="14"/>
  <c r="L53" i="14"/>
  <c r="AD53" i="14"/>
  <c r="K53" i="14"/>
  <c r="AC53" i="14"/>
  <c r="J53" i="14"/>
  <c r="AB53" i="14"/>
  <c r="I53" i="14"/>
  <c r="AA53" i="14"/>
  <c r="H53" i="14"/>
  <c r="Z53" i="14"/>
  <c r="G53" i="14"/>
  <c r="Y53" i="14"/>
  <c r="F53" i="14"/>
  <c r="X53" i="14"/>
  <c r="E53" i="14"/>
  <c r="AJ52" i="14"/>
  <c r="Q52" i="14"/>
  <c r="F86" i="14"/>
  <c r="C52" i="14"/>
  <c r="C86" i="14"/>
  <c r="AJ51" i="14"/>
  <c r="Q51" i="14"/>
  <c r="F85" i="14"/>
  <c r="C51" i="14"/>
  <c r="C85" i="14"/>
  <c r="AJ50" i="14"/>
  <c r="Q50" i="14"/>
  <c r="C84" i="14"/>
  <c r="AJ49" i="14"/>
  <c r="Q49" i="14"/>
  <c r="F83" i="14"/>
  <c r="AJ48" i="14"/>
  <c r="AI45" i="14"/>
  <c r="P45" i="14"/>
  <c r="AH45" i="14"/>
  <c r="O45" i="14"/>
  <c r="AG45" i="14"/>
  <c r="N45" i="14"/>
  <c r="N47" i="14"/>
  <c r="Z176" i="14"/>
  <c r="AF45" i="14"/>
  <c r="M45" i="14"/>
  <c r="AE45" i="14"/>
  <c r="L45" i="14"/>
  <c r="AD45" i="14"/>
  <c r="K45" i="14"/>
  <c r="AC45" i="14"/>
  <c r="J45" i="14"/>
  <c r="AB45" i="14"/>
  <c r="I45" i="14"/>
  <c r="AA45" i="14"/>
  <c r="H45" i="14"/>
  <c r="Z45" i="14"/>
  <c r="G45" i="14"/>
  <c r="Y45" i="14"/>
  <c r="F45" i="14"/>
  <c r="X45" i="14"/>
  <c r="E45" i="14"/>
  <c r="D46" i="14"/>
  <c r="W39" i="14"/>
  <c r="AJ44" i="14"/>
  <c r="AJ43" i="14"/>
  <c r="Q44" i="14"/>
  <c r="F78" i="14"/>
  <c r="C44" i="14"/>
  <c r="C78" i="14"/>
  <c r="AJ42" i="14"/>
  <c r="Q43" i="14"/>
  <c r="F77" i="14"/>
  <c r="C43" i="14"/>
  <c r="C77" i="14"/>
  <c r="AJ41" i="14"/>
  <c r="Q42" i="14"/>
  <c r="F76" i="14"/>
  <c r="C42" i="14"/>
  <c r="C76" i="14"/>
  <c r="AJ40" i="14"/>
  <c r="Q41" i="14"/>
  <c r="F75" i="14"/>
  <c r="C39" i="14"/>
  <c r="V38" i="14"/>
  <c r="CW36" i="14"/>
  <c r="CV36" i="14"/>
  <c r="P31" i="14"/>
  <c r="O31" i="14"/>
  <c r="O179" i="14"/>
  <c r="N31" i="14"/>
  <c r="N179" i="14"/>
  <c r="M31" i="14"/>
  <c r="L31" i="14"/>
  <c r="L179" i="14"/>
  <c r="K31" i="14"/>
  <c r="J31" i="14"/>
  <c r="J179" i="14"/>
  <c r="I31" i="14"/>
  <c r="H31" i="14"/>
  <c r="H179" i="14"/>
  <c r="G31" i="14"/>
  <c r="F31" i="14"/>
  <c r="F179" i="14"/>
  <c r="E31" i="14"/>
  <c r="Q29" i="14"/>
  <c r="E97" i="14"/>
  <c r="Q28" i="14"/>
  <c r="E96" i="14"/>
  <c r="P26" i="14"/>
  <c r="P178" i="14"/>
  <c r="O26" i="14"/>
  <c r="O178" i="14"/>
  <c r="N26" i="14"/>
  <c r="N178" i="14"/>
  <c r="M26" i="14"/>
  <c r="M178" i="14"/>
  <c r="L26" i="14"/>
  <c r="L178" i="14"/>
  <c r="K26" i="14"/>
  <c r="K178" i="14"/>
  <c r="J26" i="14"/>
  <c r="J178" i="14"/>
  <c r="I26" i="14"/>
  <c r="I178" i="14"/>
  <c r="H26" i="14"/>
  <c r="H178" i="14"/>
  <c r="G26" i="14"/>
  <c r="G178" i="14"/>
  <c r="F26" i="14"/>
  <c r="F178" i="14"/>
  <c r="E26" i="14"/>
  <c r="E178" i="14"/>
  <c r="Q24" i="14"/>
  <c r="E92" i="14"/>
  <c r="Q23" i="14"/>
  <c r="E91" i="14"/>
  <c r="AI19" i="14"/>
  <c r="P19" i="14"/>
  <c r="AH19" i="14"/>
  <c r="O19" i="14"/>
  <c r="AG19" i="14"/>
  <c r="N19" i="14"/>
  <c r="N21" i="14"/>
  <c r="N177" i="14"/>
  <c r="AF19" i="14"/>
  <c r="M19" i="14"/>
  <c r="AE19" i="14"/>
  <c r="L19" i="14"/>
  <c r="AD19" i="14"/>
  <c r="K19" i="14"/>
  <c r="AC19" i="14"/>
  <c r="J19" i="14"/>
  <c r="AB19" i="14"/>
  <c r="I19" i="14"/>
  <c r="AA19" i="14"/>
  <c r="H19" i="14"/>
  <c r="Z19" i="14"/>
  <c r="G19" i="14"/>
  <c r="Y19" i="14"/>
  <c r="F19" i="14"/>
  <c r="X19" i="14"/>
  <c r="E19" i="14"/>
  <c r="AJ18" i="14"/>
  <c r="Q18" i="14"/>
  <c r="E86" i="14"/>
  <c r="AJ17" i="14"/>
  <c r="Q17" i="14"/>
  <c r="E85" i="14"/>
  <c r="AJ16" i="14"/>
  <c r="Q16" i="14"/>
  <c r="E84" i="14"/>
  <c r="AJ15" i="14"/>
  <c r="Q15" i="14"/>
  <c r="E83" i="14"/>
  <c r="AJ14" i="14"/>
  <c r="W13" i="14"/>
  <c r="AI11" i="14"/>
  <c r="P11" i="14"/>
  <c r="AH11" i="14"/>
  <c r="O11" i="14"/>
  <c r="AG11" i="14"/>
  <c r="N11" i="14"/>
  <c r="AF11" i="14"/>
  <c r="M11" i="14"/>
  <c r="AE11" i="14"/>
  <c r="L11" i="14"/>
  <c r="AD11" i="14"/>
  <c r="K11" i="14"/>
  <c r="AC11" i="14"/>
  <c r="J11" i="14"/>
  <c r="AB11" i="14"/>
  <c r="I11" i="14"/>
  <c r="AA11" i="14"/>
  <c r="H11" i="14"/>
  <c r="Z11" i="14"/>
  <c r="G11" i="14"/>
  <c r="Y11" i="14"/>
  <c r="F11" i="14"/>
  <c r="X11" i="14"/>
  <c r="E11" i="14"/>
  <c r="AJ10" i="14"/>
  <c r="AJ9" i="14"/>
  <c r="Q10" i="14"/>
  <c r="E78" i="14"/>
  <c r="AJ8" i="14"/>
  <c r="Q9" i="14"/>
  <c r="E77" i="14"/>
  <c r="AJ7" i="14"/>
  <c r="Q8" i="14"/>
  <c r="E76" i="14"/>
  <c r="AJ6" i="14"/>
  <c r="Q7" i="14"/>
  <c r="W5" i="14"/>
  <c r="CV89" i="2"/>
  <c r="H89" i="2"/>
  <c r="G89" i="2"/>
  <c r="F89" i="2"/>
  <c r="CV88" i="2"/>
  <c r="CV86" i="2"/>
  <c r="CV85" i="2"/>
  <c r="CV84" i="2"/>
  <c r="H84" i="2"/>
  <c r="G84" i="2"/>
  <c r="F84" i="2"/>
  <c r="E84" i="2"/>
  <c r="CV83" i="2"/>
  <c r="CV82" i="2"/>
  <c r="CV81" i="2"/>
  <c r="CV80" i="2"/>
  <c r="H80" i="2"/>
  <c r="G80" i="2"/>
  <c r="F80" i="2"/>
  <c r="E80" i="2"/>
  <c r="CV79" i="2"/>
  <c r="CV78" i="2"/>
  <c r="CV77" i="2"/>
  <c r="CV76" i="2"/>
  <c r="H76" i="2"/>
  <c r="G76" i="2"/>
  <c r="F76" i="2"/>
  <c r="E76" i="2"/>
  <c r="CV75" i="2"/>
  <c r="CV74" i="2"/>
  <c r="CV73" i="2"/>
  <c r="CV72" i="2"/>
  <c r="CV71" i="2"/>
  <c r="CV70" i="2"/>
  <c r="CV69" i="2"/>
  <c r="H69" i="2"/>
  <c r="G69" i="2"/>
  <c r="F69" i="2"/>
  <c r="E69" i="2"/>
  <c r="CV68" i="2"/>
  <c r="CV67" i="2"/>
  <c r="CV66" i="2"/>
  <c r="CV65" i="2"/>
  <c r="CV64" i="2"/>
  <c r="H64" i="2"/>
  <c r="G64" i="2"/>
  <c r="F64" i="2"/>
  <c r="E64" i="2"/>
  <c r="CV63" i="2"/>
  <c r="CV62" i="2"/>
  <c r="CV61" i="2"/>
  <c r="D61" i="2"/>
  <c r="CV60" i="2"/>
  <c r="H60" i="2"/>
  <c r="G60" i="2"/>
  <c r="F60" i="2"/>
  <c r="E60" i="2"/>
  <c r="CV59" i="2"/>
  <c r="CV58" i="2"/>
  <c r="CV57" i="2"/>
  <c r="CV56" i="2"/>
  <c r="CV55" i="2"/>
  <c r="CV54" i="2"/>
  <c r="CV53" i="2"/>
  <c r="CV52" i="2"/>
  <c r="CV51" i="2"/>
  <c r="CV50" i="2"/>
  <c r="B50" i="2"/>
  <c r="B97" i="2"/>
  <c r="CW48" i="2"/>
  <c r="CV48" i="2"/>
  <c r="O44" i="2"/>
  <c r="N44" i="2"/>
  <c r="M44" i="2"/>
  <c r="L44" i="2"/>
  <c r="K44" i="2"/>
  <c r="J44" i="2"/>
  <c r="I44" i="2"/>
  <c r="H44" i="2"/>
  <c r="G44" i="2"/>
  <c r="F44" i="2"/>
  <c r="E44" i="2"/>
  <c r="D44" i="2"/>
  <c r="P43" i="2"/>
  <c r="D88" i="2"/>
  <c r="P41" i="2"/>
  <c r="O39" i="2"/>
  <c r="N39" i="2"/>
  <c r="M39" i="2"/>
  <c r="L39" i="2"/>
  <c r="K39" i="2"/>
  <c r="J39" i="2"/>
  <c r="I39" i="2"/>
  <c r="H39" i="2"/>
  <c r="G39" i="2"/>
  <c r="F39" i="2"/>
  <c r="E39" i="2"/>
  <c r="D39" i="2"/>
  <c r="P38" i="2"/>
  <c r="D83" i="2"/>
  <c r="P37" i="2"/>
  <c r="D82" i="2"/>
  <c r="O35" i="2"/>
  <c r="N35" i="2"/>
  <c r="M35" i="2"/>
  <c r="L35" i="2"/>
  <c r="K35" i="2"/>
  <c r="J35" i="2"/>
  <c r="I35" i="2"/>
  <c r="H35" i="2"/>
  <c r="G35" i="2"/>
  <c r="F35" i="2"/>
  <c r="E35" i="2"/>
  <c r="D35" i="2"/>
  <c r="P34" i="2"/>
  <c r="D79" i="2"/>
  <c r="P33" i="2"/>
  <c r="D78" i="2"/>
  <c r="O31" i="2"/>
  <c r="N31" i="2"/>
  <c r="M31" i="2"/>
  <c r="L31" i="2"/>
  <c r="K31" i="2"/>
  <c r="J31" i="2"/>
  <c r="I31" i="2"/>
  <c r="H31" i="2"/>
  <c r="G31" i="2"/>
  <c r="F31" i="2"/>
  <c r="E31" i="2"/>
  <c r="D31" i="2"/>
  <c r="P30" i="2"/>
  <c r="D75" i="2"/>
  <c r="P29" i="2"/>
  <c r="D74" i="2"/>
  <c r="P28" i="2"/>
  <c r="P27" i="2"/>
  <c r="D72" i="2"/>
  <c r="P26" i="2"/>
  <c r="D71" i="2"/>
  <c r="O24" i="2"/>
  <c r="N24" i="2"/>
  <c r="M24" i="2"/>
  <c r="L24" i="2"/>
  <c r="K24" i="2"/>
  <c r="J24" i="2"/>
  <c r="I24" i="2"/>
  <c r="H24" i="2"/>
  <c r="G24" i="2"/>
  <c r="F24" i="2"/>
  <c r="E24" i="2"/>
  <c r="D24" i="2"/>
  <c r="P23" i="2"/>
  <c r="D68" i="2"/>
  <c r="P22" i="2"/>
  <c r="D67" i="2"/>
  <c r="P21" i="2"/>
  <c r="D66" i="2"/>
  <c r="O19" i="2"/>
  <c r="N19" i="2"/>
  <c r="M19" i="2"/>
  <c r="L19" i="2"/>
  <c r="K19" i="2"/>
  <c r="J19" i="2"/>
  <c r="I19" i="2"/>
  <c r="H19" i="2"/>
  <c r="G19" i="2"/>
  <c r="F19" i="2"/>
  <c r="E19" i="2"/>
  <c r="D19" i="2"/>
  <c r="P18" i="2"/>
  <c r="D63" i="2"/>
  <c r="P17" i="2"/>
  <c r="O15" i="2"/>
  <c r="N15" i="2"/>
  <c r="M15" i="2"/>
  <c r="L15" i="2"/>
  <c r="K15" i="2"/>
  <c r="J15" i="2"/>
  <c r="I15" i="2"/>
  <c r="H15" i="2"/>
  <c r="G15" i="2"/>
  <c r="F15" i="2"/>
  <c r="E15" i="2"/>
  <c r="D15" i="2"/>
  <c r="P14" i="2"/>
  <c r="D59" i="2"/>
  <c r="P13" i="2"/>
  <c r="D58" i="2"/>
  <c r="P12" i="2"/>
  <c r="D57" i="2"/>
  <c r="P11" i="2"/>
  <c r="D56" i="2"/>
  <c r="P10" i="2"/>
  <c r="D55" i="2"/>
  <c r="P9" i="2"/>
  <c r="D54" i="2"/>
  <c r="P8" i="2"/>
  <c r="D53" i="2"/>
  <c r="P7" i="2"/>
  <c r="D52" i="2"/>
  <c r="CW3" i="2"/>
  <c r="CV3" i="2"/>
  <c r="CT11" i="13"/>
  <c r="D8" i="13"/>
  <c r="E15" i="13" s="1"/>
  <c r="L1" i="13"/>
  <c r="L2" i="13" s="1"/>
  <c r="L3" i="13" s="1"/>
  <c r="L4" i="13" s="1"/>
  <c r="S358" i="6"/>
  <c r="H420" i="6"/>
  <c r="D156" i="6"/>
  <c r="J358" i="6"/>
  <c r="G409" i="6"/>
  <c r="D130" i="6"/>
  <c r="P358" i="6"/>
  <c r="D104" i="6"/>
  <c r="D105" i="6"/>
  <c r="F202" i="6"/>
  <c r="H358" i="6"/>
  <c r="D78" i="6"/>
  <c r="D79" i="6"/>
  <c r="D202" i="6"/>
  <c r="AG359" i="6"/>
  <c r="AG360" i="6"/>
  <c r="D352" i="6"/>
  <c r="D351" i="6"/>
  <c r="AI351" i="6"/>
  <c r="AI359" i="6"/>
  <c r="AI360" i="6"/>
  <c r="X351" i="6"/>
  <c r="BM99" i="4"/>
  <c r="U351" i="6"/>
  <c r="U359" i="6"/>
  <c r="U360" i="6"/>
  <c r="I13" i="14"/>
  <c r="I176" i="14"/>
  <c r="AJ45" i="14"/>
  <c r="M13" i="14"/>
  <c r="M176" i="14"/>
  <c r="M21" i="14"/>
  <c r="M177" i="14"/>
  <c r="AJ19" i="14"/>
  <c r="E21" i="14"/>
  <c r="E177" i="14"/>
  <c r="AJ11" i="14"/>
  <c r="E13" i="14"/>
  <c r="E176" i="14"/>
  <c r="I21" i="14"/>
  <c r="I177" i="14"/>
  <c r="G47" i="14"/>
  <c r="S176" i="14"/>
  <c r="K47" i="14"/>
  <c r="W176" i="14"/>
  <c r="O47" i="14"/>
  <c r="AA176" i="14"/>
  <c r="F21" i="14"/>
  <c r="F177" i="14"/>
  <c r="J21" i="14"/>
  <c r="J177" i="14"/>
  <c r="H47" i="14"/>
  <c r="T176" i="14"/>
  <c r="F13" i="14"/>
  <c r="F176" i="14"/>
  <c r="N13" i="14"/>
  <c r="N176" i="14"/>
  <c r="K55" i="14"/>
  <c r="W177" i="14"/>
  <c r="H89" i="14"/>
  <c r="H21" i="14"/>
  <c r="H177" i="14"/>
  <c r="L21" i="14"/>
  <c r="L177" i="14"/>
  <c r="P21" i="14"/>
  <c r="P177" i="14"/>
  <c r="F47" i="14"/>
  <c r="R176" i="14"/>
  <c r="J47" i="14"/>
  <c r="V176" i="14"/>
  <c r="H81" i="14"/>
  <c r="L47" i="14"/>
  <c r="X176" i="14"/>
  <c r="P47" i="14"/>
  <c r="J13" i="14"/>
  <c r="J176" i="14"/>
  <c r="G55" i="14"/>
  <c r="S177" i="14"/>
  <c r="O55" i="14"/>
  <c r="H13" i="14"/>
  <c r="H176" i="14"/>
  <c r="L13" i="14"/>
  <c r="L176" i="14"/>
  <c r="P13" i="14"/>
  <c r="P176" i="14"/>
  <c r="Q53" i="14"/>
  <c r="F87" i="14"/>
  <c r="E55" i="14"/>
  <c r="Q177" i="14"/>
  <c r="I55" i="14"/>
  <c r="U177" i="14"/>
  <c r="M55" i="14"/>
  <c r="Y177" i="14"/>
  <c r="AJ53" i="14"/>
  <c r="H55" i="14"/>
  <c r="T177" i="14"/>
  <c r="L55" i="14"/>
  <c r="X177" i="14"/>
  <c r="P55" i="14"/>
  <c r="AB177" i="14"/>
  <c r="G89" i="14"/>
  <c r="Q45" i="14"/>
  <c r="F79" i="14"/>
  <c r="G13" i="14"/>
  <c r="G176" i="14"/>
  <c r="K21" i="14"/>
  <c r="K177" i="14"/>
  <c r="I47" i="14"/>
  <c r="U176" i="14"/>
  <c r="Q11" i="14"/>
  <c r="E79" i="14"/>
  <c r="K13" i="14"/>
  <c r="K176" i="14"/>
  <c r="O13" i="14"/>
  <c r="O176" i="14"/>
  <c r="Q19" i="14"/>
  <c r="E87" i="14"/>
  <c r="G21" i="14"/>
  <c r="G177" i="14"/>
  <c r="O21" i="14"/>
  <c r="O177" i="14"/>
  <c r="E47" i="14"/>
  <c r="Q176" i="14"/>
  <c r="M47" i="14"/>
  <c r="Y176" i="14"/>
  <c r="F55" i="14"/>
  <c r="R177" i="14"/>
  <c r="J55" i="14"/>
  <c r="V177" i="14"/>
  <c r="N55" i="14"/>
  <c r="Z177" i="14"/>
  <c r="G81" i="14"/>
  <c r="I89" i="14"/>
  <c r="L31" i="16"/>
  <c r="AB353" i="6"/>
  <c r="V353" i="6"/>
  <c r="P19" i="2"/>
  <c r="D64" i="2"/>
  <c r="P44" i="2"/>
  <c r="D89" i="2"/>
  <c r="L45" i="2"/>
  <c r="L46" i="2"/>
  <c r="O45" i="2"/>
  <c r="O46" i="2"/>
  <c r="X1" i="13"/>
  <c r="M28" i="17" s="1"/>
  <c r="F8" i="13"/>
  <c r="A17" i="13"/>
  <c r="C19" i="2"/>
  <c r="C64" i="2" s="1"/>
  <c r="C28" i="13"/>
  <c r="N358" i="6"/>
  <c r="I420" i="6"/>
  <c r="R358" i="6"/>
  <c r="I409" i="6"/>
  <c r="M358" i="6"/>
  <c r="L358" i="6"/>
  <c r="G358" i="6"/>
  <c r="F398" i="6"/>
  <c r="I358" i="6"/>
  <c r="AD372" i="6"/>
  <c r="AC352" i="6"/>
  <c r="AC351" i="6"/>
  <c r="E358" i="6"/>
  <c r="E387" i="6"/>
  <c r="AR358" i="6"/>
  <c r="AR359" i="6"/>
  <c r="AR360" i="6"/>
  <c r="F358" i="6"/>
  <c r="G104" i="6"/>
  <c r="K358" i="6"/>
  <c r="O358" i="6"/>
  <c r="Q60" i="14"/>
  <c r="F94" i="14"/>
  <c r="Q178" i="14"/>
  <c r="Q26" i="14"/>
  <c r="E94" i="14"/>
  <c r="N45" i="2"/>
  <c r="N46" i="2"/>
  <c r="M45" i="2"/>
  <c r="M46" i="2"/>
  <c r="K45" i="2"/>
  <c r="K46" i="2"/>
  <c r="J45" i="2"/>
  <c r="J46" i="2"/>
  <c r="I45" i="2"/>
  <c r="I46" i="2"/>
  <c r="H90" i="2"/>
  <c r="G90" i="2"/>
  <c r="P35" i="2"/>
  <c r="D80" i="2"/>
  <c r="F90" i="2"/>
  <c r="F45" i="2"/>
  <c r="F46" i="2"/>
  <c r="E90" i="2"/>
  <c r="D86" i="2"/>
  <c r="P39" i="2"/>
  <c r="D84" i="2"/>
  <c r="E45" i="2"/>
  <c r="E46" i="2"/>
  <c r="D45" i="2"/>
  <c r="D46" i="2"/>
  <c r="D62" i="2"/>
  <c r="DB110" i="4"/>
  <c r="DB36" i="4"/>
  <c r="DB86" i="4"/>
  <c r="DB12" i="4"/>
  <c r="DB95" i="4"/>
  <c r="DB21" i="4"/>
  <c r="B267" i="4"/>
  <c r="A185" i="4"/>
  <c r="BW185" i="4" s="1"/>
  <c r="A111" i="4"/>
  <c r="A183" i="4"/>
  <c r="BW183" i="4" s="1"/>
  <c r="B265" i="4"/>
  <c r="B334" i="4" s="1"/>
  <c r="A109" i="4"/>
  <c r="DB93" i="4"/>
  <c r="DB19" i="4"/>
  <c r="B259" i="4"/>
  <c r="A177" i="4"/>
  <c r="BW177" i="4" s="1"/>
  <c r="A103" i="4"/>
  <c r="BX103" i="4" s="1"/>
  <c r="B252" i="4"/>
  <c r="A170" i="4"/>
  <c r="BV170" i="4" s="1"/>
  <c r="A96" i="4"/>
  <c r="CD96" i="4" s="1"/>
  <c r="DB48" i="4"/>
  <c r="A158" i="4"/>
  <c r="B240" i="4"/>
  <c r="B309" i="4" s="1"/>
  <c r="A163" i="4"/>
  <c r="B245" i="4"/>
  <c r="B247" i="4"/>
  <c r="B316" i="4" s="1"/>
  <c r="A165" i="4"/>
  <c r="BV165" i="4" s="1"/>
  <c r="B262" i="4"/>
  <c r="B400" i="4" s="1"/>
  <c r="A180" i="4"/>
  <c r="A106" i="4"/>
  <c r="BW106" i="4" s="1"/>
  <c r="B268" i="4"/>
  <c r="B406" i="4" s="1"/>
  <c r="A186" i="4"/>
  <c r="A112" i="4"/>
  <c r="B292" i="4"/>
  <c r="B430" i="4" s="1"/>
  <c r="A210" i="4"/>
  <c r="BX210" i="4" s="1"/>
  <c r="A136" i="4"/>
  <c r="A82" i="4"/>
  <c r="A91" i="4"/>
  <c r="CC91" i="4" s="1"/>
  <c r="B281" i="4"/>
  <c r="A199" i="4"/>
  <c r="A125" i="4"/>
  <c r="A89" i="4"/>
  <c r="BT89" i="4" s="1"/>
  <c r="A189" i="4"/>
  <c r="A115" i="4"/>
  <c r="B279" i="4"/>
  <c r="B417" i="4" s="1"/>
  <c r="A197" i="4"/>
  <c r="A123" i="4"/>
  <c r="A174" i="4"/>
  <c r="B256" i="4"/>
  <c r="A100" i="4"/>
  <c r="BW100" i="4" s="1"/>
  <c r="DB8" i="4"/>
  <c r="DD17" i="4"/>
  <c r="B249" i="4"/>
  <c r="A167" i="4"/>
  <c r="BW167" i="4" s="1"/>
  <c r="A93" i="4"/>
  <c r="A169" i="4"/>
  <c r="A95" i="4"/>
  <c r="BT95" i="4" s="1"/>
  <c r="B251" i="4"/>
  <c r="B389" i="4" s="1"/>
  <c r="BW27" i="4"/>
  <c r="A119" i="4"/>
  <c r="A193" i="4"/>
  <c r="DB50" i="4"/>
  <c r="DB62" i="4"/>
  <c r="DB105" i="4"/>
  <c r="A166" i="4"/>
  <c r="B248" i="4"/>
  <c r="B317" i="4" s="1"/>
  <c r="H45" i="2"/>
  <c r="H46" i="2"/>
  <c r="P24" i="2"/>
  <c r="D69" i="2"/>
  <c r="P31" i="2"/>
  <c r="D76" i="2"/>
  <c r="G45" i="2"/>
  <c r="G46" i="2"/>
  <c r="D73" i="2"/>
  <c r="O14" i="13"/>
  <c r="CA27" i="4"/>
  <c r="CE27" i="4"/>
  <c r="C3" i="17"/>
  <c r="C102" i="17" s="1"/>
  <c r="A15" i="13"/>
  <c r="I81" i="14"/>
  <c r="I102" i="14"/>
  <c r="J31" i="16"/>
  <c r="P25" i="4"/>
  <c r="D173" i="4" s="1"/>
  <c r="AM138" i="16"/>
  <c r="H82" i="17"/>
  <c r="H31" i="16"/>
  <c r="AA140" i="16"/>
  <c r="AB198" i="16"/>
  <c r="AA138" i="16"/>
  <c r="AA196" i="16"/>
  <c r="Q138" i="16"/>
  <c r="Q139" i="16"/>
  <c r="K140" i="16"/>
  <c r="L144" i="16"/>
  <c r="K138" i="16"/>
  <c r="K201" i="16"/>
  <c r="AD368" i="6"/>
  <c r="AC368" i="6"/>
  <c r="V372" i="6"/>
  <c r="U368" i="6"/>
  <c r="Z370" i="6"/>
  <c r="V368" i="6"/>
  <c r="AJ359" i="6"/>
  <c r="AJ360" i="6"/>
  <c r="AN359" i="6"/>
  <c r="AN360" i="6"/>
  <c r="X367" i="6"/>
  <c r="W367" i="6"/>
  <c r="AA367" i="6"/>
  <c r="AE367" i="6"/>
  <c r="AA372" i="6"/>
  <c r="AF367" i="6"/>
  <c r="U367" i="6"/>
  <c r="AC367" i="6"/>
  <c r="U370" i="6"/>
  <c r="AC370" i="6"/>
  <c r="W372" i="6"/>
  <c r="AE372" i="6"/>
  <c r="AB367" i="6"/>
  <c r="V367" i="6"/>
  <c r="Z367" i="6"/>
  <c r="Z368" i="6"/>
  <c r="V370" i="6"/>
  <c r="AD370" i="6"/>
  <c r="Z372" i="6"/>
  <c r="AM359" i="6"/>
  <c r="AM360" i="6"/>
  <c r="AQ359" i="6"/>
  <c r="AQ360" i="6"/>
  <c r="T359" i="6"/>
  <c r="D353" i="6"/>
  <c r="D355" i="6"/>
  <c r="D357" i="6"/>
  <c r="AK359" i="6"/>
  <c r="AK360" i="6"/>
  <c r="AO359" i="6"/>
  <c r="AO360" i="6"/>
  <c r="AH359" i="6"/>
  <c r="AH360" i="6"/>
  <c r="AL359" i="6"/>
  <c r="AL360" i="6"/>
  <c r="AP359" i="6"/>
  <c r="AP360" i="6"/>
  <c r="H421" i="6"/>
  <c r="N359" i="6"/>
  <c r="Y351" i="6"/>
  <c r="Y359" i="6"/>
  <c r="Y360" i="6"/>
  <c r="V354" i="6"/>
  <c r="V357" i="6"/>
  <c r="X355" i="6"/>
  <c r="X359" i="6"/>
  <c r="X360" i="6"/>
  <c r="V351" i="6"/>
  <c r="D354" i="6"/>
  <c r="AE359" i="6"/>
  <c r="AE360" i="6"/>
  <c r="W351" i="6"/>
  <c r="W359" i="6"/>
  <c r="W360" i="6"/>
  <c r="AA359" i="6"/>
  <c r="AA360" i="6"/>
  <c r="E359" i="6"/>
  <c r="E360" i="6"/>
  <c r="AB359" i="6"/>
  <c r="AB360" i="6"/>
  <c r="Z359" i="6"/>
  <c r="Z360" i="6"/>
  <c r="AD359" i="6"/>
  <c r="AD360" i="6"/>
  <c r="D356" i="6"/>
  <c r="Q65" i="14"/>
  <c r="F99" i="14"/>
  <c r="R179" i="14"/>
  <c r="Q179" i="14"/>
  <c r="F84" i="14"/>
  <c r="AB176" i="14"/>
  <c r="E75" i="14"/>
  <c r="E179" i="14"/>
  <c r="I179" i="14"/>
  <c r="M179" i="14"/>
  <c r="G179" i="14"/>
  <c r="K179" i="14"/>
  <c r="P179" i="14"/>
  <c r="Q31" i="14"/>
  <c r="E99" i="14"/>
  <c r="W369" i="6"/>
  <c r="AA369" i="6"/>
  <c r="AE369" i="6"/>
  <c r="AB369" i="6"/>
  <c r="AB373" i="6"/>
  <c r="W368" i="6"/>
  <c r="AA368" i="6"/>
  <c r="AE368" i="6"/>
  <c r="U369" i="6"/>
  <c r="AC369" i="6"/>
  <c r="W370" i="6"/>
  <c r="AA370" i="6"/>
  <c r="AE370" i="6"/>
  <c r="U373" i="6"/>
  <c r="X369" i="6"/>
  <c r="AF369" i="6"/>
  <c r="AE373" i="6"/>
  <c r="AA373" i="6"/>
  <c r="W373" i="6"/>
  <c r="AD373" i="6"/>
  <c r="Z373" i="6"/>
  <c r="V373" i="6"/>
  <c r="X368" i="6"/>
  <c r="AB368" i="6"/>
  <c r="V369" i="6"/>
  <c r="Z369" i="6"/>
  <c r="X370" i="6"/>
  <c r="AB370" i="6"/>
  <c r="X373" i="6"/>
  <c r="AF373" i="6"/>
  <c r="X372" i="6"/>
  <c r="AB372" i="6"/>
  <c r="AF372" i="6"/>
  <c r="U372" i="6"/>
  <c r="P15" i="2"/>
  <c r="D60" i="2"/>
  <c r="J359" i="6"/>
  <c r="H156" i="6"/>
  <c r="D157" i="6"/>
  <c r="J202" i="6"/>
  <c r="H130" i="6"/>
  <c r="D131" i="6"/>
  <c r="H202" i="6"/>
  <c r="H78" i="6"/>
  <c r="H79" i="6"/>
  <c r="B71" i="6"/>
  <c r="B97" i="6"/>
  <c r="H104" i="6"/>
  <c r="B83" i="6"/>
  <c r="U361" i="6"/>
  <c r="H34" i="14"/>
  <c r="CA89" i="4"/>
  <c r="B76" i="6"/>
  <c r="B75" i="6"/>
  <c r="B73" i="6"/>
  <c r="B77" i="6"/>
  <c r="B74" i="6"/>
  <c r="B72" i="6"/>
  <c r="Q13" i="14"/>
  <c r="E81" i="14"/>
  <c r="J34" i="14"/>
  <c r="N34" i="14"/>
  <c r="O68" i="14"/>
  <c r="K68" i="14"/>
  <c r="N68" i="14"/>
  <c r="Q21" i="14"/>
  <c r="E89" i="14"/>
  <c r="AA177" i="14"/>
  <c r="P68" i="14"/>
  <c r="P34" i="14"/>
  <c r="E34" i="14"/>
  <c r="G102" i="14"/>
  <c r="O34" i="14"/>
  <c r="I34" i="14"/>
  <c r="J68" i="14"/>
  <c r="L34" i="14"/>
  <c r="M68" i="14"/>
  <c r="K34" i="14"/>
  <c r="M34" i="14"/>
  <c r="G68" i="14"/>
  <c r="H102" i="14"/>
  <c r="Q55" i="14"/>
  <c r="F89" i="14"/>
  <c r="F68" i="14"/>
  <c r="L68" i="14"/>
  <c r="Q47" i="14"/>
  <c r="F81" i="14"/>
  <c r="E68" i="14"/>
  <c r="I68" i="14"/>
  <c r="H68" i="14"/>
  <c r="F34" i="14"/>
  <c r="G34" i="14"/>
  <c r="AC359" i="6"/>
  <c r="AC360" i="6"/>
  <c r="M1" i="13"/>
  <c r="I93" i="14" s="1"/>
  <c r="P46" i="2"/>
  <c r="C59" i="2"/>
  <c r="F399" i="6"/>
  <c r="G359" i="6"/>
  <c r="G51" i="6"/>
  <c r="H51" i="6"/>
  <c r="I51" i="6"/>
  <c r="E14" i="6"/>
  <c r="AF358" i="6"/>
  <c r="AF359" i="6"/>
  <c r="AF360" i="6"/>
  <c r="B361" i="4"/>
  <c r="C78" i="17"/>
  <c r="C36" i="17"/>
  <c r="C61" i="17"/>
  <c r="P61" i="17" s="1"/>
  <c r="E96" i="17" s="1"/>
  <c r="C44" i="17"/>
  <c r="C10" i="17"/>
  <c r="P65" i="17"/>
  <c r="E100" i="17"/>
  <c r="F7" i="17"/>
  <c r="P31" i="17"/>
  <c r="D100" i="17"/>
  <c r="C27" i="17"/>
  <c r="P27" i="17" s="1"/>
  <c r="D96" i="17" s="1"/>
  <c r="P17" i="17"/>
  <c r="D86" i="17"/>
  <c r="H7" i="17"/>
  <c r="H201" i="17" s="1"/>
  <c r="P51" i="17"/>
  <c r="E86" i="17"/>
  <c r="B183" i="6"/>
  <c r="L172" i="16"/>
  <c r="K202" i="16"/>
  <c r="K196" i="16"/>
  <c r="Q156" i="16"/>
  <c r="AB169" i="16"/>
  <c r="L151" i="16"/>
  <c r="L161" i="16"/>
  <c r="L170" i="16"/>
  <c r="Q172" i="16"/>
  <c r="K144" i="16"/>
  <c r="K146" i="16"/>
  <c r="K163" i="16"/>
  <c r="K164" i="16"/>
  <c r="K170" i="16"/>
  <c r="K179" i="16"/>
  <c r="K172" i="16"/>
  <c r="K178" i="16"/>
  <c r="K165" i="16"/>
  <c r="AA144" i="16"/>
  <c r="AA200" i="16"/>
  <c r="AA146" i="16"/>
  <c r="Q144" i="16"/>
  <c r="Q148" i="16"/>
  <c r="Q188" i="16"/>
  <c r="K148" i="16"/>
  <c r="K180" i="16"/>
  <c r="K154" i="16"/>
  <c r="K186" i="16"/>
  <c r="K149" i="16"/>
  <c r="K156" i="16"/>
  <c r="K188" i="16"/>
  <c r="K162" i="16"/>
  <c r="K194" i="16"/>
  <c r="K195" i="16"/>
  <c r="K181" i="16"/>
  <c r="AA164" i="16"/>
  <c r="AA147" i="16"/>
  <c r="AA160" i="16"/>
  <c r="AA191" i="16"/>
  <c r="AA180" i="16"/>
  <c r="AA158" i="16"/>
  <c r="AA175" i="16"/>
  <c r="AB201" i="16"/>
  <c r="AB179" i="16"/>
  <c r="AB194" i="16"/>
  <c r="AB181" i="16"/>
  <c r="AB192" i="16"/>
  <c r="Q192" i="16"/>
  <c r="Q176" i="16"/>
  <c r="Q160" i="16"/>
  <c r="Q200" i="16"/>
  <c r="Q184" i="16"/>
  <c r="Q168" i="16"/>
  <c r="Q152" i="16"/>
  <c r="Q145" i="16"/>
  <c r="Q196" i="16"/>
  <c r="Q180" i="16"/>
  <c r="Q164" i="16"/>
  <c r="L168" i="16"/>
  <c r="L199" i="16"/>
  <c r="L154" i="16"/>
  <c r="L167" i="16"/>
  <c r="L177" i="16"/>
  <c r="L186" i="16"/>
  <c r="L200" i="16"/>
  <c r="L183" i="16"/>
  <c r="L193" i="16"/>
  <c r="L202" i="16"/>
  <c r="L143" i="16"/>
  <c r="J144" i="16"/>
  <c r="L192" i="16"/>
  <c r="L160" i="16"/>
  <c r="L155" i="16"/>
  <c r="L171" i="16"/>
  <c r="L187" i="16"/>
  <c r="L149" i="16"/>
  <c r="L165" i="16"/>
  <c r="L181" i="16"/>
  <c r="L197" i="16"/>
  <c r="L158" i="16"/>
  <c r="L174" i="16"/>
  <c r="L190" i="16"/>
  <c r="L188" i="16"/>
  <c r="J188" i="16"/>
  <c r="L148" i="16"/>
  <c r="L184" i="16"/>
  <c r="L152" i="16"/>
  <c r="L159" i="16"/>
  <c r="L175" i="16"/>
  <c r="L191" i="16"/>
  <c r="L153" i="16"/>
  <c r="J153" i="16"/>
  <c r="L169" i="16"/>
  <c r="L185" i="16"/>
  <c r="L201" i="16"/>
  <c r="L162" i="16"/>
  <c r="L178" i="16"/>
  <c r="L194" i="16"/>
  <c r="L164" i="16"/>
  <c r="L146" i="16"/>
  <c r="L176" i="16"/>
  <c r="L147" i="16"/>
  <c r="L163" i="16"/>
  <c r="L179" i="16"/>
  <c r="L195" i="16"/>
  <c r="L157" i="16"/>
  <c r="L173" i="16"/>
  <c r="L189" i="16"/>
  <c r="L150" i="16"/>
  <c r="L166" i="16"/>
  <c r="L182" i="16"/>
  <c r="L198" i="16"/>
  <c r="L180" i="16"/>
  <c r="L156" i="16"/>
  <c r="AA189" i="16"/>
  <c r="AA188" i="16"/>
  <c r="AB166" i="16"/>
  <c r="AB147" i="16"/>
  <c r="AA195" i="16"/>
  <c r="AA182" i="16"/>
  <c r="AA171" i="16"/>
  <c r="AB162" i="16"/>
  <c r="AB149" i="16"/>
  <c r="AB152" i="16"/>
  <c r="AA192" i="16"/>
  <c r="AA176" i="16"/>
  <c r="AB164" i="16"/>
  <c r="AA151" i="16"/>
  <c r="AB146" i="16"/>
  <c r="AA197" i="16"/>
  <c r="AA156" i="16"/>
  <c r="AA190" i="16"/>
  <c r="AA179" i="16"/>
  <c r="AA166" i="16"/>
  <c r="AA155" i="16"/>
  <c r="AA199" i="16"/>
  <c r="AA184" i="16"/>
  <c r="AA168" i="16"/>
  <c r="AA159" i="16"/>
  <c r="AA145" i="16"/>
  <c r="AA172" i="16"/>
  <c r="AA148" i="16"/>
  <c r="AA198" i="16"/>
  <c r="AA187" i="16"/>
  <c r="AA174" i="16"/>
  <c r="AA163" i="16"/>
  <c r="AA150" i="16"/>
  <c r="AB176" i="16"/>
  <c r="AB196" i="16"/>
  <c r="AA183" i="16"/>
  <c r="AA167" i="16"/>
  <c r="AA152" i="16"/>
  <c r="AA143" i="16"/>
  <c r="Q146" i="16"/>
  <c r="K152" i="16"/>
  <c r="K168" i="16"/>
  <c r="K184" i="16"/>
  <c r="K200" i="16"/>
  <c r="K158" i="16"/>
  <c r="K174" i="16"/>
  <c r="K190" i="16"/>
  <c r="K151" i="16"/>
  <c r="K167" i="16"/>
  <c r="K183" i="16"/>
  <c r="K199" i="16"/>
  <c r="K185" i="16"/>
  <c r="K169" i="16"/>
  <c r="K153" i="16"/>
  <c r="K197" i="16"/>
  <c r="K171" i="16"/>
  <c r="K189" i="16"/>
  <c r="K173" i="16"/>
  <c r="K157" i="16"/>
  <c r="K147" i="16"/>
  <c r="K155" i="16"/>
  <c r="K187" i="16"/>
  <c r="K160" i="16"/>
  <c r="K176" i="16"/>
  <c r="K192" i="16"/>
  <c r="K150" i="16"/>
  <c r="K166" i="16"/>
  <c r="K182" i="16"/>
  <c r="K198" i="16"/>
  <c r="K159" i="16"/>
  <c r="K175" i="16"/>
  <c r="K191" i="16"/>
  <c r="K193" i="16"/>
  <c r="K177" i="16"/>
  <c r="K161" i="16"/>
  <c r="K145" i="16"/>
  <c r="K143" i="16"/>
  <c r="AB195" i="16"/>
  <c r="AB182" i="16"/>
  <c r="AB163" i="16"/>
  <c r="AB150" i="16"/>
  <c r="AB168" i="16"/>
  <c r="AB197" i="16"/>
  <c r="Z198" i="16"/>
  <c r="AB185" i="16"/>
  <c r="AB178" i="16"/>
  <c r="AB165" i="16"/>
  <c r="AB153" i="16"/>
  <c r="AB200" i="16"/>
  <c r="AB184" i="16"/>
  <c r="AB167" i="16"/>
  <c r="AB180" i="16"/>
  <c r="AB148" i="16"/>
  <c r="AB143" i="16"/>
  <c r="Z143" i="16"/>
  <c r="AA149" i="16"/>
  <c r="AA193" i="16"/>
  <c r="AA185" i="16"/>
  <c r="AB190" i="16"/>
  <c r="AB171" i="16"/>
  <c r="AB158" i="16"/>
  <c r="AB202" i="16"/>
  <c r="AB189" i="16"/>
  <c r="AB177" i="16"/>
  <c r="AB170" i="16"/>
  <c r="AB157" i="16"/>
  <c r="AB199" i="16"/>
  <c r="Z199" i="16"/>
  <c r="AB183" i="16"/>
  <c r="AB160" i="16"/>
  <c r="AB188" i="16"/>
  <c r="AB156" i="16"/>
  <c r="AB159" i="16"/>
  <c r="AA173" i="16"/>
  <c r="AA177" i="16"/>
  <c r="AB187" i="16"/>
  <c r="AB174" i="16"/>
  <c r="AB155" i="16"/>
  <c r="AB193" i="16"/>
  <c r="AB186" i="16"/>
  <c r="AB173" i="16"/>
  <c r="AB161" i="16"/>
  <c r="Z161" i="16"/>
  <c r="AB154" i="16"/>
  <c r="AB191" i="16"/>
  <c r="Z191" i="16"/>
  <c r="AB175" i="16"/>
  <c r="Z175" i="16"/>
  <c r="AB151" i="16"/>
  <c r="AB172" i="16"/>
  <c r="AB144" i="16"/>
  <c r="Z144" i="16"/>
  <c r="AB145" i="16"/>
  <c r="AA186" i="16"/>
  <c r="AA178" i="16"/>
  <c r="S148" i="16"/>
  <c r="S161" i="16"/>
  <c r="S187" i="16"/>
  <c r="Q201" i="16"/>
  <c r="Q197" i="16"/>
  <c r="Q193" i="16"/>
  <c r="Q189" i="16"/>
  <c r="Q185" i="16"/>
  <c r="Q181" i="16"/>
  <c r="Q177" i="16"/>
  <c r="Q173" i="16"/>
  <c r="Q169" i="16"/>
  <c r="Q165" i="16"/>
  <c r="Q161" i="16"/>
  <c r="Q157" i="16"/>
  <c r="Q153" i="16"/>
  <c r="Q149" i="16"/>
  <c r="S145" i="16"/>
  <c r="S191" i="16"/>
  <c r="S194" i="16"/>
  <c r="S151" i="16"/>
  <c r="S190" i="16"/>
  <c r="S144" i="16"/>
  <c r="Q143" i="16"/>
  <c r="Q199" i="16"/>
  <c r="Q195" i="16"/>
  <c r="Q191" i="16"/>
  <c r="Q187" i="16"/>
  <c r="Q183" i="16"/>
  <c r="Q179" i="16"/>
  <c r="Q175" i="16"/>
  <c r="Q171" i="16"/>
  <c r="Q167" i="16"/>
  <c r="Q163" i="16"/>
  <c r="Q159" i="16"/>
  <c r="Q155" i="16"/>
  <c r="Q151" i="16"/>
  <c r="Q147" i="16"/>
  <c r="S171" i="16"/>
  <c r="S172" i="16"/>
  <c r="S153" i="16"/>
  <c r="S143" i="16"/>
  <c r="P143" i="16"/>
  <c r="Q202" i="16"/>
  <c r="Q198" i="16"/>
  <c r="Q194" i="16"/>
  <c r="Q190" i="16"/>
  <c r="Q186" i="16"/>
  <c r="Q182" i="16"/>
  <c r="Q178" i="16"/>
  <c r="Q174" i="16"/>
  <c r="Q170" i="16"/>
  <c r="Q166" i="16"/>
  <c r="Q162" i="16"/>
  <c r="Q158" i="16"/>
  <c r="Q154" i="16"/>
  <c r="Q150" i="16"/>
  <c r="S146" i="16"/>
  <c r="S152" i="16"/>
  <c r="S182" i="16"/>
  <c r="S189" i="16"/>
  <c r="S175" i="16"/>
  <c r="AA169" i="16"/>
  <c r="AA181" i="16"/>
  <c r="AA154" i="16"/>
  <c r="AA162" i="16"/>
  <c r="AA170" i="16"/>
  <c r="AA194" i="16"/>
  <c r="AA202" i="16"/>
  <c r="AA161" i="16"/>
  <c r="AA165" i="16"/>
  <c r="AA153" i="16"/>
  <c r="AA201" i="16"/>
  <c r="AA157" i="16"/>
  <c r="S147" i="16"/>
  <c r="S168" i="16"/>
  <c r="S198" i="16"/>
  <c r="S165" i="16"/>
  <c r="S181" i="16"/>
  <c r="S188" i="16"/>
  <c r="S159" i="16"/>
  <c r="S170" i="16"/>
  <c r="S180" i="16"/>
  <c r="S149" i="16"/>
  <c r="S173" i="16"/>
  <c r="S200" i="16"/>
  <c r="S167" i="16"/>
  <c r="S186" i="16"/>
  <c r="S154" i="16"/>
  <c r="S193" i="16"/>
  <c r="S156" i="16"/>
  <c r="S174" i="16"/>
  <c r="S183" i="16"/>
  <c r="S150" i="16"/>
  <c r="S163" i="16"/>
  <c r="S176" i="16"/>
  <c r="S199" i="16"/>
  <c r="S160" i="16"/>
  <c r="S192" i="16"/>
  <c r="S157" i="16"/>
  <c r="S177" i="16"/>
  <c r="S195" i="16"/>
  <c r="S164" i="16"/>
  <c r="S197" i="16"/>
  <c r="S162" i="16"/>
  <c r="S178" i="16"/>
  <c r="S185" i="16"/>
  <c r="S155" i="16"/>
  <c r="S169" i="16"/>
  <c r="S179" i="16"/>
  <c r="P179" i="16"/>
  <c r="S202" i="16"/>
  <c r="S166" i="16"/>
  <c r="S196" i="16"/>
  <c r="S158" i="16"/>
  <c r="S184" i="16"/>
  <c r="S201" i="16"/>
  <c r="L196" i="16"/>
  <c r="L145" i="16"/>
  <c r="J145" i="16"/>
  <c r="V359" i="6"/>
  <c r="V360" i="6"/>
  <c r="G410" i="6"/>
  <c r="I432" i="6"/>
  <c r="E388" i="6"/>
  <c r="P45" i="2"/>
  <c r="D90" i="2"/>
  <c r="E102" i="14"/>
  <c r="E103" i="14"/>
  <c r="F155" i="6"/>
  <c r="F153" i="6"/>
  <c r="F152" i="6"/>
  <c r="F151" i="6"/>
  <c r="F150" i="6"/>
  <c r="F149" i="6"/>
  <c r="F129" i="6"/>
  <c r="F126" i="6"/>
  <c r="F125" i="6"/>
  <c r="F123" i="6"/>
  <c r="F124" i="6"/>
  <c r="F103" i="6"/>
  <c r="E103" i="6"/>
  <c r="H103" i="6"/>
  <c r="F101" i="6"/>
  <c r="E101" i="6"/>
  <c r="I101" i="6"/>
  <c r="F102" i="6"/>
  <c r="E102" i="6"/>
  <c r="F100" i="6"/>
  <c r="E100" i="6"/>
  <c r="H100" i="6"/>
  <c r="F99" i="6"/>
  <c r="E99" i="6"/>
  <c r="H99" i="6"/>
  <c r="F98" i="6"/>
  <c r="E98" i="6"/>
  <c r="H98" i="6"/>
  <c r="F177" i="6"/>
  <c r="F128" i="6"/>
  <c r="F127" i="6"/>
  <c r="F154" i="6"/>
  <c r="D90" i="6"/>
  <c r="D91" i="6"/>
  <c r="E90" i="6"/>
  <c r="E91" i="6"/>
  <c r="E92" i="6"/>
  <c r="F32" i="6"/>
  <c r="F90" i="6"/>
  <c r="F91" i="6"/>
  <c r="F92" i="6"/>
  <c r="G32" i="6"/>
  <c r="G90" i="6"/>
  <c r="G91" i="6"/>
  <c r="G92" i="6"/>
  <c r="H32" i="6"/>
  <c r="H90" i="6"/>
  <c r="H91" i="6"/>
  <c r="H92" i="6"/>
  <c r="I32" i="6"/>
  <c r="I90" i="6"/>
  <c r="I91" i="6"/>
  <c r="I92" i="6"/>
  <c r="J32" i="6"/>
  <c r="J90" i="6"/>
  <c r="J91" i="6"/>
  <c r="J92" i="6"/>
  <c r="K32" i="6"/>
  <c r="K90" i="6"/>
  <c r="K91" i="6"/>
  <c r="K92" i="6"/>
  <c r="L32" i="6"/>
  <c r="L90" i="6"/>
  <c r="L91" i="6"/>
  <c r="L92" i="6"/>
  <c r="M32" i="6"/>
  <c r="M90" i="6"/>
  <c r="M91" i="6"/>
  <c r="M92" i="6"/>
  <c r="N32" i="6"/>
  <c r="N90" i="6"/>
  <c r="N91" i="6"/>
  <c r="N92" i="6"/>
  <c r="O32" i="6"/>
  <c r="O90" i="6"/>
  <c r="F181" i="6"/>
  <c r="F97" i="6"/>
  <c r="E97" i="6"/>
  <c r="H97" i="6"/>
  <c r="B109" i="6"/>
  <c r="B123" i="6"/>
  <c r="B101" i="6"/>
  <c r="B87" i="6"/>
  <c r="B86" i="6"/>
  <c r="B100" i="6"/>
  <c r="B102" i="6"/>
  <c r="B88" i="6"/>
  <c r="B98" i="6"/>
  <c r="B84" i="6"/>
  <c r="B103" i="6"/>
  <c r="B89" i="6"/>
  <c r="V361" i="6"/>
  <c r="B99" i="6"/>
  <c r="B85" i="6"/>
  <c r="E35" i="14"/>
  <c r="F35" i="14"/>
  <c r="G35" i="14"/>
  <c r="H35" i="14"/>
  <c r="I35" i="14"/>
  <c r="J35" i="14"/>
  <c r="K35" i="14"/>
  <c r="L35" i="14"/>
  <c r="M35" i="14"/>
  <c r="N35" i="14"/>
  <c r="O35" i="14"/>
  <c r="P35" i="14"/>
  <c r="C425" i="6"/>
  <c r="C403" i="6"/>
  <c r="C392" i="6"/>
  <c r="C381" i="6"/>
  <c r="C44" i="6"/>
  <c r="C414" i="6"/>
  <c r="C47" i="6"/>
  <c r="C417" i="6"/>
  <c r="C406" i="6"/>
  <c r="C395" i="6"/>
  <c r="C384" i="6"/>
  <c r="C428" i="6"/>
  <c r="C416" i="6"/>
  <c r="C427" i="6"/>
  <c r="C405" i="6"/>
  <c r="C383" i="6"/>
  <c r="C394" i="6"/>
  <c r="C46" i="6"/>
  <c r="C397" i="6"/>
  <c r="C386" i="6"/>
  <c r="C419" i="6"/>
  <c r="C408" i="6"/>
  <c r="C430" i="6"/>
  <c r="C49" i="6"/>
  <c r="C429" i="6"/>
  <c r="C407" i="6"/>
  <c r="C396" i="6"/>
  <c r="C385" i="6"/>
  <c r="C48" i="6"/>
  <c r="C418" i="6"/>
  <c r="C43" i="6"/>
  <c r="C413" i="6"/>
  <c r="C402" i="6"/>
  <c r="C391" i="6"/>
  <c r="C380" i="6"/>
  <c r="C424" i="6"/>
  <c r="C393" i="6"/>
  <c r="C382" i="6"/>
  <c r="C404" i="6"/>
  <c r="C426" i="6"/>
  <c r="C415" i="6"/>
  <c r="C45" i="6"/>
  <c r="D12" i="13"/>
  <c r="I12" i="13"/>
  <c r="F59" i="14"/>
  <c r="H30" i="14"/>
  <c r="I46" i="14"/>
  <c r="G64" i="14"/>
  <c r="K30" i="14"/>
  <c r="E46" i="14"/>
  <c r="L59" i="14"/>
  <c r="H25" i="14"/>
  <c r="M25" i="14"/>
  <c r="I12" i="14"/>
  <c r="F102" i="14"/>
  <c r="F103" i="14"/>
  <c r="G103" i="14"/>
  <c r="H103" i="14"/>
  <c r="I103" i="14"/>
  <c r="Q34" i="14"/>
  <c r="Q68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C4" i="17"/>
  <c r="CV29" i="17" s="1"/>
  <c r="E11" i="17"/>
  <c r="D358" i="6"/>
  <c r="F359" i="6"/>
  <c r="G360" i="6"/>
  <c r="C56" i="14"/>
  <c r="C90" i="14"/>
  <c r="C406" i="4"/>
  <c r="C337" i="4"/>
  <c r="C268" i="4"/>
  <c r="C186" i="4"/>
  <c r="C421" i="4"/>
  <c r="C352" i="4"/>
  <c r="C283" i="4"/>
  <c r="C201" i="4"/>
  <c r="C394" i="4"/>
  <c r="C325" i="4"/>
  <c r="C256" i="4"/>
  <c r="C174" i="4"/>
  <c r="C390" i="4"/>
  <c r="C321" i="4"/>
  <c r="C170" i="4"/>
  <c r="C252" i="4"/>
  <c r="C413" i="4"/>
  <c r="C275" i="4"/>
  <c r="C344" i="4"/>
  <c r="C193" i="4"/>
  <c r="C426" i="4"/>
  <c r="C357" i="4"/>
  <c r="C288" i="4"/>
  <c r="C206" i="4"/>
  <c r="C380" i="4"/>
  <c r="C311" i="4"/>
  <c r="C242" i="4"/>
  <c r="C160" i="4"/>
  <c r="C95" i="14"/>
  <c r="C61" i="14"/>
  <c r="C48" i="14"/>
  <c r="C82" i="14"/>
  <c r="C400" i="4"/>
  <c r="C331" i="4"/>
  <c r="C262" i="4"/>
  <c r="C180" i="4"/>
  <c r="C74" i="14"/>
  <c r="C40" i="14"/>
  <c r="C433" i="4"/>
  <c r="C364" i="4"/>
  <c r="C295" i="4"/>
  <c r="C213" i="4"/>
  <c r="J173" i="16"/>
  <c r="J199" i="16"/>
  <c r="AJ137" i="16"/>
  <c r="J152" i="16"/>
  <c r="P195" i="16"/>
  <c r="P155" i="16"/>
  <c r="P174" i="16"/>
  <c r="J202" i="16"/>
  <c r="P149" i="16"/>
  <c r="J174" i="16"/>
  <c r="Z169" i="16"/>
  <c r="J164" i="16"/>
  <c r="J165" i="16"/>
  <c r="J156" i="16"/>
  <c r="J194" i="16"/>
  <c r="Z170" i="16"/>
  <c r="Z156" i="16"/>
  <c r="P145" i="16"/>
  <c r="J168" i="16"/>
  <c r="Z160" i="16"/>
  <c r="Z159" i="16"/>
  <c r="Z176" i="16"/>
  <c r="Z165" i="16"/>
  <c r="Z172" i="16"/>
  <c r="P184" i="16"/>
  <c r="P178" i="16"/>
  <c r="J187" i="16"/>
  <c r="J192" i="16"/>
  <c r="J166" i="16"/>
  <c r="Z193" i="16"/>
  <c r="Z202" i="16"/>
  <c r="Z177" i="16"/>
  <c r="Z153" i="16"/>
  <c r="Z182" i="16"/>
  <c r="J146" i="16"/>
  <c r="J162" i="16"/>
  <c r="J191" i="16"/>
  <c r="J182" i="16"/>
  <c r="J171" i="16"/>
  <c r="J201" i="16"/>
  <c r="J155" i="16"/>
  <c r="Z154" i="16"/>
  <c r="Z146" i="16"/>
  <c r="Z179" i="16"/>
  <c r="P158" i="16"/>
  <c r="P147" i="16"/>
  <c r="P151" i="16"/>
  <c r="J185" i="16"/>
  <c r="J175" i="16"/>
  <c r="Z180" i="16"/>
  <c r="Z195" i="16"/>
  <c r="J190" i="16"/>
  <c r="J143" i="16"/>
  <c r="J154" i="16"/>
  <c r="J163" i="16"/>
  <c r="Z145" i="16"/>
  <c r="Z188" i="16"/>
  <c r="Z157" i="16"/>
  <c r="Z200" i="16"/>
  <c r="Z185" i="16"/>
  <c r="Z163" i="16"/>
  <c r="Z151" i="16"/>
  <c r="P154" i="16"/>
  <c r="P176" i="16"/>
  <c r="P152" i="16"/>
  <c r="J172" i="16"/>
  <c r="J200" i="16"/>
  <c r="J147" i="16"/>
  <c r="J186" i="16"/>
  <c r="J180" i="16"/>
  <c r="J150" i="16"/>
  <c r="J176" i="16"/>
  <c r="J179" i="16"/>
  <c r="J169" i="16"/>
  <c r="J198" i="16"/>
  <c r="J193" i="16"/>
  <c r="J184" i="16"/>
  <c r="J167" i="16"/>
  <c r="Z150" i="16"/>
  <c r="Z192" i="16"/>
  <c r="P201" i="16"/>
  <c r="P166" i="16"/>
  <c r="P173" i="16"/>
  <c r="P189" i="16"/>
  <c r="P190" i="16"/>
  <c r="P146" i="16"/>
  <c r="J170" i="16"/>
  <c r="J183" i="16"/>
  <c r="J181" i="16"/>
  <c r="J177" i="16"/>
  <c r="J151" i="16"/>
  <c r="J157" i="16"/>
  <c r="J195" i="16"/>
  <c r="J148" i="16"/>
  <c r="J159" i="16"/>
  <c r="J149" i="16"/>
  <c r="J160" i="16"/>
  <c r="Z147" i="16"/>
  <c r="Z196" i="16"/>
  <c r="Z166" i="16"/>
  <c r="P148" i="16"/>
  <c r="P144" i="16"/>
  <c r="P191" i="16"/>
  <c r="P196" i="16"/>
  <c r="P162" i="16"/>
  <c r="P153" i="16"/>
  <c r="J189" i="16"/>
  <c r="J158" i="16"/>
  <c r="J161" i="16"/>
  <c r="J178" i="16"/>
  <c r="J196" i="16"/>
  <c r="Z148" i="16"/>
  <c r="Z164" i="16"/>
  <c r="Z167" i="16"/>
  <c r="Z181" i="16"/>
  <c r="P187" i="16"/>
  <c r="P169" i="16"/>
  <c r="Z194" i="16"/>
  <c r="Z197" i="16"/>
  <c r="Z186" i="16"/>
  <c r="Z187" i="16"/>
  <c r="Z189" i="16"/>
  <c r="Z190" i="16"/>
  <c r="Z184" i="16"/>
  <c r="Z178" i="16"/>
  <c r="Z149" i="16"/>
  <c r="Z155" i="16"/>
  <c r="Z158" i="16"/>
  <c r="Z183" i="16"/>
  <c r="Z152" i="16"/>
  <c r="Z162" i="16"/>
  <c r="Z201" i="16"/>
  <c r="Z173" i="16"/>
  <c r="Z174" i="16"/>
  <c r="Z171" i="16"/>
  <c r="Z168" i="16"/>
  <c r="P177" i="16"/>
  <c r="P199" i="16"/>
  <c r="P183" i="16"/>
  <c r="P172" i="16"/>
  <c r="P192" i="16"/>
  <c r="P163" i="16"/>
  <c r="P188" i="16"/>
  <c r="P197" i="16"/>
  <c r="P160" i="16"/>
  <c r="P150" i="16"/>
  <c r="P180" i="16"/>
  <c r="P181" i="16"/>
  <c r="J197" i="16"/>
  <c r="P182" i="16"/>
  <c r="P157" i="16"/>
  <c r="P175" i="16"/>
  <c r="P186" i="16"/>
  <c r="P168" i="16"/>
  <c r="P167" i="16"/>
  <c r="P202" i="16"/>
  <c r="P185" i="16"/>
  <c r="P164" i="16"/>
  <c r="P193" i="16"/>
  <c r="P194" i="16"/>
  <c r="P200" i="16"/>
  <c r="P170" i="16"/>
  <c r="P165" i="16"/>
  <c r="P156" i="16"/>
  <c r="P161" i="16"/>
  <c r="P171" i="16"/>
  <c r="P159" i="16"/>
  <c r="P198" i="16"/>
  <c r="O359" i="6"/>
  <c r="L359" i="6"/>
  <c r="R359" i="6"/>
  <c r="M359" i="6"/>
  <c r="K359" i="6"/>
  <c r="S359" i="6"/>
  <c r="H359" i="6"/>
  <c r="I359" i="6"/>
  <c r="I410" i="6"/>
  <c r="G388" i="6"/>
  <c r="P359" i="6"/>
  <c r="T376" i="6"/>
  <c r="X137" i="16"/>
  <c r="I421" i="6"/>
  <c r="AF376" i="6"/>
  <c r="I388" i="6"/>
  <c r="G399" i="6"/>
  <c r="H388" i="6"/>
  <c r="N137" i="16"/>
  <c r="E127" i="6"/>
  <c r="H101" i="6"/>
  <c r="H127" i="6"/>
  <c r="I102" i="6"/>
  <c r="H102" i="6"/>
  <c r="E129" i="6"/>
  <c r="I103" i="6"/>
  <c r="E128" i="6"/>
  <c r="E154" i="6"/>
  <c r="E180" i="6"/>
  <c r="E126" i="6"/>
  <c r="I100" i="6"/>
  <c r="E125" i="6"/>
  <c r="I99" i="6"/>
  <c r="E124" i="6"/>
  <c r="I98" i="6"/>
  <c r="D92" i="6"/>
  <c r="P90" i="6"/>
  <c r="E50" i="6"/>
  <c r="O91" i="6"/>
  <c r="O92" i="6"/>
  <c r="P32" i="6"/>
  <c r="E123" i="6"/>
  <c r="I97" i="6"/>
  <c r="I127" i="6"/>
  <c r="E153" i="6"/>
  <c r="E68" i="4"/>
  <c r="W361" i="6"/>
  <c r="X361" i="6"/>
  <c r="B115" i="6"/>
  <c r="B129" i="6"/>
  <c r="B114" i="6"/>
  <c r="B128" i="6"/>
  <c r="B113" i="6"/>
  <c r="B127" i="6"/>
  <c r="B111" i="6"/>
  <c r="B125" i="6"/>
  <c r="B112" i="6"/>
  <c r="B126" i="6"/>
  <c r="B135" i="6"/>
  <c r="B149" i="6"/>
  <c r="B110" i="6"/>
  <c r="B124" i="6"/>
  <c r="B104" i="6"/>
  <c r="CW60" i="17"/>
  <c r="CV81" i="17"/>
  <c r="J64" i="17"/>
  <c r="CV91" i="17"/>
  <c r="O64" i="17"/>
  <c r="CV55" i="17"/>
  <c r="H137" i="16"/>
  <c r="AD137" i="16"/>
  <c r="AD140" i="16"/>
  <c r="N360" i="6"/>
  <c r="N140" i="16"/>
  <c r="AG137" i="16"/>
  <c r="AG140" i="16"/>
  <c r="AG138" i="16"/>
  <c r="U137" i="16"/>
  <c r="U140" i="16"/>
  <c r="AJ140" i="16"/>
  <c r="X140" i="16"/>
  <c r="X139" i="16"/>
  <c r="H140" i="16"/>
  <c r="F388" i="6"/>
  <c r="J360" i="6"/>
  <c r="H410" i="6"/>
  <c r="T360" i="6"/>
  <c r="I399" i="6"/>
  <c r="H399" i="6"/>
  <c r="H105" i="6"/>
  <c r="H153" i="6"/>
  <c r="H128" i="6"/>
  <c r="E155" i="6"/>
  <c r="H129" i="6"/>
  <c r="I129" i="6"/>
  <c r="I126" i="6"/>
  <c r="I128" i="6"/>
  <c r="I154" i="6"/>
  <c r="I180" i="6"/>
  <c r="E152" i="6"/>
  <c r="H126" i="6"/>
  <c r="H125" i="6"/>
  <c r="I125" i="6"/>
  <c r="E151" i="6"/>
  <c r="I124" i="6"/>
  <c r="E150" i="6"/>
  <c r="H124" i="6"/>
  <c r="F50" i="6"/>
  <c r="G50" i="6"/>
  <c r="H50" i="6"/>
  <c r="I50" i="6"/>
  <c r="E55" i="6"/>
  <c r="E32" i="6"/>
  <c r="P92" i="6"/>
  <c r="E203" i="6"/>
  <c r="P91" i="6"/>
  <c r="E149" i="6"/>
  <c r="I123" i="6"/>
  <c r="H123" i="6"/>
  <c r="I153" i="6"/>
  <c r="F68" i="4"/>
  <c r="Y361" i="6"/>
  <c r="Z361" i="6"/>
  <c r="P194" i="6"/>
  <c r="B130" i="6"/>
  <c r="B137" i="6"/>
  <c r="B151" i="6"/>
  <c r="B140" i="6"/>
  <c r="B154" i="6"/>
  <c r="B136" i="6"/>
  <c r="B150" i="6"/>
  <c r="B138" i="6"/>
  <c r="B152" i="6"/>
  <c r="B139" i="6"/>
  <c r="B153" i="6"/>
  <c r="B141" i="6"/>
  <c r="B155" i="6"/>
  <c r="B161" i="6"/>
  <c r="B175" i="6"/>
  <c r="B187" i="6"/>
  <c r="O11" i="17"/>
  <c r="AD139" i="16"/>
  <c r="AE157" i="16"/>
  <c r="AD138" i="16"/>
  <c r="N138" i="16"/>
  <c r="N139" i="16"/>
  <c r="O172" i="16"/>
  <c r="AG139" i="16"/>
  <c r="AH175" i="16"/>
  <c r="U138" i="16"/>
  <c r="U139" i="16"/>
  <c r="AJ138" i="16"/>
  <c r="AJ139" i="16"/>
  <c r="AK195" i="16"/>
  <c r="Y148" i="16"/>
  <c r="Y146" i="16"/>
  <c r="Y149" i="16"/>
  <c r="Y147" i="16"/>
  <c r="Y150" i="16"/>
  <c r="Y143" i="16"/>
  <c r="W143" i="16"/>
  <c r="Y144" i="16"/>
  <c r="X138" i="16"/>
  <c r="X166" i="16"/>
  <c r="Y145" i="16"/>
  <c r="H138" i="16"/>
  <c r="H139" i="16"/>
  <c r="G68" i="4"/>
  <c r="H154" i="6"/>
  <c r="I155" i="6"/>
  <c r="H155" i="6"/>
  <c r="E181" i="6"/>
  <c r="I152" i="6"/>
  <c r="H152" i="6"/>
  <c r="E178" i="6"/>
  <c r="I151" i="6"/>
  <c r="H151" i="6"/>
  <c r="E177" i="6"/>
  <c r="I150" i="6"/>
  <c r="E176" i="6"/>
  <c r="H150" i="6"/>
  <c r="D68" i="4"/>
  <c r="D298" i="4" s="1"/>
  <c r="E175" i="6"/>
  <c r="H149" i="6"/>
  <c r="I149" i="6"/>
  <c r="E179" i="6"/>
  <c r="B165" i="6"/>
  <c r="B179" i="6"/>
  <c r="B191" i="6"/>
  <c r="B163" i="6"/>
  <c r="B177" i="6"/>
  <c r="B189" i="6"/>
  <c r="B167" i="6"/>
  <c r="B181" i="6"/>
  <c r="B193" i="6"/>
  <c r="B164" i="6"/>
  <c r="B178" i="6"/>
  <c r="B190" i="6"/>
  <c r="B166" i="6"/>
  <c r="B180" i="6"/>
  <c r="B192" i="6"/>
  <c r="B156" i="6"/>
  <c r="B162" i="6"/>
  <c r="B176" i="6"/>
  <c r="B188" i="6"/>
  <c r="AE143" i="16"/>
  <c r="AC143" i="16"/>
  <c r="AE149" i="16"/>
  <c r="AE148" i="16"/>
  <c r="AE155" i="16"/>
  <c r="AE144" i="16"/>
  <c r="AE152" i="16"/>
  <c r="AE154" i="16"/>
  <c r="AE147" i="16"/>
  <c r="AE145" i="16"/>
  <c r="AE150" i="16"/>
  <c r="AE156" i="16"/>
  <c r="AE153" i="16"/>
  <c r="AE195" i="16"/>
  <c r="AE151" i="16"/>
  <c r="AE158" i="16"/>
  <c r="AC158" i="16"/>
  <c r="AE146" i="16"/>
  <c r="AD151" i="16"/>
  <c r="AD168" i="16"/>
  <c r="AE168" i="16"/>
  <c r="AD187" i="16"/>
  <c r="AE187" i="16"/>
  <c r="AD159" i="16"/>
  <c r="AE159" i="16"/>
  <c r="AD146" i="16"/>
  <c r="AD161" i="16"/>
  <c r="AE161" i="16"/>
  <c r="AD169" i="16"/>
  <c r="AE169" i="16"/>
  <c r="AD158" i="16"/>
  <c r="AD166" i="16"/>
  <c r="AE166" i="16"/>
  <c r="AD174" i="16"/>
  <c r="AE174" i="16"/>
  <c r="AD170" i="16"/>
  <c r="AE170" i="16"/>
  <c r="AC170" i="16"/>
  <c r="AD163" i="16"/>
  <c r="AE163" i="16"/>
  <c r="AD171" i="16"/>
  <c r="AE171" i="16"/>
  <c r="AD160" i="16"/>
  <c r="AE160" i="16"/>
  <c r="AD184" i="16"/>
  <c r="AE184" i="16"/>
  <c r="AD145" i="16"/>
  <c r="AD175" i="16"/>
  <c r="AE175" i="16"/>
  <c r="AD196" i="16"/>
  <c r="AE196" i="16"/>
  <c r="AD178" i="16"/>
  <c r="AE178" i="16"/>
  <c r="AD181" i="16"/>
  <c r="AE181" i="16"/>
  <c r="AD180" i="16"/>
  <c r="AE180" i="16"/>
  <c r="AD200" i="16"/>
  <c r="AE200" i="16"/>
  <c r="AD176" i="16"/>
  <c r="AE176" i="16"/>
  <c r="AD167" i="16"/>
  <c r="AE167" i="16"/>
  <c r="AD148" i="16"/>
  <c r="AD154" i="16"/>
  <c r="AD157" i="16"/>
  <c r="AD153" i="16"/>
  <c r="AD149" i="16"/>
  <c r="AD156" i="16"/>
  <c r="AD179" i="16"/>
  <c r="AE179" i="16"/>
  <c r="AC179" i="16"/>
  <c r="AD194" i="16"/>
  <c r="AE194" i="16"/>
  <c r="AD162" i="16"/>
  <c r="AE162" i="16"/>
  <c r="AD164" i="16"/>
  <c r="AE164" i="16"/>
  <c r="AD191" i="16"/>
  <c r="AE191" i="16"/>
  <c r="AD186" i="16"/>
  <c r="AE186" i="16"/>
  <c r="AD189" i="16"/>
  <c r="AE189" i="16"/>
  <c r="AD188" i="16"/>
  <c r="AE188" i="16"/>
  <c r="AD177" i="16"/>
  <c r="AE177" i="16"/>
  <c r="AC177" i="16"/>
  <c r="AD172" i="16"/>
  <c r="AE172" i="16"/>
  <c r="AD199" i="16"/>
  <c r="AE199" i="16"/>
  <c r="AD155" i="16"/>
  <c r="AD193" i="16"/>
  <c r="AE193" i="16"/>
  <c r="AD201" i="16"/>
  <c r="AE201" i="16"/>
  <c r="AD190" i="16"/>
  <c r="AE190" i="16"/>
  <c r="AC190" i="16"/>
  <c r="AD198" i="16"/>
  <c r="AE198" i="16"/>
  <c r="AD143" i="16"/>
  <c r="AD202" i="16"/>
  <c r="AE202" i="16"/>
  <c r="AC202" i="16"/>
  <c r="AD195" i="16"/>
  <c r="AD192" i="16"/>
  <c r="AE192" i="16"/>
  <c r="AD165" i="16"/>
  <c r="AE165" i="16"/>
  <c r="AD182" i="16"/>
  <c r="AE182" i="16"/>
  <c r="AC182" i="16"/>
  <c r="AD152" i="16"/>
  <c r="AD147" i="16"/>
  <c r="AD144" i="16"/>
  <c r="AD173" i="16"/>
  <c r="AE173" i="16"/>
  <c r="AC173" i="16"/>
  <c r="AD185" i="16"/>
  <c r="AE185" i="16"/>
  <c r="AD183" i="16"/>
  <c r="AE183" i="16"/>
  <c r="AD150" i="16"/>
  <c r="AD197" i="16"/>
  <c r="AE197" i="16"/>
  <c r="O167" i="16"/>
  <c r="W146" i="16"/>
  <c r="O143" i="16"/>
  <c r="M143" i="16"/>
  <c r="Y166" i="16"/>
  <c r="O178" i="16"/>
  <c r="O184" i="16"/>
  <c r="O171" i="16"/>
  <c r="M172" i="16"/>
  <c r="AK173" i="16"/>
  <c r="O201" i="16"/>
  <c r="O189" i="16"/>
  <c r="AK178" i="16"/>
  <c r="AK193" i="16"/>
  <c r="AK171" i="16"/>
  <c r="AK159" i="16"/>
  <c r="O156" i="16"/>
  <c r="O202" i="16"/>
  <c r="O190" i="16"/>
  <c r="O169" i="16"/>
  <c r="O200" i="16"/>
  <c r="O179" i="16"/>
  <c r="O164" i="16"/>
  <c r="O197" i="16"/>
  <c r="O151" i="16"/>
  <c r="O166" i="16"/>
  <c r="O162" i="16"/>
  <c r="AG199" i="16"/>
  <c r="AH167" i="16"/>
  <c r="AG186" i="16"/>
  <c r="O174" i="16"/>
  <c r="AH190" i="16"/>
  <c r="O168" i="16"/>
  <c r="O181" i="16"/>
  <c r="O152" i="16"/>
  <c r="O193" i="16"/>
  <c r="O158" i="16"/>
  <c r="O144" i="16"/>
  <c r="O192" i="16"/>
  <c r="O186" i="16"/>
  <c r="O188" i="16"/>
  <c r="O191" i="16"/>
  <c r="O177" i="16"/>
  <c r="O195" i="16"/>
  <c r="O148" i="16"/>
  <c r="O176" i="16"/>
  <c r="O170" i="16"/>
  <c r="O194" i="16"/>
  <c r="O187" i="16"/>
  <c r="O155" i="16"/>
  <c r="O153" i="16"/>
  <c r="O161" i="16"/>
  <c r="O163" i="16"/>
  <c r="O165" i="16"/>
  <c r="O160" i="16"/>
  <c r="O154" i="16"/>
  <c r="O198" i="16"/>
  <c r="O149" i="16"/>
  <c r="O147" i="16"/>
  <c r="O183" i="16"/>
  <c r="O196" i="16"/>
  <c r="O146" i="16"/>
  <c r="O185" i="16"/>
  <c r="O159" i="16"/>
  <c r="O173" i="16"/>
  <c r="M173" i="16"/>
  <c r="AG193" i="16"/>
  <c r="O199" i="16"/>
  <c r="O182" i="16"/>
  <c r="AG153" i="16"/>
  <c r="O150" i="16"/>
  <c r="O175" i="16"/>
  <c r="O145" i="16"/>
  <c r="O157" i="16"/>
  <c r="AG168" i="16"/>
  <c r="AG197" i="16"/>
  <c r="AG163" i="16"/>
  <c r="AG195" i="16"/>
  <c r="AH186" i="16"/>
  <c r="AH199" i="16"/>
  <c r="AH174" i="16"/>
  <c r="AF175" i="16"/>
  <c r="AG148" i="16"/>
  <c r="AG179" i="16"/>
  <c r="AG202" i="16"/>
  <c r="AG147" i="16"/>
  <c r="AH149" i="16"/>
  <c r="AH161" i="16"/>
  <c r="N200" i="16"/>
  <c r="N197" i="16"/>
  <c r="N165" i="16"/>
  <c r="N192" i="16"/>
  <c r="N160" i="16"/>
  <c r="N175" i="16"/>
  <c r="N145" i="16"/>
  <c r="N172" i="16"/>
  <c r="N202" i="16"/>
  <c r="N195" i="16"/>
  <c r="N163" i="16"/>
  <c r="N162" i="16"/>
  <c r="N185" i="16"/>
  <c r="N153" i="16"/>
  <c r="N170" i="16"/>
  <c r="N149" i="16"/>
  <c r="N184" i="16"/>
  <c r="N152" i="16"/>
  <c r="N143" i="16"/>
  <c r="N199" i="16"/>
  <c r="N167" i="16"/>
  <c r="N196" i="16"/>
  <c r="N164" i="16"/>
  <c r="N186" i="16"/>
  <c r="N187" i="16"/>
  <c r="N155" i="16"/>
  <c r="N146" i="16"/>
  <c r="N177" i="16"/>
  <c r="N198" i="16"/>
  <c r="N181" i="16"/>
  <c r="N189" i="16"/>
  <c r="N157" i="16"/>
  <c r="N176" i="16"/>
  <c r="N190" i="16"/>
  <c r="N191" i="16"/>
  <c r="N159" i="16"/>
  <c r="N188" i="16"/>
  <c r="N156" i="16"/>
  <c r="N166" i="16"/>
  <c r="N179" i="16"/>
  <c r="N147" i="16"/>
  <c r="N194" i="16"/>
  <c r="N201" i="16"/>
  <c r="N169" i="16"/>
  <c r="N182" i="16"/>
  <c r="N173" i="16"/>
  <c r="N158" i="16"/>
  <c r="N144" i="16"/>
  <c r="N168" i="16"/>
  <c r="N174" i="16"/>
  <c r="N183" i="16"/>
  <c r="N151" i="16"/>
  <c r="N180" i="16"/>
  <c r="N148" i="16"/>
  <c r="N150" i="16"/>
  <c r="N154" i="16"/>
  <c r="N171" i="16"/>
  <c r="N178" i="16"/>
  <c r="N193" i="16"/>
  <c r="N161" i="16"/>
  <c r="AH163" i="16"/>
  <c r="AG158" i="16"/>
  <c r="AG160" i="16"/>
  <c r="AG170" i="16"/>
  <c r="AG189" i="16"/>
  <c r="AH170" i="16"/>
  <c r="AH195" i="16"/>
  <c r="M179" i="16"/>
  <c r="O180" i="16"/>
  <c r="AH178" i="16"/>
  <c r="AH150" i="16"/>
  <c r="AH193" i="16"/>
  <c r="AH143" i="16"/>
  <c r="AF143" i="16"/>
  <c r="AH159" i="16"/>
  <c r="AG155" i="16"/>
  <c r="AG156" i="16"/>
  <c r="AG181" i="16"/>
  <c r="AG159" i="16"/>
  <c r="AG152" i="16"/>
  <c r="AG200" i="16"/>
  <c r="AG157" i="16"/>
  <c r="AG149" i="16"/>
  <c r="AG172" i="16"/>
  <c r="AG180" i="16"/>
  <c r="AG161" i="16"/>
  <c r="AG182" i="16"/>
  <c r="AG146" i="16"/>
  <c r="AG154" i="16"/>
  <c r="AG190" i="16"/>
  <c r="AH183" i="16"/>
  <c r="AH176" i="16"/>
  <c r="AF176" i="16"/>
  <c r="AH152" i="16"/>
  <c r="AH172" i="16"/>
  <c r="AH155" i="16"/>
  <c r="AH188" i="16"/>
  <c r="AH164" i="16"/>
  <c r="AH187" i="16"/>
  <c r="AH177" i="16"/>
  <c r="AH165" i="16"/>
  <c r="AH158" i="16"/>
  <c r="AH171" i="16"/>
  <c r="AH200" i="16"/>
  <c r="AH184" i="16"/>
  <c r="AG196" i="16"/>
  <c r="AG188" i="16"/>
  <c r="AG165" i="16"/>
  <c r="AG162" i="16"/>
  <c r="AG144" i="16"/>
  <c r="AG143" i="16"/>
  <c r="AG178" i="16"/>
  <c r="AG175" i="16"/>
  <c r="AG201" i="16"/>
  <c r="AG177" i="16"/>
  <c r="AG167" i="16"/>
  <c r="AG192" i="16"/>
  <c r="AG174" i="16"/>
  <c r="AG198" i="16"/>
  <c r="AH154" i="16"/>
  <c r="AH196" i="16"/>
  <c r="AH169" i="16"/>
  <c r="AH160" i="16"/>
  <c r="AH148" i="16"/>
  <c r="AH153" i="16"/>
  <c r="AH201" i="16"/>
  <c r="AH144" i="16"/>
  <c r="AF144" i="16"/>
  <c r="AH194" i="16"/>
  <c r="AH166" i="16"/>
  <c r="AF166" i="16"/>
  <c r="AH157" i="16"/>
  <c r="AF158" i="16"/>
  <c r="AH179" i="16"/>
  <c r="AH198" i="16"/>
  <c r="AH168" i="16"/>
  <c r="AH191" i="16"/>
  <c r="AH145" i="16"/>
  <c r="AF145" i="16"/>
  <c r="AG171" i="16"/>
  <c r="AG145" i="16"/>
  <c r="AG164" i="16"/>
  <c r="AG185" i="16"/>
  <c r="AG169" i="16"/>
  <c r="AG194" i="16"/>
  <c r="AG183" i="16"/>
  <c r="AG187" i="16"/>
  <c r="AG166" i="16"/>
  <c r="AG191" i="16"/>
  <c r="AG184" i="16"/>
  <c r="AG150" i="16"/>
  <c r="AG176" i="16"/>
  <c r="AG151" i="16"/>
  <c r="AG173" i="16"/>
  <c r="AH180" i="16"/>
  <c r="AF180" i="16"/>
  <c r="AH146" i="16"/>
  <c r="AH185" i="16"/>
  <c r="AH173" i="16"/>
  <c r="AH147" i="16"/>
  <c r="AH197" i="16"/>
  <c r="AH181" i="16"/>
  <c r="AH156" i="16"/>
  <c r="AH182" i="16"/>
  <c r="AH189" i="16"/>
  <c r="AH151" i="16"/>
  <c r="AH162" i="16"/>
  <c r="AH192" i="16"/>
  <c r="AH202" i="16"/>
  <c r="AK168" i="16"/>
  <c r="AK165" i="16"/>
  <c r="AK201" i="16"/>
  <c r="AK186" i="16"/>
  <c r="AK191" i="16"/>
  <c r="AK185" i="16"/>
  <c r="AK163" i="16"/>
  <c r="AK149" i="16"/>
  <c r="AK170" i="16"/>
  <c r="AK192" i="16"/>
  <c r="AI193" i="16"/>
  <c r="AK144" i="16"/>
  <c r="AK157" i="16"/>
  <c r="AK187" i="16"/>
  <c r="AK146" i="16"/>
  <c r="AK172" i="16"/>
  <c r="AK151" i="16"/>
  <c r="AK177" i="16"/>
  <c r="AK152" i="16"/>
  <c r="AK145" i="16"/>
  <c r="AI145" i="16"/>
  <c r="AK190" i="16"/>
  <c r="AK156" i="16"/>
  <c r="AK160" i="16"/>
  <c r="AK175" i="16"/>
  <c r="AK174" i="16"/>
  <c r="AK199" i="16"/>
  <c r="AK202" i="16"/>
  <c r="AK176" i="16"/>
  <c r="AK197" i="16"/>
  <c r="AK158" i="16"/>
  <c r="AK182" i="16"/>
  <c r="AK198" i="16"/>
  <c r="AK167" i="16"/>
  <c r="AK143" i="16"/>
  <c r="AI143" i="16"/>
  <c r="AK161" i="16"/>
  <c r="AI161" i="16"/>
  <c r="AK162" i="16"/>
  <c r="AK181" i="16"/>
  <c r="AK179" i="16"/>
  <c r="AK147" i="16"/>
  <c r="AI147" i="16"/>
  <c r="AK194" i="16"/>
  <c r="AK183" i="16"/>
  <c r="AK200" i="16"/>
  <c r="AK189" i="16"/>
  <c r="U159" i="16"/>
  <c r="V159" i="16"/>
  <c r="U171" i="16"/>
  <c r="V171" i="16"/>
  <c r="U172" i="16"/>
  <c r="V172" i="16"/>
  <c r="U188" i="16"/>
  <c r="V188" i="16"/>
  <c r="U167" i="16"/>
  <c r="V167" i="16"/>
  <c r="U199" i="16"/>
  <c r="V199" i="16"/>
  <c r="U174" i="16"/>
  <c r="V174" i="16"/>
  <c r="U197" i="16"/>
  <c r="V197" i="16"/>
  <c r="U183" i="16"/>
  <c r="V183" i="16"/>
  <c r="U170" i="16"/>
  <c r="V170" i="16"/>
  <c r="U193" i="16"/>
  <c r="V193" i="16"/>
  <c r="U169" i="16"/>
  <c r="V169" i="16"/>
  <c r="U192" i="16"/>
  <c r="V192" i="16"/>
  <c r="U160" i="16"/>
  <c r="V160" i="16"/>
  <c r="U157" i="16"/>
  <c r="V157" i="16"/>
  <c r="U195" i="16"/>
  <c r="V195" i="16"/>
  <c r="U196" i="16"/>
  <c r="V196" i="16"/>
  <c r="U156" i="16"/>
  <c r="V156" i="16"/>
  <c r="U202" i="16"/>
  <c r="V202" i="16"/>
  <c r="U198" i="16"/>
  <c r="V198" i="16"/>
  <c r="U166" i="16"/>
  <c r="V166" i="16"/>
  <c r="U173" i="16"/>
  <c r="V173" i="16"/>
  <c r="U145" i="16"/>
  <c r="V145" i="16"/>
  <c r="U194" i="16"/>
  <c r="V194" i="16"/>
  <c r="U162" i="16"/>
  <c r="V162" i="16"/>
  <c r="U149" i="16"/>
  <c r="V149" i="16"/>
  <c r="U185" i="16"/>
  <c r="V185" i="16"/>
  <c r="U184" i="16"/>
  <c r="V184" i="16"/>
  <c r="U152" i="16"/>
  <c r="V152" i="16"/>
  <c r="U189" i="16"/>
  <c r="V189" i="16"/>
  <c r="U164" i="16"/>
  <c r="V164" i="16"/>
  <c r="U180" i="16"/>
  <c r="V180" i="16"/>
  <c r="U187" i="16"/>
  <c r="V187" i="16"/>
  <c r="U190" i="16"/>
  <c r="V190" i="16"/>
  <c r="U158" i="16"/>
  <c r="V158" i="16"/>
  <c r="U191" i="16"/>
  <c r="V191" i="16"/>
  <c r="U179" i="16"/>
  <c r="V179" i="16"/>
  <c r="U186" i="16"/>
  <c r="V186" i="16"/>
  <c r="U154" i="16"/>
  <c r="V154" i="16"/>
  <c r="U177" i="16"/>
  <c r="V177" i="16"/>
  <c r="U163" i="16"/>
  <c r="V163" i="16"/>
  <c r="U176" i="16"/>
  <c r="V176" i="16"/>
  <c r="U143" i="16"/>
  <c r="V143" i="16"/>
  <c r="T143" i="16"/>
  <c r="U175" i="16"/>
  <c r="V175" i="16"/>
  <c r="U161" i="16"/>
  <c r="V161" i="16"/>
  <c r="U151" i="16"/>
  <c r="V151" i="16"/>
  <c r="U148" i="16"/>
  <c r="V148" i="16"/>
  <c r="U165" i="16"/>
  <c r="V165" i="16"/>
  <c r="U182" i="16"/>
  <c r="V182" i="16"/>
  <c r="U150" i="16"/>
  <c r="V150" i="16"/>
  <c r="U153" i="16"/>
  <c r="V153" i="16"/>
  <c r="U155" i="16"/>
  <c r="V155" i="16"/>
  <c r="U178" i="16"/>
  <c r="V178" i="16"/>
  <c r="U144" i="16"/>
  <c r="V144" i="16"/>
  <c r="U146" i="16"/>
  <c r="V146" i="16"/>
  <c r="U147" i="16"/>
  <c r="V147" i="16"/>
  <c r="U200" i="16"/>
  <c r="V200" i="16"/>
  <c r="U168" i="16"/>
  <c r="V168" i="16"/>
  <c r="U201" i="16"/>
  <c r="V201" i="16"/>
  <c r="U181" i="16"/>
  <c r="V181" i="16"/>
  <c r="AK153" i="16"/>
  <c r="AK164" i="16"/>
  <c r="AK166" i="16"/>
  <c r="AK180" i="16"/>
  <c r="AK184" i="16"/>
  <c r="AK188" i="16"/>
  <c r="AK155" i="16"/>
  <c r="AK196" i="16"/>
  <c r="AI196" i="16"/>
  <c r="AK169" i="16"/>
  <c r="AK150" i="16"/>
  <c r="AK154" i="16"/>
  <c r="AJ156" i="16"/>
  <c r="AJ155" i="16"/>
  <c r="AJ153" i="16"/>
  <c r="AJ148" i="16"/>
  <c r="AJ191" i="16"/>
  <c r="AJ195" i="16"/>
  <c r="AJ164" i="16"/>
  <c r="AJ196" i="16"/>
  <c r="AJ163" i="16"/>
  <c r="AJ160" i="16"/>
  <c r="AJ182" i="16"/>
  <c r="AJ165" i="16"/>
  <c r="AJ181" i="16"/>
  <c r="AJ187" i="16"/>
  <c r="AJ151" i="16"/>
  <c r="AJ201" i="16"/>
  <c r="AJ143" i="16"/>
  <c r="AJ199" i="16"/>
  <c r="AJ193" i="16"/>
  <c r="AJ174" i="16"/>
  <c r="AJ192" i="16"/>
  <c r="AJ157" i="16"/>
  <c r="AJ188" i="16"/>
  <c r="AJ154" i="16"/>
  <c r="AJ186" i="16"/>
  <c r="AJ198" i="16"/>
  <c r="AJ189" i="16"/>
  <c r="AJ149" i="16"/>
  <c r="AJ152" i="16"/>
  <c r="AJ175" i="16"/>
  <c r="AJ147" i="16"/>
  <c r="AJ179" i="16"/>
  <c r="AJ150" i="16"/>
  <c r="AJ194" i="16"/>
  <c r="AJ202" i="16"/>
  <c r="AJ170" i="16"/>
  <c r="AJ173" i="16"/>
  <c r="AJ167" i="16"/>
  <c r="AJ171" i="16"/>
  <c r="AJ162" i="16"/>
  <c r="AJ161" i="16"/>
  <c r="AJ146" i="16"/>
  <c r="AJ144" i="16"/>
  <c r="AJ168" i="16"/>
  <c r="AJ200" i="16"/>
  <c r="AJ177" i="16"/>
  <c r="AJ145" i="16"/>
  <c r="AJ166" i="16"/>
  <c r="AJ197" i="16"/>
  <c r="AJ190" i="16"/>
  <c r="AJ158" i="16"/>
  <c r="AJ178" i="16"/>
  <c r="AJ169" i="16"/>
  <c r="AJ184" i="16"/>
  <c r="AJ185" i="16"/>
  <c r="AJ176" i="16"/>
  <c r="AJ180" i="16"/>
  <c r="AJ159" i="16"/>
  <c r="AJ183" i="16"/>
  <c r="AJ172" i="16"/>
  <c r="AK148" i="16"/>
  <c r="X196" i="16"/>
  <c r="Y196" i="16"/>
  <c r="X180" i="16"/>
  <c r="Y180" i="16"/>
  <c r="X197" i="16"/>
  <c r="Y197" i="16"/>
  <c r="X146" i="16"/>
  <c r="X178" i="16"/>
  <c r="Y178" i="16"/>
  <c r="X172" i="16"/>
  <c r="Y172" i="16"/>
  <c r="X201" i="16"/>
  <c r="Y201" i="16"/>
  <c r="X187" i="16"/>
  <c r="Y187" i="16"/>
  <c r="X159" i="16"/>
  <c r="Y159" i="16"/>
  <c r="X169" i="16"/>
  <c r="Y169" i="16"/>
  <c r="X174" i="16"/>
  <c r="Y174" i="16"/>
  <c r="W147" i="16"/>
  <c r="X176" i="16"/>
  <c r="Y176" i="16"/>
  <c r="X160" i="16"/>
  <c r="Y160" i="16"/>
  <c r="X173" i="16"/>
  <c r="Y173" i="16"/>
  <c r="X170" i="16"/>
  <c r="Y170" i="16"/>
  <c r="X188" i="16"/>
  <c r="Y188" i="16"/>
  <c r="X163" i="16"/>
  <c r="Y163" i="16"/>
  <c r="X145" i="16"/>
  <c r="X184" i="16"/>
  <c r="Y184" i="16"/>
  <c r="X156" i="16"/>
  <c r="Y156" i="16"/>
  <c r="X147" i="16"/>
  <c r="X154" i="16"/>
  <c r="Y154" i="16"/>
  <c r="X161" i="16"/>
  <c r="Y161" i="16"/>
  <c r="X152" i="16"/>
  <c r="Y152" i="16"/>
  <c r="X157" i="16"/>
  <c r="Y157" i="16"/>
  <c r="X151" i="16"/>
  <c r="Y151" i="16"/>
  <c r="W151" i="16"/>
  <c r="X200" i="16"/>
  <c r="Y200" i="16"/>
  <c r="X190" i="16"/>
  <c r="Y190" i="16"/>
  <c r="W149" i="16"/>
  <c r="X149" i="16"/>
  <c r="X193" i="16"/>
  <c r="Y193" i="16"/>
  <c r="X189" i="16"/>
  <c r="Y189" i="16"/>
  <c r="W189" i="16"/>
  <c r="X195" i="16"/>
  <c r="Y195" i="16"/>
  <c r="X202" i="16"/>
  <c r="Y202" i="16"/>
  <c r="X162" i="16"/>
  <c r="Y162" i="16"/>
  <c r="X181" i="16"/>
  <c r="Y181" i="16"/>
  <c r="X179" i="16"/>
  <c r="Y179" i="16"/>
  <c r="X177" i="16"/>
  <c r="Y177" i="16"/>
  <c r="X185" i="16"/>
  <c r="Y185" i="16"/>
  <c r="W185" i="16"/>
  <c r="X186" i="16"/>
  <c r="Y186" i="16"/>
  <c r="X143" i="16"/>
  <c r="X183" i="16"/>
  <c r="Y183" i="16"/>
  <c r="X144" i="16"/>
  <c r="X171" i="16"/>
  <c r="Y171" i="16"/>
  <c r="X148" i="16"/>
  <c r="X191" i="16"/>
  <c r="Y191" i="16"/>
  <c r="X150" i="16"/>
  <c r="X199" i="16"/>
  <c r="Y199" i="16"/>
  <c r="X165" i="16"/>
  <c r="Y165" i="16"/>
  <c r="X175" i="16"/>
  <c r="Y175" i="16"/>
  <c r="X192" i="16"/>
  <c r="Y192" i="16"/>
  <c r="X198" i="16"/>
  <c r="Y198" i="16"/>
  <c r="X167" i="16"/>
  <c r="Y167" i="16"/>
  <c r="X194" i="16"/>
  <c r="Y194" i="16"/>
  <c r="X164" i="16"/>
  <c r="Y164" i="16"/>
  <c r="X168" i="16"/>
  <c r="Y168" i="16"/>
  <c r="X153" i="16"/>
  <c r="Y153" i="16"/>
  <c r="X155" i="16"/>
  <c r="Y155" i="16"/>
  <c r="W155" i="16"/>
  <c r="X182" i="16"/>
  <c r="Y182" i="16"/>
  <c r="X158" i="16"/>
  <c r="Y158" i="16"/>
  <c r="W150" i="16"/>
  <c r="W148" i="16"/>
  <c r="W144" i="16"/>
  <c r="W145" i="16"/>
  <c r="H201" i="16"/>
  <c r="H197" i="16"/>
  <c r="H193" i="16"/>
  <c r="H189" i="16"/>
  <c r="H185" i="16"/>
  <c r="H181" i="16"/>
  <c r="H177" i="16"/>
  <c r="H173" i="16"/>
  <c r="H169" i="16"/>
  <c r="H165" i="16"/>
  <c r="H161" i="16"/>
  <c r="H157" i="16"/>
  <c r="H153" i="16"/>
  <c r="H149" i="16"/>
  <c r="H145" i="16"/>
  <c r="H191" i="16"/>
  <c r="H183" i="16"/>
  <c r="H175" i="16"/>
  <c r="H171" i="16"/>
  <c r="H167" i="16"/>
  <c r="H159" i="16"/>
  <c r="H147" i="16"/>
  <c r="H202" i="16"/>
  <c r="H198" i="16"/>
  <c r="H194" i="16"/>
  <c r="H190" i="16"/>
  <c r="H186" i="16"/>
  <c r="H182" i="16"/>
  <c r="H178" i="16"/>
  <c r="H174" i="16"/>
  <c r="H170" i="16"/>
  <c r="H166" i="16"/>
  <c r="H162" i="16"/>
  <c r="H158" i="16"/>
  <c r="H154" i="16"/>
  <c r="H150" i="16"/>
  <c r="H146" i="16"/>
  <c r="H199" i="16"/>
  <c r="H195" i="16"/>
  <c r="H187" i="16"/>
  <c r="H179" i="16"/>
  <c r="H163" i="16"/>
  <c r="H155" i="16"/>
  <c r="H151" i="16"/>
  <c r="H143" i="16"/>
  <c r="I143" i="16"/>
  <c r="G143" i="16"/>
  <c r="H200" i="16"/>
  <c r="H196" i="16"/>
  <c r="H192" i="16"/>
  <c r="H188" i="16"/>
  <c r="H184" i="16"/>
  <c r="H180" i="16"/>
  <c r="H176" i="16"/>
  <c r="H172" i="16"/>
  <c r="H168" i="16"/>
  <c r="H164" i="16"/>
  <c r="H160" i="16"/>
  <c r="H156" i="16"/>
  <c r="H152" i="16"/>
  <c r="H148" i="16"/>
  <c r="H144" i="16"/>
  <c r="H68" i="4"/>
  <c r="AA361" i="6"/>
  <c r="H180" i="6"/>
  <c r="I181" i="6"/>
  <c r="H181" i="6"/>
  <c r="H178" i="6"/>
  <c r="I178" i="6"/>
  <c r="H177" i="6"/>
  <c r="I177" i="6"/>
  <c r="I176" i="6"/>
  <c r="H176" i="6"/>
  <c r="I175" i="6"/>
  <c r="H175" i="6"/>
  <c r="I179" i="6"/>
  <c r="H179" i="6"/>
  <c r="B182" i="6"/>
  <c r="W162" i="16"/>
  <c r="AI174" i="16"/>
  <c r="M145" i="16"/>
  <c r="M182" i="16"/>
  <c r="AI173" i="16"/>
  <c r="M180" i="16"/>
  <c r="M144" i="16"/>
  <c r="AC144" i="16"/>
  <c r="M176" i="16"/>
  <c r="M171" i="16"/>
  <c r="AC196" i="16"/>
  <c r="AC152" i="16"/>
  <c r="AC150" i="16"/>
  <c r="AC145" i="16"/>
  <c r="AC149" i="16"/>
  <c r="AC148" i="16"/>
  <c r="AI176" i="16"/>
  <c r="W167" i="16"/>
  <c r="AC153" i="16"/>
  <c r="AC155" i="16"/>
  <c r="AC156" i="16"/>
  <c r="M185" i="16"/>
  <c r="AC159" i="16"/>
  <c r="AC157" i="16"/>
  <c r="AI166" i="16"/>
  <c r="AI172" i="16"/>
  <c r="M202" i="16"/>
  <c r="AC146" i="16"/>
  <c r="M163" i="16"/>
  <c r="M201" i="16"/>
  <c r="AI171" i="16"/>
  <c r="M184" i="16"/>
  <c r="M162" i="16"/>
  <c r="AC154" i="16"/>
  <c r="AC171" i="16"/>
  <c r="AC172" i="16"/>
  <c r="AC167" i="16"/>
  <c r="AC176" i="16"/>
  <c r="AC200" i="16"/>
  <c r="AC160" i="16"/>
  <c r="AC175" i="16"/>
  <c r="AC197" i="16"/>
  <c r="AC193" i="16"/>
  <c r="AC191" i="16"/>
  <c r="AC187" i="16"/>
  <c r="AC151" i="16"/>
  <c r="AC183" i="16"/>
  <c r="AC192" i="16"/>
  <c r="AC198" i="16"/>
  <c r="AC174" i="16"/>
  <c r="AC168" i="16"/>
  <c r="AC181" i="16"/>
  <c r="AC180" i="16"/>
  <c r="AC194" i="16"/>
  <c r="AC195" i="16"/>
  <c r="AC188" i="16"/>
  <c r="AC199" i="16"/>
  <c r="AC189" i="16"/>
  <c r="AC162" i="16"/>
  <c r="AC166" i="16"/>
  <c r="AC165" i="16"/>
  <c r="AC178" i="16"/>
  <c r="AC201" i="16"/>
  <c r="AC186" i="16"/>
  <c r="AC147" i="16"/>
  <c r="AC164" i="16"/>
  <c r="AC184" i="16"/>
  <c r="AC169" i="16"/>
  <c r="AC185" i="16"/>
  <c r="AC161" i="16"/>
  <c r="AC163" i="16"/>
  <c r="M167" i="16"/>
  <c r="AI183" i="16"/>
  <c r="W153" i="16"/>
  <c r="W179" i="16"/>
  <c r="W157" i="16"/>
  <c r="W160" i="16"/>
  <c r="W171" i="16"/>
  <c r="T174" i="16"/>
  <c r="W197" i="16"/>
  <c r="T144" i="16"/>
  <c r="W186" i="16"/>
  <c r="W201" i="16"/>
  <c r="W163" i="16"/>
  <c r="W195" i="16"/>
  <c r="W152" i="16"/>
  <c r="W188" i="16"/>
  <c r="W192" i="16"/>
  <c r="W174" i="16"/>
  <c r="W176" i="16"/>
  <c r="W193" i="16"/>
  <c r="W181" i="16"/>
  <c r="W182" i="16"/>
  <c r="W170" i="16"/>
  <c r="W194" i="16"/>
  <c r="W177" i="16"/>
  <c r="W154" i="16"/>
  <c r="W173" i="16"/>
  <c r="W166" i="16"/>
  <c r="W165" i="16"/>
  <c r="W175" i="16"/>
  <c r="W158" i="16"/>
  <c r="W199" i="16"/>
  <c r="W190" i="16"/>
  <c r="W156" i="16"/>
  <c r="W169" i="16"/>
  <c r="W191" i="16"/>
  <c r="W187" i="16"/>
  <c r="W168" i="16"/>
  <c r="W164" i="16"/>
  <c r="W200" i="16"/>
  <c r="W161" i="16"/>
  <c r="W184" i="16"/>
  <c r="W159" i="16"/>
  <c r="W178" i="16"/>
  <c r="W196" i="16"/>
  <c r="T193" i="16"/>
  <c r="W198" i="16"/>
  <c r="W183" i="16"/>
  <c r="W202" i="16"/>
  <c r="W172" i="16"/>
  <c r="T166" i="16"/>
  <c r="W180" i="16"/>
  <c r="AI168" i="16"/>
  <c r="AI198" i="16"/>
  <c r="AI191" i="16"/>
  <c r="M178" i="16"/>
  <c r="T160" i="16"/>
  <c r="AI180" i="16"/>
  <c r="AI202" i="16"/>
  <c r="AI160" i="16"/>
  <c r="M189" i="16"/>
  <c r="M169" i="16"/>
  <c r="AI182" i="16"/>
  <c r="AI152" i="16"/>
  <c r="AI179" i="16"/>
  <c r="AI178" i="16"/>
  <c r="M157" i="16"/>
  <c r="M196" i="16"/>
  <c r="M199" i="16"/>
  <c r="M200" i="16"/>
  <c r="M152" i="16"/>
  <c r="M151" i="16"/>
  <c r="M156" i="16"/>
  <c r="M191" i="16"/>
  <c r="AI150" i="16"/>
  <c r="AI155" i="16"/>
  <c r="AI167" i="16"/>
  <c r="AI153" i="16"/>
  <c r="AI194" i="16"/>
  <c r="AI175" i="16"/>
  <c r="AI163" i="16"/>
  <c r="AI190" i="16"/>
  <c r="AI162" i="16"/>
  <c r="AI159" i="16"/>
  <c r="AI157" i="16"/>
  <c r="AI187" i="16"/>
  <c r="M164" i="16"/>
  <c r="M190" i="16"/>
  <c r="M174" i="16"/>
  <c r="AF186" i="16"/>
  <c r="AF149" i="16"/>
  <c r="AF196" i="16"/>
  <c r="M197" i="16"/>
  <c r="M198" i="16"/>
  <c r="M165" i="16"/>
  <c r="M147" i="16"/>
  <c r="M153" i="16"/>
  <c r="M193" i="16"/>
  <c r="M170" i="16"/>
  <c r="M155" i="16"/>
  <c r="M186" i="16"/>
  <c r="AF187" i="16"/>
  <c r="M168" i="16"/>
  <c r="M166" i="16"/>
  <c r="M188" i="16"/>
  <c r="AF168" i="16"/>
  <c r="M160" i="16"/>
  <c r="M154" i="16"/>
  <c r="M161" i="16"/>
  <c r="M194" i="16"/>
  <c r="AF161" i="16"/>
  <c r="M187" i="16"/>
  <c r="AF162" i="16"/>
  <c r="AF191" i="16"/>
  <c r="M149" i="16"/>
  <c r="M183" i="16"/>
  <c r="M148" i="16"/>
  <c r="M158" i="16"/>
  <c r="AF155" i="16"/>
  <c r="M177" i="16"/>
  <c r="M192" i="16"/>
  <c r="AF184" i="16"/>
  <c r="AF150" i="16"/>
  <c r="M159" i="16"/>
  <c r="M195" i="16"/>
  <c r="AF148" i="16"/>
  <c r="AF179" i="16"/>
  <c r="AF171" i="16"/>
  <c r="M175" i="16"/>
  <c r="AF156" i="16"/>
  <c r="AF170" i="16"/>
  <c r="AF164" i="16"/>
  <c r="T183" i="16"/>
  <c r="M150" i="16"/>
  <c r="AF160" i="16"/>
  <c r="AF146" i="16"/>
  <c r="AF199" i="16"/>
  <c r="AF200" i="16"/>
  <c r="M146" i="16"/>
  <c r="AF181" i="16"/>
  <c r="AF192" i="16"/>
  <c r="M181" i="16"/>
  <c r="AF153" i="16"/>
  <c r="AF165" i="16"/>
  <c r="AF194" i="16"/>
  <c r="AF188" i="16"/>
  <c r="AF189" i="16"/>
  <c r="AF197" i="16"/>
  <c r="AF182" i="16"/>
  <c r="AF195" i="16"/>
  <c r="AF151" i="16"/>
  <c r="AF157" i="16"/>
  <c r="AF202" i="16"/>
  <c r="AF201" i="16"/>
  <c r="AF169" i="16"/>
  <c r="AF152" i="16"/>
  <c r="AF193" i="16"/>
  <c r="AF185" i="16"/>
  <c r="AF147" i="16"/>
  <c r="AF198" i="16"/>
  <c r="AF177" i="16"/>
  <c r="AF183" i="16"/>
  <c r="AF159" i="16"/>
  <c r="AF163" i="16"/>
  <c r="AF167" i="16"/>
  <c r="AF190" i="16"/>
  <c r="AF154" i="16"/>
  <c r="AF173" i="16"/>
  <c r="AF174" i="16"/>
  <c r="AF172" i="16"/>
  <c r="AF178" i="16"/>
  <c r="AI146" i="16"/>
  <c r="AI154" i="16"/>
  <c r="AI148" i="16"/>
  <c r="AI195" i="16"/>
  <c r="AI185" i="16"/>
  <c r="AI164" i="16"/>
  <c r="AI186" i="16"/>
  <c r="AI192" i="16"/>
  <c r="AI189" i="16"/>
  <c r="AI201" i="16"/>
  <c r="AI199" i="16"/>
  <c r="AI177" i="16"/>
  <c r="AI170" i="16"/>
  <c r="AI158" i="16"/>
  <c r="AI156" i="16"/>
  <c r="AI200" i="16"/>
  <c r="AI144" i="16"/>
  <c r="T186" i="16"/>
  <c r="AI184" i="16"/>
  <c r="AI188" i="16"/>
  <c r="AI197" i="16"/>
  <c r="T175" i="16"/>
  <c r="T181" i="16"/>
  <c r="T191" i="16"/>
  <c r="T192" i="16"/>
  <c r="T156" i="16"/>
  <c r="T155" i="16"/>
  <c r="T172" i="16"/>
  <c r="T188" i="16"/>
  <c r="T153" i="16"/>
  <c r="T151" i="16"/>
  <c r="T180" i="16"/>
  <c r="T164" i="16"/>
  <c r="D143" i="16"/>
  <c r="F129" i="16"/>
  <c r="T182" i="16"/>
  <c r="T178" i="16"/>
  <c r="T152" i="16"/>
  <c r="T150" i="16"/>
  <c r="T163" i="16"/>
  <c r="T199" i="16"/>
  <c r="T167" i="16"/>
  <c r="T154" i="16"/>
  <c r="T195" i="16"/>
  <c r="T173" i="16"/>
  <c r="T145" i="16"/>
  <c r="T162" i="16"/>
  <c r="T177" i="16"/>
  <c r="T196" i="16"/>
  <c r="T168" i="16"/>
  <c r="T187" i="16"/>
  <c r="T200" i="16"/>
  <c r="T158" i="16"/>
  <c r="T169" i="16"/>
  <c r="T146" i="16"/>
  <c r="T198" i="16"/>
  <c r="T170" i="16"/>
  <c r="T189" i="16"/>
  <c r="T161" i="16"/>
  <c r="T190" i="16"/>
  <c r="T201" i="16"/>
  <c r="T159" i="16"/>
  <c r="T149" i="16"/>
  <c r="T157" i="16"/>
  <c r="T184" i="16"/>
  <c r="T147" i="16"/>
  <c r="T176" i="16"/>
  <c r="T197" i="16"/>
  <c r="T185" i="16"/>
  <c r="T194" i="16"/>
  <c r="T148" i="16"/>
  <c r="T165" i="16"/>
  <c r="T179" i="16"/>
  <c r="T171" i="16"/>
  <c r="T202" i="16"/>
  <c r="AI165" i="16"/>
  <c r="E202" i="16"/>
  <c r="E171" i="16"/>
  <c r="E177" i="16"/>
  <c r="AI169" i="16"/>
  <c r="AI149" i="16"/>
  <c r="AI181" i="16"/>
  <c r="AI151" i="16"/>
  <c r="E166" i="16"/>
  <c r="O46" i="16"/>
  <c r="E144" i="16"/>
  <c r="H113" i="16"/>
  <c r="E151" i="16"/>
  <c r="L38" i="16"/>
  <c r="E167" i="16"/>
  <c r="E152" i="16"/>
  <c r="M38" i="16"/>
  <c r="E190" i="16"/>
  <c r="E194" i="16"/>
  <c r="E201" i="16"/>
  <c r="I144" i="16"/>
  <c r="F144" i="16"/>
  <c r="E180" i="16"/>
  <c r="E184" i="16"/>
  <c r="E197" i="16"/>
  <c r="E196" i="16"/>
  <c r="E198" i="16"/>
  <c r="E157" i="16"/>
  <c r="F46" i="16"/>
  <c r="E173" i="16"/>
  <c r="E172" i="16"/>
  <c r="E178" i="16"/>
  <c r="E183" i="16"/>
  <c r="E169" i="16"/>
  <c r="E168" i="16"/>
  <c r="E163" i="16"/>
  <c r="AU113" i="16"/>
  <c r="E199" i="16"/>
  <c r="E174" i="16"/>
  <c r="E147" i="16"/>
  <c r="N113" i="16"/>
  <c r="E149" i="16"/>
  <c r="S113" i="16"/>
  <c r="E156" i="16"/>
  <c r="AG113" i="16"/>
  <c r="E188" i="16"/>
  <c r="E179" i="16"/>
  <c r="E160" i="16"/>
  <c r="AO113" i="16"/>
  <c r="E176" i="16"/>
  <c r="E192" i="16"/>
  <c r="E187" i="16"/>
  <c r="E150" i="16"/>
  <c r="K38" i="16"/>
  <c r="E143" i="16"/>
  <c r="F113" i="16"/>
  <c r="E146" i="16"/>
  <c r="G38" i="16"/>
  <c r="E159" i="16"/>
  <c r="AM113" i="16"/>
  <c r="E164" i="16"/>
  <c r="AW113" i="16"/>
  <c r="E155" i="16"/>
  <c r="D46" i="16"/>
  <c r="E195" i="16"/>
  <c r="E162" i="16"/>
  <c r="K46" i="16"/>
  <c r="E153" i="16"/>
  <c r="AA113" i="16"/>
  <c r="E185" i="16"/>
  <c r="E154" i="16"/>
  <c r="O38" i="16"/>
  <c r="E145" i="16"/>
  <c r="J113" i="16"/>
  <c r="E193" i="16"/>
  <c r="E148" i="16"/>
  <c r="I38" i="16"/>
  <c r="E158" i="16"/>
  <c r="G46" i="16"/>
  <c r="E165" i="16"/>
  <c r="N46" i="16"/>
  <c r="E170" i="16"/>
  <c r="E186" i="16"/>
  <c r="E161" i="16"/>
  <c r="J46" i="16"/>
  <c r="E200" i="16"/>
  <c r="E175" i="16"/>
  <c r="E181" i="16"/>
  <c r="E191" i="16"/>
  <c r="E189" i="16"/>
  <c r="E182" i="16"/>
  <c r="I193" i="16"/>
  <c r="F193" i="16"/>
  <c r="I202" i="16"/>
  <c r="F202" i="16"/>
  <c r="I145" i="16"/>
  <c r="F145" i="16"/>
  <c r="I186" i="16"/>
  <c r="F186" i="16"/>
  <c r="F143" i="16"/>
  <c r="E112" i="16"/>
  <c r="I196" i="16"/>
  <c r="F196" i="16"/>
  <c r="I177" i="16"/>
  <c r="F177" i="16"/>
  <c r="I170" i="16"/>
  <c r="F170" i="16"/>
  <c r="I154" i="16"/>
  <c r="F154" i="16"/>
  <c r="I161" i="16"/>
  <c r="F161" i="16"/>
  <c r="I195" i="16"/>
  <c r="F195" i="16"/>
  <c r="I164" i="16"/>
  <c r="F164" i="16"/>
  <c r="I148" i="16"/>
  <c r="F148" i="16"/>
  <c r="I151" i="16"/>
  <c r="F151" i="16"/>
  <c r="I150" i="16"/>
  <c r="F150" i="16"/>
  <c r="I199" i="16"/>
  <c r="F199" i="16"/>
  <c r="I163" i="16"/>
  <c r="F163" i="16"/>
  <c r="I176" i="16"/>
  <c r="I167" i="16"/>
  <c r="F167" i="16"/>
  <c r="I157" i="16"/>
  <c r="F157" i="16"/>
  <c r="I184" i="16"/>
  <c r="F184" i="16"/>
  <c r="I166" i="16"/>
  <c r="I147" i="16"/>
  <c r="F147" i="16"/>
  <c r="I182" i="16"/>
  <c r="F182" i="16"/>
  <c r="I173" i="16"/>
  <c r="F173" i="16"/>
  <c r="I198" i="16"/>
  <c r="F198" i="16"/>
  <c r="I189" i="16"/>
  <c r="F189" i="16"/>
  <c r="I156" i="16"/>
  <c r="F156" i="16"/>
  <c r="I183" i="16"/>
  <c r="I188" i="16"/>
  <c r="F188" i="16"/>
  <c r="I179" i="16"/>
  <c r="F179" i="16"/>
  <c r="I158" i="16"/>
  <c r="F158" i="16"/>
  <c r="I187" i="16"/>
  <c r="I160" i="16"/>
  <c r="G161" i="16"/>
  <c r="I149" i="16"/>
  <c r="F149" i="16"/>
  <c r="I178" i="16"/>
  <c r="F178" i="16"/>
  <c r="I162" i="16"/>
  <c r="F162" i="16"/>
  <c r="AR112" i="16"/>
  <c r="I194" i="16"/>
  <c r="F194" i="16"/>
  <c r="I146" i="16"/>
  <c r="F146" i="16"/>
  <c r="G37" i="16"/>
  <c r="I200" i="16"/>
  <c r="G200" i="16"/>
  <c r="I171" i="16"/>
  <c r="F171" i="16"/>
  <c r="I197" i="16"/>
  <c r="I152" i="16"/>
  <c r="F152" i="16"/>
  <c r="M37" i="16"/>
  <c r="I191" i="16"/>
  <c r="F191" i="16"/>
  <c r="I180" i="16"/>
  <c r="F180" i="16"/>
  <c r="I175" i="16"/>
  <c r="I172" i="16"/>
  <c r="I155" i="16"/>
  <c r="I181" i="16"/>
  <c r="I168" i="16"/>
  <c r="F168" i="16"/>
  <c r="I159" i="16"/>
  <c r="F159" i="16"/>
  <c r="AL112" i="16"/>
  <c r="I153" i="16"/>
  <c r="F153" i="16"/>
  <c r="Z112" i="16"/>
  <c r="I174" i="16"/>
  <c r="F174" i="16"/>
  <c r="I192" i="16"/>
  <c r="I165" i="16"/>
  <c r="F165" i="16"/>
  <c r="I185" i="16"/>
  <c r="F185" i="16"/>
  <c r="I169" i="16"/>
  <c r="I201" i="16"/>
  <c r="F201" i="16"/>
  <c r="I190" i="16"/>
  <c r="F190" i="16"/>
  <c r="AB361" i="6"/>
  <c r="I68" i="4"/>
  <c r="M61" i="4"/>
  <c r="M66" i="4" s="1"/>
  <c r="G61" i="4"/>
  <c r="G66" i="4" s="1"/>
  <c r="D161" i="16"/>
  <c r="Y129" i="16"/>
  <c r="J47" i="17"/>
  <c r="D200" i="16"/>
  <c r="G176" i="16"/>
  <c r="D176" i="16"/>
  <c r="BA113" i="16"/>
  <c r="E38" i="16"/>
  <c r="Y113" i="16"/>
  <c r="W113" i="16"/>
  <c r="G198" i="16"/>
  <c r="D198" i="16"/>
  <c r="G144" i="16"/>
  <c r="D144" i="16"/>
  <c r="G129" i="16"/>
  <c r="P113" i="16"/>
  <c r="AI113" i="16"/>
  <c r="N38" i="16"/>
  <c r="I46" i="16"/>
  <c r="T104" i="16"/>
  <c r="AS113" i="16"/>
  <c r="H38" i="16"/>
  <c r="J38" i="16"/>
  <c r="U113" i="16"/>
  <c r="L46" i="16"/>
  <c r="L61" i="17"/>
  <c r="F38" i="16"/>
  <c r="H46" i="16"/>
  <c r="H61" i="17"/>
  <c r="AY113" i="16"/>
  <c r="J108" i="16"/>
  <c r="E46" i="16"/>
  <c r="E61" i="17"/>
  <c r="AE113" i="16"/>
  <c r="D38" i="16"/>
  <c r="M46" i="16"/>
  <c r="X104" i="16"/>
  <c r="N108" i="16"/>
  <c r="H57" i="16"/>
  <c r="L108" i="16"/>
  <c r="F57" i="16"/>
  <c r="L113" i="16"/>
  <c r="H108" i="16"/>
  <c r="D57" i="16"/>
  <c r="AQ113" i="16"/>
  <c r="AC113" i="16"/>
  <c r="F108" i="16"/>
  <c r="AK113" i="16"/>
  <c r="E57" i="16"/>
  <c r="G57" i="16"/>
  <c r="G96" i="17"/>
  <c r="G193" i="16"/>
  <c r="D193" i="16"/>
  <c r="G187" i="16"/>
  <c r="D187" i="16"/>
  <c r="D37" i="16"/>
  <c r="G145" i="16"/>
  <c r="D145" i="16"/>
  <c r="H129" i="16"/>
  <c r="F13" i="17"/>
  <c r="G177" i="16"/>
  <c r="D177" i="16"/>
  <c r="G196" i="16"/>
  <c r="D196" i="16"/>
  <c r="G170" i="16"/>
  <c r="D170" i="16"/>
  <c r="G151" i="16"/>
  <c r="D151" i="16"/>
  <c r="N129" i="16"/>
  <c r="G156" i="16"/>
  <c r="D156" i="16"/>
  <c r="T129" i="16"/>
  <c r="E47" i="17"/>
  <c r="H45" i="16"/>
  <c r="H135" i="4"/>
  <c r="H140" i="4" s="1"/>
  <c r="G147" i="16"/>
  <c r="D147" i="16"/>
  <c r="J129" i="16"/>
  <c r="G182" i="16"/>
  <c r="D182" i="16"/>
  <c r="G183" i="16"/>
  <c r="D183" i="16"/>
  <c r="G157" i="16"/>
  <c r="D157" i="16"/>
  <c r="U129" i="16"/>
  <c r="F47" i="17"/>
  <c r="F183" i="16"/>
  <c r="K45" i="16"/>
  <c r="G150" i="16"/>
  <c r="D150" i="16"/>
  <c r="M129" i="16"/>
  <c r="F192" i="16"/>
  <c r="G146" i="16"/>
  <c r="D146" i="16"/>
  <c r="I129" i="16"/>
  <c r="G149" i="16"/>
  <c r="D149" i="16"/>
  <c r="L129" i="16"/>
  <c r="G168" i="16"/>
  <c r="D168" i="16"/>
  <c r="G171" i="16"/>
  <c r="D171" i="16"/>
  <c r="G167" i="16"/>
  <c r="D167" i="16"/>
  <c r="K112" i="16"/>
  <c r="G163" i="16"/>
  <c r="D163" i="16"/>
  <c r="AA129" i="16"/>
  <c r="L47" i="17"/>
  <c r="F176" i="16"/>
  <c r="G154" i="16"/>
  <c r="D154" i="16"/>
  <c r="Q129" i="16"/>
  <c r="O13" i="17"/>
  <c r="F166" i="16"/>
  <c r="O45" i="16"/>
  <c r="O135" i="4"/>
  <c r="O140" i="4" s="1"/>
  <c r="G164" i="16"/>
  <c r="D164" i="16"/>
  <c r="AB129" i="16"/>
  <c r="M47" i="17"/>
  <c r="G202" i="16"/>
  <c r="D202" i="16"/>
  <c r="G166" i="16"/>
  <c r="D166" i="16"/>
  <c r="AD129" i="16"/>
  <c r="O47" i="17"/>
  <c r="G152" i="16"/>
  <c r="D152" i="16"/>
  <c r="O129" i="16"/>
  <c r="M13" i="17"/>
  <c r="F187" i="16"/>
  <c r="G185" i="16"/>
  <c r="D185" i="16"/>
  <c r="G148" i="16"/>
  <c r="D148" i="16"/>
  <c r="K129" i="16"/>
  <c r="I13" i="17"/>
  <c r="G172" i="16"/>
  <c r="D172" i="16"/>
  <c r="G189" i="16"/>
  <c r="D189" i="16"/>
  <c r="G181" i="16"/>
  <c r="D181" i="16"/>
  <c r="F160" i="16"/>
  <c r="I45" i="16"/>
  <c r="I135" i="4"/>
  <c r="I140" i="4" s="1"/>
  <c r="G199" i="16"/>
  <c r="D199" i="16"/>
  <c r="N37" i="16"/>
  <c r="G188" i="16"/>
  <c r="D188" i="16"/>
  <c r="G194" i="16"/>
  <c r="D194" i="16"/>
  <c r="G155" i="16"/>
  <c r="D155" i="16"/>
  <c r="S129" i="16"/>
  <c r="D47" i="17"/>
  <c r="G184" i="16"/>
  <c r="D184" i="16"/>
  <c r="F197" i="16"/>
  <c r="G162" i="16"/>
  <c r="D162" i="16"/>
  <c r="Z129" i="16"/>
  <c r="K47" i="17"/>
  <c r="F155" i="16"/>
  <c r="D45" i="16"/>
  <c r="D135" i="4"/>
  <c r="D140" i="4" s="1"/>
  <c r="G173" i="16"/>
  <c r="D173" i="16"/>
  <c r="F181" i="16"/>
  <c r="G174" i="16"/>
  <c r="D174" i="16"/>
  <c r="G195" i="16"/>
  <c r="D195" i="16"/>
  <c r="G197" i="16"/>
  <c r="D197" i="16"/>
  <c r="G201" i="16"/>
  <c r="D201" i="16"/>
  <c r="G160" i="16"/>
  <c r="D160" i="16"/>
  <c r="X129" i="16"/>
  <c r="I47" i="17"/>
  <c r="G158" i="16"/>
  <c r="D158" i="16"/>
  <c r="V129" i="16"/>
  <c r="G47" i="17"/>
  <c r="G179" i="16"/>
  <c r="D179" i="16"/>
  <c r="F172" i="16"/>
  <c r="G192" i="16"/>
  <c r="D192" i="16"/>
  <c r="G178" i="16"/>
  <c r="D178" i="16"/>
  <c r="G165" i="16"/>
  <c r="D165" i="16"/>
  <c r="AC129" i="16"/>
  <c r="N47" i="17"/>
  <c r="F200" i="16"/>
  <c r="G190" i="16"/>
  <c r="D190" i="16"/>
  <c r="G169" i="16"/>
  <c r="D169" i="16"/>
  <c r="F169" i="16"/>
  <c r="G175" i="16"/>
  <c r="D175" i="16"/>
  <c r="F175" i="16"/>
  <c r="G191" i="16"/>
  <c r="D191" i="16"/>
  <c r="G159" i="16"/>
  <c r="D159" i="16"/>
  <c r="W129" i="16"/>
  <c r="H47" i="17"/>
  <c r="G186" i="16"/>
  <c r="D186" i="16"/>
  <c r="G153" i="16"/>
  <c r="D153" i="16"/>
  <c r="P129" i="16"/>
  <c r="G180" i="16"/>
  <c r="D180" i="16"/>
  <c r="X112" i="16"/>
  <c r="D56" i="16"/>
  <c r="G45" i="16"/>
  <c r="G135" i="4"/>
  <c r="G140" i="4" s="1"/>
  <c r="AJ112" i="16"/>
  <c r="O37" i="16"/>
  <c r="AB112" i="16"/>
  <c r="L27" i="17"/>
  <c r="K104" i="16"/>
  <c r="AT112" i="16"/>
  <c r="L45" i="16"/>
  <c r="L135" i="4"/>
  <c r="L140" i="4" s="1"/>
  <c r="H37" i="16"/>
  <c r="M112" i="16"/>
  <c r="V104" i="16"/>
  <c r="K61" i="17"/>
  <c r="L37" i="16"/>
  <c r="V112" i="16"/>
  <c r="O61" i="17"/>
  <c r="Z104" i="16"/>
  <c r="E45" i="16"/>
  <c r="E135" i="4"/>
  <c r="E140" i="4" s="1"/>
  <c r="AF112" i="16"/>
  <c r="M45" i="16"/>
  <c r="M135" i="4"/>
  <c r="M140" i="4" s="1"/>
  <c r="AV112" i="16"/>
  <c r="R104" i="16"/>
  <c r="G61" i="17"/>
  <c r="I37" i="16"/>
  <c r="O112" i="16"/>
  <c r="L104" i="16"/>
  <c r="M39" i="16"/>
  <c r="M27" i="17"/>
  <c r="Q112" i="16"/>
  <c r="J37" i="16"/>
  <c r="U104" i="16"/>
  <c r="J61" i="17"/>
  <c r="N104" i="16"/>
  <c r="O27" i="17"/>
  <c r="O104" i="16"/>
  <c r="D61" i="17"/>
  <c r="I27" i="17"/>
  <c r="H104" i="16"/>
  <c r="I112" i="16"/>
  <c r="F37" i="16"/>
  <c r="K27" i="17"/>
  <c r="J104" i="16"/>
  <c r="Y104" i="16"/>
  <c r="N61" i="17"/>
  <c r="L103" i="16"/>
  <c r="AX112" i="16"/>
  <c r="N45" i="16"/>
  <c r="G112" i="16"/>
  <c r="E37" i="16"/>
  <c r="AP112" i="16"/>
  <c r="J45" i="16"/>
  <c r="J135" i="4"/>
  <c r="J140" i="4" s="1"/>
  <c r="F103" i="16"/>
  <c r="K37" i="16"/>
  <c r="T112" i="16"/>
  <c r="Q104" i="16"/>
  <c r="F61" i="17"/>
  <c r="G27" i="17"/>
  <c r="F104" i="16"/>
  <c r="G39" i="16"/>
  <c r="F45" i="16"/>
  <c r="F135" i="4"/>
  <c r="F140" i="4" s="1"/>
  <c r="AH112" i="16"/>
  <c r="F107" i="16"/>
  <c r="D13" i="17"/>
  <c r="AC361" i="6"/>
  <c r="J68" i="4"/>
  <c r="D27" i="17"/>
  <c r="D104" i="16"/>
  <c r="J27" i="17"/>
  <c r="G104" i="16"/>
  <c r="L61" i="4"/>
  <c r="H61" i="4"/>
  <c r="H66" i="4" s="1"/>
  <c r="M103" i="16"/>
  <c r="N61" i="4"/>
  <c r="N66" i="4" s="1"/>
  <c r="K61" i="4"/>
  <c r="K66" i="4" s="1"/>
  <c r="E61" i="4"/>
  <c r="E66" i="4" s="1"/>
  <c r="K47" i="16"/>
  <c r="K135" i="4"/>
  <c r="I61" i="4"/>
  <c r="C103" i="16"/>
  <c r="D61" i="4"/>
  <c r="D66" i="4" s="1"/>
  <c r="N47" i="16"/>
  <c r="N135" i="4"/>
  <c r="N140" i="4" s="1"/>
  <c r="F61" i="4"/>
  <c r="J61" i="4"/>
  <c r="J66" i="4" s="1"/>
  <c r="N103" i="16"/>
  <c r="O61" i="4"/>
  <c r="O66" i="4" s="1"/>
  <c r="E27" i="17"/>
  <c r="M104" i="16"/>
  <c r="E13" i="17"/>
  <c r="I61" i="17"/>
  <c r="H27" i="17"/>
  <c r="F39" i="16"/>
  <c r="N27" i="17"/>
  <c r="I104" i="16"/>
  <c r="E104" i="16"/>
  <c r="W104" i="16"/>
  <c r="L47" i="16"/>
  <c r="M61" i="17"/>
  <c r="F96" i="17"/>
  <c r="F27" i="17"/>
  <c r="P104" i="16"/>
  <c r="S104" i="16"/>
  <c r="P38" i="16"/>
  <c r="J39" i="16"/>
  <c r="C104" i="16"/>
  <c r="P46" i="16"/>
  <c r="H96" i="17"/>
  <c r="D58" i="16"/>
  <c r="D39" i="16"/>
  <c r="L13" i="17"/>
  <c r="K13" i="17"/>
  <c r="S103" i="16"/>
  <c r="H47" i="16"/>
  <c r="H13" i="17"/>
  <c r="G13" i="17"/>
  <c r="J13" i="17"/>
  <c r="V103" i="16"/>
  <c r="G56" i="16"/>
  <c r="G209" i="4"/>
  <c r="G214" i="4" s="1"/>
  <c r="L107" i="16"/>
  <c r="N39" i="16"/>
  <c r="AZ112" i="16"/>
  <c r="J107" i="16"/>
  <c r="E106" i="16"/>
  <c r="AN112" i="16"/>
  <c r="H107" i="16"/>
  <c r="F56" i="16"/>
  <c r="H56" i="16"/>
  <c r="H209" i="4"/>
  <c r="H214" i="4" s="1"/>
  <c r="K106" i="16"/>
  <c r="M106" i="16"/>
  <c r="I106" i="16"/>
  <c r="AD112" i="16"/>
  <c r="N107" i="16"/>
  <c r="O39" i="16"/>
  <c r="E56" i="16"/>
  <c r="G106" i="16"/>
  <c r="N13" i="17"/>
  <c r="M47" i="16"/>
  <c r="X103" i="16"/>
  <c r="Q103" i="16"/>
  <c r="F47" i="16"/>
  <c r="J103" i="16"/>
  <c r="E39" i="16"/>
  <c r="D103" i="16"/>
  <c r="E103" i="16"/>
  <c r="D47" i="16"/>
  <c r="P45" i="16"/>
  <c r="O103" i="16"/>
  <c r="W103" i="16"/>
  <c r="T103" i="16"/>
  <c r="G103" i="16"/>
  <c r="I47" i="16"/>
  <c r="O47" i="16"/>
  <c r="Z103" i="16"/>
  <c r="E47" i="16"/>
  <c r="P103" i="16"/>
  <c r="K103" i="16"/>
  <c r="L39" i="16"/>
  <c r="I103" i="16"/>
  <c r="I39" i="16"/>
  <c r="H103" i="16"/>
  <c r="J47" i="16"/>
  <c r="U103" i="16"/>
  <c r="Y103" i="16"/>
  <c r="K39" i="16"/>
  <c r="P37" i="16"/>
  <c r="H39" i="16"/>
  <c r="G47" i="16"/>
  <c r="R103" i="16"/>
  <c r="K68" i="4"/>
  <c r="AD361" i="6"/>
  <c r="F209" i="4"/>
  <c r="F214" i="4" s="1"/>
  <c r="G58" i="16"/>
  <c r="H58" i="16"/>
  <c r="E58" i="16"/>
  <c r="F58" i="16"/>
  <c r="P39" i="16"/>
  <c r="P47" i="16"/>
  <c r="L68" i="4"/>
  <c r="AE361" i="6"/>
  <c r="M68" i="4"/>
  <c r="AF361" i="6"/>
  <c r="AF362" i="6"/>
  <c r="AG362" i="6"/>
  <c r="AH362" i="6"/>
  <c r="AG361" i="6"/>
  <c r="N68" i="4"/>
  <c r="AI362" i="6"/>
  <c r="O68" i="4"/>
  <c r="P33" i="6"/>
  <c r="AH361" i="6"/>
  <c r="AG363" i="6"/>
  <c r="AJ362" i="6"/>
  <c r="AI361" i="6"/>
  <c r="AH363" i="6"/>
  <c r="AK362" i="6"/>
  <c r="AJ361" i="6"/>
  <c r="AI363" i="6"/>
  <c r="AL362" i="6"/>
  <c r="AK361" i="6"/>
  <c r="AJ363" i="6"/>
  <c r="AM362" i="6"/>
  <c r="AL361" i="6"/>
  <c r="AK363" i="6"/>
  <c r="AN362" i="6"/>
  <c r="AM361" i="6"/>
  <c r="AL363" i="6"/>
  <c r="AO362" i="6"/>
  <c r="AN361" i="6"/>
  <c r="AM363" i="6"/>
  <c r="AP362" i="6"/>
  <c r="AO361" i="6"/>
  <c r="AN363" i="6"/>
  <c r="AQ362" i="6"/>
  <c r="AP361" i="6"/>
  <c r="AO363" i="6"/>
  <c r="AR362" i="6"/>
  <c r="AQ361" i="6"/>
  <c r="AP363" i="6"/>
  <c r="AR361" i="6"/>
  <c r="AR363" i="6"/>
  <c r="AQ363" i="6"/>
  <c r="H131" i="6"/>
  <c r="H157" i="6"/>
  <c r="H183" i="6"/>
  <c r="P9" i="17" l="1"/>
  <c r="D78" i="17" s="1"/>
  <c r="D103" i="17" s="1"/>
  <c r="L7" i="17"/>
  <c r="C9" i="17"/>
  <c r="C19" i="17"/>
  <c r="C53" i="17"/>
  <c r="C69" i="17"/>
  <c r="C42" i="17"/>
  <c r="C82" i="17"/>
  <c r="C2" i="6"/>
  <c r="V11" i="13"/>
  <c r="S4" i="27"/>
  <c r="O16" i="13"/>
  <c r="A24" i="13"/>
  <c r="L14" i="13"/>
  <c r="C5" i="13"/>
  <c r="V1" i="13"/>
  <c r="D30" i="17"/>
  <c r="M7" i="17"/>
  <c r="M205" i="17" s="1"/>
  <c r="C97" i="17"/>
  <c r="C13" i="17"/>
  <c r="P13" i="17" s="1"/>
  <c r="D82" i="17" s="1"/>
  <c r="C7" i="17"/>
  <c r="C87" i="17"/>
  <c r="C79" i="17"/>
  <c r="C101" i="17"/>
  <c r="C52" i="17"/>
  <c r="C106" i="17"/>
  <c r="C24" i="2"/>
  <c r="C69" i="2" s="1"/>
  <c r="V7" i="13"/>
  <c r="L31" i="27"/>
  <c r="H24" i="13"/>
  <c r="V5" i="13"/>
  <c r="V6" i="13"/>
  <c r="V4" i="13"/>
  <c r="B2" i="2"/>
  <c r="C4" i="14"/>
  <c r="E7" i="17"/>
  <c r="E41" i="17" s="1"/>
  <c r="I7" i="17"/>
  <c r="C76" i="17"/>
  <c r="C34" i="17"/>
  <c r="G7" i="17"/>
  <c r="G205" i="17" s="1"/>
  <c r="C104" i="17"/>
  <c r="C96" i="17"/>
  <c r="C105" i="17"/>
  <c r="C62" i="17"/>
  <c r="P62" i="17" s="1"/>
  <c r="E97" i="17" s="1"/>
  <c r="C27" i="13"/>
  <c r="C2" i="4"/>
  <c r="L4" i="27"/>
  <c r="L15" i="13"/>
  <c r="C4" i="13"/>
  <c r="D7" i="13"/>
  <c r="B3" i="12"/>
  <c r="L11" i="13"/>
  <c r="G80" i="17"/>
  <c r="K45" i="17"/>
  <c r="E45" i="17"/>
  <c r="N45" i="17"/>
  <c r="D64" i="17"/>
  <c r="CV59" i="17"/>
  <c r="CV56" i="17"/>
  <c r="L64" i="17"/>
  <c r="CW46" i="17"/>
  <c r="CW20" i="17"/>
  <c r="CW49" i="17"/>
  <c r="CV83" i="17"/>
  <c r="C4" i="18"/>
  <c r="P12" i="14"/>
  <c r="M46" i="14"/>
  <c r="F30" i="14"/>
  <c r="H59" i="14"/>
  <c r="M59" i="14"/>
  <c r="O30" i="14"/>
  <c r="K64" i="14"/>
  <c r="E59" i="14"/>
  <c r="L30" i="14"/>
  <c r="H64" i="14"/>
  <c r="H41" i="17"/>
  <c r="H205" i="17"/>
  <c r="F205" i="17"/>
  <c r="F41" i="17"/>
  <c r="C201" i="6"/>
  <c r="C203" i="6"/>
  <c r="B64" i="6"/>
  <c r="B58" i="6"/>
  <c r="M40" i="6"/>
  <c r="P31" i="6"/>
  <c r="P36" i="6" s="1"/>
  <c r="K31" i="6"/>
  <c r="K36" i="6" s="1"/>
  <c r="F5" i="6"/>
  <c r="S5" i="6"/>
  <c r="B62" i="6"/>
  <c r="C27" i="6"/>
  <c r="B42" i="6"/>
  <c r="L31" i="6"/>
  <c r="L36" i="6" s="1"/>
  <c r="B32" i="6"/>
  <c r="B37" i="6" s="1"/>
  <c r="N31" i="6"/>
  <c r="N36" i="6" s="1"/>
  <c r="B55" i="6"/>
  <c r="C5" i="6"/>
  <c r="B70" i="6" s="1"/>
  <c r="B96" i="6" s="1"/>
  <c r="B122" i="6" s="1"/>
  <c r="B148" i="6" s="1"/>
  <c r="B174" i="6" s="1"/>
  <c r="CW81" i="17"/>
  <c r="C81" i="17" s="1"/>
  <c r="CW29" i="17"/>
  <c r="H80" i="17"/>
  <c r="CV95" i="17"/>
  <c r="CV90" i="17"/>
  <c r="CV14" i="17"/>
  <c r="K64" i="17"/>
  <c r="CW90" i="17"/>
  <c r="CW23" i="17"/>
  <c r="CW84" i="17"/>
  <c r="CW12" i="17"/>
  <c r="C4" i="6"/>
  <c r="N12" i="14"/>
  <c r="P20" i="14"/>
  <c r="L46" i="14"/>
  <c r="I80" i="14"/>
  <c r="K20" i="14"/>
  <c r="G54" i="14"/>
  <c r="H98" i="14"/>
  <c r="N20" i="14"/>
  <c r="F46" i="14"/>
  <c r="L41" i="17"/>
  <c r="L201" i="17"/>
  <c r="W72" i="14"/>
  <c r="W4" i="14"/>
  <c r="W38" i="14" s="1"/>
  <c r="L5" i="14"/>
  <c r="K5" i="14"/>
  <c r="N5" i="14"/>
  <c r="N39" i="14" s="1"/>
  <c r="AG38" i="14" s="1"/>
  <c r="F25" i="14"/>
  <c r="G88" i="14"/>
  <c r="N59" i="14"/>
  <c r="J46" i="14"/>
  <c r="J25" i="14"/>
  <c r="M64" i="14"/>
  <c r="M66" i="14" s="1"/>
  <c r="L60" i="17" s="1"/>
  <c r="M30" i="14"/>
  <c r="G93" i="14"/>
  <c r="K59" i="14"/>
  <c r="G46" i="14"/>
  <c r="G30" i="14"/>
  <c r="H88" i="14"/>
  <c r="I25" i="14"/>
  <c r="N64" i="14"/>
  <c r="N67" i="14" s="1"/>
  <c r="M59" i="17" s="1"/>
  <c r="N54" i="14"/>
  <c r="P46" i="14"/>
  <c r="L25" i="14"/>
  <c r="I59" i="14"/>
  <c r="M20" i="14"/>
  <c r="K12" i="14"/>
  <c r="E12" i="14"/>
  <c r="G25" i="14"/>
  <c r="L64" i="14"/>
  <c r="P54" i="14"/>
  <c r="N46" i="14"/>
  <c r="F20" i="14"/>
  <c r="E64" i="14"/>
  <c r="E30" i="14"/>
  <c r="O64" i="14"/>
  <c r="O59" i="14"/>
  <c r="K46" i="14"/>
  <c r="O25" i="14"/>
  <c r="I64" i="14"/>
  <c r="I20" i="14"/>
  <c r="F64" i="14"/>
  <c r="J54" i="14"/>
  <c r="N30" i="14"/>
  <c r="H20" i="14"/>
  <c r="M54" i="14"/>
  <c r="D2" i="14"/>
  <c r="L12" i="14"/>
  <c r="G12" i="14"/>
  <c r="D4" i="4"/>
  <c r="F64" i="17"/>
  <c r="CV92" i="17"/>
  <c r="N64" i="17"/>
  <c r="I64" i="17"/>
  <c r="CV15" i="17"/>
  <c r="CW93" i="17"/>
  <c r="C93" i="17" s="1"/>
  <c r="CW56" i="17"/>
  <c r="CW91" i="17"/>
  <c r="C91" i="17" s="1"/>
  <c r="I201" i="17"/>
  <c r="O12" i="14"/>
  <c r="J12" i="14"/>
  <c r="L20" i="14"/>
  <c r="F54" i="14"/>
  <c r="I88" i="14"/>
  <c r="I101" i="14" s="1"/>
  <c r="G20" i="14"/>
  <c r="O54" i="14"/>
  <c r="E20" i="14"/>
  <c r="J20" i="14"/>
  <c r="L54" i="14"/>
  <c r="L67" i="14" s="1"/>
  <c r="K59" i="17" s="1"/>
  <c r="I98" i="14"/>
  <c r="M201" i="17"/>
  <c r="M41" i="17"/>
  <c r="B59" i="6"/>
  <c r="CW49" i="18"/>
  <c r="CV49" i="18"/>
  <c r="CV58" i="18" s="1"/>
  <c r="B23" i="12"/>
  <c r="B8" i="12"/>
  <c r="B20" i="12"/>
  <c r="B11" i="12"/>
  <c r="B15" i="12"/>
  <c r="B9" i="12"/>
  <c r="B13" i="12"/>
  <c r="B22" i="12"/>
  <c r="C41" i="17"/>
  <c r="G3" i="17"/>
  <c r="S7" i="17"/>
  <c r="J7" i="17"/>
  <c r="C16" i="17"/>
  <c r="P16" i="17" s="1"/>
  <c r="D85" i="17" s="1"/>
  <c r="K7" i="17"/>
  <c r="C35" i="17"/>
  <c r="C33" i="17"/>
  <c r="C67" i="17"/>
  <c r="C103" i="17"/>
  <c r="C77" i="17"/>
  <c r="C28" i="17"/>
  <c r="C47" i="17"/>
  <c r="P47" i="17" s="1"/>
  <c r="E82" i="17" s="1"/>
  <c r="C66" i="17"/>
  <c r="C85" i="17"/>
  <c r="O5" i="2"/>
  <c r="B2" i="14"/>
  <c r="V19" i="14" s="1"/>
  <c r="L17" i="13"/>
  <c r="V10" i="13"/>
  <c r="C2" i="18"/>
  <c r="C2" i="16"/>
  <c r="C21" i="16" s="1"/>
  <c r="P133" i="16" s="1"/>
  <c r="S31" i="27"/>
  <c r="A22" i="13"/>
  <c r="A13" i="13"/>
  <c r="L13" i="13"/>
  <c r="G2" i="13"/>
  <c r="L16" i="13"/>
  <c r="V3" i="13"/>
  <c r="C2" i="13"/>
  <c r="CV30" i="17" s="1"/>
  <c r="A19" i="13"/>
  <c r="C3" i="13"/>
  <c r="V2" i="13"/>
  <c r="C8" i="17"/>
  <c r="D7" i="17"/>
  <c r="N7" i="17"/>
  <c r="C18" i="17"/>
  <c r="E3" i="17"/>
  <c r="O7" i="17"/>
  <c r="C68" i="17"/>
  <c r="C37" i="17"/>
  <c r="C71" i="17"/>
  <c r="B108" i="17"/>
  <c r="C88" i="17"/>
  <c r="C32" i="17"/>
  <c r="C50" i="17"/>
  <c r="P50" i="17" s="1"/>
  <c r="E85" i="17" s="1"/>
  <c r="C70" i="17"/>
  <c r="L5" i="2"/>
  <c r="C35" i="2"/>
  <c r="C80" i="2" s="1"/>
  <c r="O15" i="13"/>
  <c r="V9" i="13"/>
  <c r="E31" i="27"/>
  <c r="E4" i="27"/>
  <c r="O17" i="13"/>
  <c r="V8" i="13"/>
  <c r="C39" i="2"/>
  <c r="C84" i="2" s="1"/>
  <c r="A11" i="13"/>
  <c r="C44" i="2"/>
  <c r="C89" i="2" s="1"/>
  <c r="H13" i="13"/>
  <c r="G1" i="13"/>
  <c r="H22" i="13"/>
  <c r="V12" i="13"/>
  <c r="C1" i="13"/>
  <c r="CW48" i="18" s="1"/>
  <c r="H15" i="13"/>
  <c r="F66" i="14"/>
  <c r="E60" i="17" s="1"/>
  <c r="D70" i="6"/>
  <c r="C200" i="6"/>
  <c r="G45" i="17"/>
  <c r="M45" i="17"/>
  <c r="L11" i="17"/>
  <c r="F11" i="17"/>
  <c r="N11" i="17"/>
  <c r="J45" i="17"/>
  <c r="O45" i="17"/>
  <c r="K11" i="17"/>
  <c r="CV25" i="17"/>
  <c r="CV22" i="17"/>
  <c r="M30" i="17"/>
  <c r="CV93" i="17"/>
  <c r="H64" i="17"/>
  <c r="N30" i="17"/>
  <c r="E64" i="17"/>
  <c r="CV54" i="17"/>
  <c r="CV12" i="17"/>
  <c r="CW21" i="17"/>
  <c r="CW55" i="17" s="1"/>
  <c r="C55" i="17" s="1"/>
  <c r="CW48" i="17"/>
  <c r="CW14" i="17"/>
  <c r="C14" i="17" s="1"/>
  <c r="CW94" i="17"/>
  <c r="CW92" i="17"/>
  <c r="C92" i="17" s="1"/>
  <c r="CW22" i="17"/>
  <c r="CV98" i="17"/>
  <c r="F201" i="17"/>
  <c r="L205" i="17"/>
  <c r="J41" i="17"/>
  <c r="CV59" i="18"/>
  <c r="C19" i="14"/>
  <c r="D5" i="14"/>
  <c r="B12" i="12"/>
  <c r="B6" i="12"/>
  <c r="B35" i="12"/>
  <c r="B19" i="12"/>
  <c r="B29" i="12"/>
  <c r="B26" i="12"/>
  <c r="B21" i="12"/>
  <c r="B5" i="12"/>
  <c r="E5" i="14"/>
  <c r="M5" i="14"/>
  <c r="M39" i="14" s="1"/>
  <c r="AF38" i="14" s="1"/>
  <c r="G5" i="14"/>
  <c r="CD46" i="4"/>
  <c r="F80" i="17"/>
  <c r="M11" i="17"/>
  <c r="J11" i="17"/>
  <c r="I45" i="17"/>
  <c r="CV60" i="17"/>
  <c r="C60" i="17" s="1"/>
  <c r="CV49" i="17"/>
  <c r="C49" i="17" s="1"/>
  <c r="F99" i="17"/>
  <c r="CV20" i="17"/>
  <c r="G64" i="17"/>
  <c r="M64" i="17"/>
  <c r="H99" i="17"/>
  <c r="CV21" i="17"/>
  <c r="C21" i="17" s="1"/>
  <c r="CV32" i="14"/>
  <c r="CV89" i="17"/>
  <c r="CW83" i="17"/>
  <c r="C83" i="17" s="1"/>
  <c r="CW24" i="17"/>
  <c r="CW15" i="17"/>
  <c r="C15" i="17" s="1"/>
  <c r="CW25" i="17"/>
  <c r="G201" i="17"/>
  <c r="CV60" i="18"/>
  <c r="C35" i="14"/>
  <c r="O5" i="14"/>
  <c r="B27" i="12"/>
  <c r="B17" i="12"/>
  <c r="B18" i="12"/>
  <c r="B7" i="12"/>
  <c r="B14" i="12"/>
  <c r="B25" i="12"/>
  <c r="F5" i="14"/>
  <c r="J5" i="14"/>
  <c r="C5" i="14"/>
  <c r="S5" i="14"/>
  <c r="C15" i="2"/>
  <c r="C60" i="2" s="1"/>
  <c r="BZ46" i="4"/>
  <c r="C40" i="4"/>
  <c r="C188" i="4" s="1"/>
  <c r="Q163" i="4"/>
  <c r="Q81" i="4"/>
  <c r="Q155" i="4"/>
  <c r="Q89" i="4"/>
  <c r="CA62" i="4"/>
  <c r="BW41" i="4"/>
  <c r="BW46" i="4" s="1"/>
  <c r="BZ10" i="4"/>
  <c r="BX62" i="4"/>
  <c r="CB41" i="4"/>
  <c r="CB46" i="4" s="1"/>
  <c r="B423" i="4"/>
  <c r="BI31" i="4"/>
  <c r="BU200" i="4"/>
  <c r="CE49" i="4"/>
  <c r="B385" i="4"/>
  <c r="CC37" i="4"/>
  <c r="CE96" i="4"/>
  <c r="BU206" i="4"/>
  <c r="BH139" i="4"/>
  <c r="B320" i="4"/>
  <c r="BU212" i="4"/>
  <c r="BG139" i="4"/>
  <c r="BJ105" i="4"/>
  <c r="BU204" i="4"/>
  <c r="BM139" i="4"/>
  <c r="BY84" i="4"/>
  <c r="BF31" i="4"/>
  <c r="CC51" i="4"/>
  <c r="BU35" i="4"/>
  <c r="BV212" i="4"/>
  <c r="BV206" i="4"/>
  <c r="BV204" i="4"/>
  <c r="BV200" i="4"/>
  <c r="BK139" i="4"/>
  <c r="BL139" i="4"/>
  <c r="BF139" i="4"/>
  <c r="CA84" i="4"/>
  <c r="B323" i="4"/>
  <c r="BW212" i="4"/>
  <c r="BW206" i="4"/>
  <c r="BW204" i="4"/>
  <c r="BW200" i="4"/>
  <c r="BC139" i="4"/>
  <c r="BE139" i="4"/>
  <c r="BJ139" i="4"/>
  <c r="BK105" i="4"/>
  <c r="BU84" i="4"/>
  <c r="BT84" i="4"/>
  <c r="BD139" i="4"/>
  <c r="BI139" i="4"/>
  <c r="BV84" i="4"/>
  <c r="BK22" i="4"/>
  <c r="Q15" i="4"/>
  <c r="BD18" i="4"/>
  <c r="BX8" i="4"/>
  <c r="CE10" i="4"/>
  <c r="B403" i="4"/>
  <c r="BG31" i="4"/>
  <c r="BL18" i="4"/>
  <c r="BT41" i="4"/>
  <c r="BT46" i="4" s="1"/>
  <c r="BY19" i="4"/>
  <c r="BV105" i="4"/>
  <c r="CC35" i="4"/>
  <c r="B57" i="4"/>
  <c r="A356" i="4" s="1"/>
  <c r="A425" i="4" s="1"/>
  <c r="CE139" i="4"/>
  <c r="B84" i="4"/>
  <c r="BM15" i="4"/>
  <c r="BV37" i="4"/>
  <c r="BU17" i="4"/>
  <c r="B135" i="4"/>
  <c r="BG12" i="4"/>
  <c r="BI15" i="4"/>
  <c r="BU126" i="4"/>
  <c r="B52" i="4"/>
  <c r="A282" i="4" s="1"/>
  <c r="B45" i="4"/>
  <c r="A275" i="4" s="1"/>
  <c r="BY53" i="4"/>
  <c r="CB63" i="4"/>
  <c r="BW170" i="4"/>
  <c r="BZ49" i="4"/>
  <c r="BY35" i="4"/>
  <c r="BT15" i="4"/>
  <c r="BW103" i="4"/>
  <c r="BT91" i="4"/>
  <c r="A184" i="4"/>
  <c r="BU184" i="4" s="1"/>
  <c r="BH100" i="4"/>
  <c r="CA126" i="4"/>
  <c r="CB48" i="4"/>
  <c r="CC17" i="4"/>
  <c r="B37" i="4"/>
  <c r="A336" i="4" s="1"/>
  <c r="A405" i="4" s="1"/>
  <c r="BR207" i="4"/>
  <c r="B61" i="4"/>
  <c r="A291" i="4" s="1"/>
  <c r="B139" i="4"/>
  <c r="BY18" i="4"/>
  <c r="BY105" i="4"/>
  <c r="CD105" i="4"/>
  <c r="BK17" i="4"/>
  <c r="BG10" i="4"/>
  <c r="BC84" i="4"/>
  <c r="BC10" i="4"/>
  <c r="BM26" i="4"/>
  <c r="BM27" i="4" s="1"/>
  <c r="B44" i="4"/>
  <c r="B192" i="4" s="1"/>
  <c r="B56" i="4"/>
  <c r="B204" i="4" s="1"/>
  <c r="CZ78" i="4"/>
  <c r="B38" i="4"/>
  <c r="A337" i="4" s="1"/>
  <c r="A406" i="4" s="1"/>
  <c r="CU234" i="4"/>
  <c r="CC18" i="4"/>
  <c r="BZ18" i="4"/>
  <c r="BF206" i="4"/>
  <c r="BW63" i="4"/>
  <c r="BC15" i="4"/>
  <c r="BG103" i="4"/>
  <c r="BG15" i="4"/>
  <c r="BI29" i="4"/>
  <c r="A122" i="4"/>
  <c r="BT132" i="4"/>
  <c r="B10" i="4"/>
  <c r="A309" i="4" s="1"/>
  <c r="A378" i="4" s="1"/>
  <c r="B12" i="4"/>
  <c r="A242" i="4" s="1"/>
  <c r="B64" i="4"/>
  <c r="A363" i="4" s="1"/>
  <c r="A432" i="4" s="1"/>
  <c r="B58" i="4"/>
  <c r="A288" i="4" s="1"/>
  <c r="B48" i="4"/>
  <c r="A347" i="4" s="1"/>
  <c r="A416" i="4" s="1"/>
  <c r="BU65" i="4"/>
  <c r="BU53" i="4"/>
  <c r="CD18" i="4"/>
  <c r="BE84" i="4"/>
  <c r="CA63" i="4"/>
  <c r="BT63" i="4"/>
  <c r="BI8" i="4"/>
  <c r="BM138" i="4"/>
  <c r="BJ29" i="4"/>
  <c r="A124" i="4"/>
  <c r="CC132" i="4"/>
  <c r="BN18" i="4"/>
  <c r="BU51" i="4"/>
  <c r="BU49" i="4"/>
  <c r="BY37" i="4"/>
  <c r="CE35" i="4"/>
  <c r="CE39" i="4" s="1"/>
  <c r="CB15" i="4"/>
  <c r="B50" i="4"/>
  <c r="A280" i="4" s="1"/>
  <c r="B16" i="4"/>
  <c r="A315" i="4" s="1"/>
  <c r="BG185" i="4"/>
  <c r="DB104" i="4"/>
  <c r="B402" i="4"/>
  <c r="DB84" i="4"/>
  <c r="DB100" i="4"/>
  <c r="DB127" i="4"/>
  <c r="B36" i="4"/>
  <c r="A266" i="4" s="1"/>
  <c r="B65" i="4"/>
  <c r="A364" i="4" s="1"/>
  <c r="A433" i="4" s="1"/>
  <c r="B103" i="4"/>
  <c r="B118" i="4"/>
  <c r="B32" i="4"/>
  <c r="B180" i="4" s="1"/>
  <c r="B53" i="4"/>
  <c r="B201" i="4" s="1"/>
  <c r="CZ4" i="4"/>
  <c r="B115" i="4"/>
  <c r="B126" i="4"/>
  <c r="B117" i="4"/>
  <c r="CU236" i="4"/>
  <c r="B63" i="4"/>
  <c r="A362" i="4" s="1"/>
  <c r="A431" i="4" s="1"/>
  <c r="BY139" i="4"/>
  <c r="CC139" i="4"/>
  <c r="BE185" i="4"/>
  <c r="BE206" i="4"/>
  <c r="BZ53" i="4"/>
  <c r="BF165" i="4"/>
  <c r="BK93" i="4"/>
  <c r="CA18" i="4"/>
  <c r="BW105" i="4"/>
  <c r="BF84" i="4"/>
  <c r="BX18" i="4"/>
  <c r="CB105" i="4"/>
  <c r="BK58" i="4"/>
  <c r="BC48" i="4"/>
  <c r="BK42" i="4"/>
  <c r="BK48" i="4"/>
  <c r="BI52" i="4"/>
  <c r="B364" i="4"/>
  <c r="BD31" i="4"/>
  <c r="BN31" i="4"/>
  <c r="BI18" i="4"/>
  <c r="BV29" i="4"/>
  <c r="BZ8" i="4"/>
  <c r="CE19" i="4"/>
  <c r="B132" i="4"/>
  <c r="B82" i="4"/>
  <c r="B8" i="4"/>
  <c r="A307" i="4" s="1"/>
  <c r="A376" i="4" s="1"/>
  <c r="B26" i="4"/>
  <c r="A256" i="4" s="1"/>
  <c r="B19" i="4"/>
  <c r="A249" i="4" s="1"/>
  <c r="B21" i="4"/>
  <c r="A251" i="4" s="1"/>
  <c r="B29" i="4"/>
  <c r="B177" i="4" s="1"/>
  <c r="B42" i="4"/>
  <c r="CY78" i="4"/>
  <c r="BE174" i="4"/>
  <c r="BE212" i="4"/>
  <c r="BL89" i="4"/>
  <c r="BD84" i="4"/>
  <c r="BZ63" i="4"/>
  <c r="BF185" i="4"/>
  <c r="BH95" i="4"/>
  <c r="BW31" i="4"/>
  <c r="CE105" i="4"/>
  <c r="BN84" i="4"/>
  <c r="BX31" i="4"/>
  <c r="BT139" i="4"/>
  <c r="BI103" i="4"/>
  <c r="BG52" i="4"/>
  <c r="BG51" i="4"/>
  <c r="B266" i="4"/>
  <c r="A90" i="4"/>
  <c r="BZ90" i="4" s="1"/>
  <c r="B280" i="4"/>
  <c r="B349" i="4" s="1"/>
  <c r="B340" i="4"/>
  <c r="B359" i="4"/>
  <c r="B412" i="4"/>
  <c r="DB94" i="4"/>
  <c r="BL31" i="4"/>
  <c r="BC18" i="4"/>
  <c r="BF18" i="4"/>
  <c r="BY29" i="4"/>
  <c r="CE8" i="4"/>
  <c r="BX10" i="4"/>
  <c r="BZ15" i="4"/>
  <c r="M29" i="17"/>
  <c r="D29" i="17"/>
  <c r="F29" i="17"/>
  <c r="L28" i="17"/>
  <c r="E28" i="17"/>
  <c r="G28" i="17"/>
  <c r="E29" i="17"/>
  <c r="G29" i="17"/>
  <c r="J29" i="17"/>
  <c r="F28" i="17"/>
  <c r="I28" i="17"/>
  <c r="O28" i="17"/>
  <c r="D28" i="17"/>
  <c r="L29" i="17"/>
  <c r="H28" i="17"/>
  <c r="J28" i="17"/>
  <c r="K29" i="17"/>
  <c r="N28" i="17"/>
  <c r="I29" i="17"/>
  <c r="O29" i="17"/>
  <c r="K28" i="17"/>
  <c r="I30" i="17"/>
  <c r="K30" i="17"/>
  <c r="H29" i="17"/>
  <c r="F30" i="17"/>
  <c r="N29" i="17"/>
  <c r="O30" i="17"/>
  <c r="L30" i="17"/>
  <c r="BF26" i="4"/>
  <c r="BF27" i="4" s="1"/>
  <c r="BH21" i="4"/>
  <c r="BM62" i="4"/>
  <c r="BJ8" i="4"/>
  <c r="BG38" i="4"/>
  <c r="BE8" i="4"/>
  <c r="BJ96" i="4"/>
  <c r="BC32" i="4"/>
  <c r="BC132" i="4"/>
  <c r="BK57" i="4"/>
  <c r="BL16" i="4"/>
  <c r="BM117" i="4"/>
  <c r="BC42" i="4"/>
  <c r="BK84" i="4"/>
  <c r="BX139" i="4"/>
  <c r="BX65" i="4"/>
  <c r="CB53" i="4"/>
  <c r="BT31" i="4"/>
  <c r="BK38" i="4"/>
  <c r="BL93" i="4"/>
  <c r="BG206" i="4"/>
  <c r="BG163" i="4"/>
  <c r="CA127" i="4"/>
  <c r="CA65" i="4"/>
  <c r="CA53" i="4"/>
  <c r="CE18" i="4"/>
  <c r="BG37" i="4"/>
  <c r="BK117" i="4"/>
  <c r="BE82" i="4"/>
  <c r="BF186" i="4"/>
  <c r="BZ139" i="4"/>
  <c r="CD65" i="4"/>
  <c r="BV63" i="4"/>
  <c r="BV31" i="4"/>
  <c r="BK51" i="4"/>
  <c r="BE199" i="4"/>
  <c r="CC63" i="4"/>
  <c r="BC126" i="4"/>
  <c r="CC65" i="4"/>
  <c r="BC36" i="4"/>
  <c r="BE204" i="4"/>
  <c r="CC31" i="4"/>
  <c r="BH84" i="4"/>
  <c r="CC105" i="4"/>
  <c r="CC53" i="4"/>
  <c r="B31" i="4"/>
  <c r="A330" i="4" s="1"/>
  <c r="CY4" i="4"/>
  <c r="B91" i="4"/>
  <c r="B49" i="4"/>
  <c r="A279" i="4" s="1"/>
  <c r="B43" i="4"/>
  <c r="A342" i="4" s="1"/>
  <c r="A411" i="4" s="1"/>
  <c r="B25" i="4"/>
  <c r="B173" i="4" s="1"/>
  <c r="B51" i="4"/>
  <c r="B15" i="4"/>
  <c r="A314" i="4" s="1"/>
  <c r="B22" i="4"/>
  <c r="B170" i="4" s="1"/>
  <c r="B105" i="4"/>
  <c r="CV234" i="4"/>
  <c r="B62" i="4"/>
  <c r="A292" i="4" s="1"/>
  <c r="B41" i="4"/>
  <c r="A271" i="4" s="1"/>
  <c r="CV236" i="4"/>
  <c r="B17" i="4"/>
  <c r="A247" i="4" s="1"/>
  <c r="C126" i="18"/>
  <c r="C125" i="18"/>
  <c r="I6" i="18"/>
  <c r="I18" i="18" s="1"/>
  <c r="C55" i="18"/>
  <c r="K6" i="18"/>
  <c r="K18" i="18" s="1"/>
  <c r="C13" i="18"/>
  <c r="C121" i="18"/>
  <c r="C59" i="18"/>
  <c r="N39" i="18"/>
  <c r="E6" i="18"/>
  <c r="E18" i="18" s="1"/>
  <c r="O6" i="18"/>
  <c r="O18" i="18" s="1"/>
  <c r="C65" i="18"/>
  <c r="L6" i="18"/>
  <c r="L18" i="18" s="1"/>
  <c r="N6" i="18"/>
  <c r="N18" i="18" s="1"/>
  <c r="C61" i="18"/>
  <c r="C120" i="18"/>
  <c r="H6" i="18"/>
  <c r="H18" i="18" s="1"/>
  <c r="S6" i="18"/>
  <c r="J6" i="18"/>
  <c r="J18" i="18" s="1"/>
  <c r="C47" i="18"/>
  <c r="C64" i="18"/>
  <c r="G6" i="18"/>
  <c r="G18" i="18" s="1"/>
  <c r="L36" i="16"/>
  <c r="L44" i="16" s="1"/>
  <c r="C29" i="16"/>
  <c r="N36" i="16"/>
  <c r="N44" i="16" s="1"/>
  <c r="C25" i="16"/>
  <c r="AC133" i="16" s="1"/>
  <c r="B5" i="16"/>
  <c r="C14" i="16"/>
  <c r="G133" i="16" s="1"/>
  <c r="I36" i="16"/>
  <c r="I44" i="16" s="1"/>
  <c r="H36" i="16"/>
  <c r="H44" i="16" s="1"/>
  <c r="E36" i="16"/>
  <c r="E44" i="16" s="1"/>
  <c r="B105" i="2"/>
  <c r="M48" i="2"/>
  <c r="C23" i="2"/>
  <c r="C68" i="2" s="1"/>
  <c r="C97" i="2"/>
  <c r="C22" i="2"/>
  <c r="C67" i="2" s="1"/>
  <c r="C5" i="2"/>
  <c r="C50" i="2" s="1"/>
  <c r="C33" i="2"/>
  <c r="C78" i="2" s="1"/>
  <c r="C27" i="2"/>
  <c r="C72" i="2" s="1"/>
  <c r="C17" i="2"/>
  <c r="C62" i="2" s="1"/>
  <c r="C42" i="2"/>
  <c r="C87" i="2" s="1"/>
  <c r="C29" i="2"/>
  <c r="C74" i="2" s="1"/>
  <c r="C16" i="2"/>
  <c r="C61" i="2" s="1"/>
  <c r="C10" i="2"/>
  <c r="C55" i="2" s="1"/>
  <c r="C6" i="2"/>
  <c r="C51" i="2" s="1"/>
  <c r="C31" i="2"/>
  <c r="C76" i="2" s="1"/>
  <c r="C41" i="2"/>
  <c r="C86" i="2" s="1"/>
  <c r="B107" i="2"/>
  <c r="B113" i="2"/>
  <c r="C104" i="2"/>
  <c r="C30" i="2"/>
  <c r="C75" i="2" s="1"/>
  <c r="H5" i="2"/>
  <c r="E5" i="2"/>
  <c r="K5" i="2"/>
  <c r="J5" i="2"/>
  <c r="C40" i="2"/>
  <c r="C85" i="2" s="1"/>
  <c r="G5" i="2"/>
  <c r="C26" i="2"/>
  <c r="C71" i="2" s="1"/>
  <c r="C45" i="2"/>
  <c r="C90" i="2" s="1"/>
  <c r="B110" i="2"/>
  <c r="C9" i="2"/>
  <c r="C54" i="2" s="1"/>
  <c r="F5" i="2"/>
  <c r="C11" i="2"/>
  <c r="C56" i="2" s="1"/>
  <c r="C12" i="2"/>
  <c r="C57" i="2" s="1"/>
  <c r="N5" i="2"/>
  <c r="C8" i="2"/>
  <c r="C53" i="2" s="1"/>
  <c r="C28" i="2"/>
  <c r="C73" i="2" s="1"/>
  <c r="D5" i="2"/>
  <c r="C34" i="2"/>
  <c r="C79" i="2" s="1"/>
  <c r="C111" i="2"/>
  <c r="C21" i="2"/>
  <c r="C66" i="2" s="1"/>
  <c r="C36" i="2"/>
  <c r="C81" i="2" s="1"/>
  <c r="DO77" i="4" s="1"/>
  <c r="C13" i="2"/>
  <c r="C58" i="2" s="1"/>
  <c r="C112" i="2"/>
  <c r="C25" i="2"/>
  <c r="C70" i="2" s="1"/>
  <c r="B106" i="2"/>
  <c r="B114" i="2"/>
  <c r="C38" i="2"/>
  <c r="C83" i="2" s="1"/>
  <c r="C32" i="2"/>
  <c r="C77" i="2" s="1"/>
  <c r="C37" i="2"/>
  <c r="C82" i="2" s="1"/>
  <c r="C7" i="2"/>
  <c r="C52" i="2" s="1"/>
  <c r="BU18" i="4"/>
  <c r="BE200" i="4"/>
  <c r="BU63" i="4"/>
  <c r="BU66" i="4" s="1"/>
  <c r="BL84" i="4"/>
  <c r="BY63" i="4"/>
  <c r="BG43" i="4"/>
  <c r="CC127" i="4"/>
  <c r="BI16" i="4"/>
  <c r="CD31" i="4"/>
  <c r="CD63" i="4"/>
  <c r="BV139" i="4"/>
  <c r="BF200" i="4"/>
  <c r="BM84" i="4"/>
  <c r="BK109" i="4"/>
  <c r="BK45" i="4"/>
  <c r="CE31" i="4"/>
  <c r="CE63" i="4"/>
  <c r="BW139" i="4"/>
  <c r="BG200" i="4"/>
  <c r="BG57" i="4"/>
  <c r="CB31" i="4"/>
  <c r="BT65" i="4"/>
  <c r="CB139" i="4"/>
  <c r="BG8" i="4"/>
  <c r="BH103" i="4"/>
  <c r="BC35" i="4"/>
  <c r="BI109" i="4"/>
  <c r="BD16" i="4"/>
  <c r="BF109" i="4"/>
  <c r="BC21" i="4"/>
  <c r="BN132" i="4"/>
  <c r="BL138" i="4"/>
  <c r="BL48" i="4"/>
  <c r="BF56" i="4"/>
  <c r="B108" i="2"/>
  <c r="BA207" i="4"/>
  <c r="B35" i="4"/>
  <c r="B183" i="4" s="1"/>
  <c r="B18" i="4"/>
  <c r="A248" i="4" s="1"/>
  <c r="BY31" i="4"/>
  <c r="BD89" i="4"/>
  <c r="BY65" i="4"/>
  <c r="BU105" i="4"/>
  <c r="BU31" i="4"/>
  <c r="BU139" i="4"/>
  <c r="BV18" i="4"/>
  <c r="BV53" i="4"/>
  <c r="BZ65" i="4"/>
  <c r="CD139" i="4"/>
  <c r="BF204" i="4"/>
  <c r="BI89" i="4"/>
  <c r="BG132" i="4"/>
  <c r="BC56" i="4"/>
  <c r="BW53" i="4"/>
  <c r="CE65" i="4"/>
  <c r="CA139" i="4"/>
  <c r="BG204" i="4"/>
  <c r="BK96" i="4"/>
  <c r="BT18" i="4"/>
  <c r="BX53" i="4"/>
  <c r="BT105" i="4"/>
  <c r="BD158" i="4"/>
  <c r="BG21" i="4"/>
  <c r="BE126" i="4"/>
  <c r="BG42" i="4"/>
  <c r="BG131" i="4"/>
  <c r="BG41" i="4"/>
  <c r="BM130" i="4"/>
  <c r="BG22" i="4"/>
  <c r="BM16" i="4"/>
  <c r="BM22" i="4"/>
  <c r="BH51" i="4"/>
  <c r="CV63" i="17"/>
  <c r="CW57" i="17"/>
  <c r="CV84" i="17"/>
  <c r="CW95" i="17"/>
  <c r="C95" i="17" s="1"/>
  <c r="CW26" i="17"/>
  <c r="CW59" i="17"/>
  <c r="CW89" i="17"/>
  <c r="CW58" i="17"/>
  <c r="CV23" i="17"/>
  <c r="C23" i="17" s="1"/>
  <c r="CV24" i="17"/>
  <c r="C24" i="17" s="1"/>
  <c r="J30" i="17"/>
  <c r="H30" i="17"/>
  <c r="G30" i="17"/>
  <c r="E30" i="17"/>
  <c r="CV57" i="17"/>
  <c r="C57" i="17" s="1"/>
  <c r="CV26" i="17"/>
  <c r="C26" i="17" s="1"/>
  <c r="G99" i="17"/>
  <c r="CV58" i="17"/>
  <c r="CV48" i="17"/>
  <c r="C48" i="17" s="1"/>
  <c r="CV94" i="17"/>
  <c r="C94" i="17" s="1"/>
  <c r="CV46" i="17"/>
  <c r="C46" i="17" s="1"/>
  <c r="D11" i="17"/>
  <c r="G11" i="17"/>
  <c r="H11" i="17"/>
  <c r="L45" i="17"/>
  <c r="I11" i="17"/>
  <c r="D6" i="18"/>
  <c r="D18" i="18" s="1"/>
  <c r="F6" i="18"/>
  <c r="F18" i="18" s="1"/>
  <c r="AF4" i="14"/>
  <c r="P64" i="14"/>
  <c r="J59" i="14"/>
  <c r="H54" i="14"/>
  <c r="P30" i="14"/>
  <c r="N25" i="14"/>
  <c r="H93" i="14"/>
  <c r="I54" i="14"/>
  <c r="I67" i="14" s="1"/>
  <c r="H59" i="17" s="1"/>
  <c r="E25" i="14"/>
  <c r="H80" i="14"/>
  <c r="G59" i="14"/>
  <c r="K54" i="14"/>
  <c r="O46" i="14"/>
  <c r="K25" i="14"/>
  <c r="O20" i="14"/>
  <c r="E54" i="14"/>
  <c r="G98" i="14"/>
  <c r="J64" i="14"/>
  <c r="P59" i="14"/>
  <c r="H46" i="14"/>
  <c r="J30" i="14"/>
  <c r="P25" i="14"/>
  <c r="G80" i="14"/>
  <c r="I30" i="14"/>
  <c r="F12" i="14"/>
  <c r="H12" i="14"/>
  <c r="M12" i="14"/>
  <c r="C6" i="17"/>
  <c r="F89" i="17" s="1"/>
  <c r="F55" i="17"/>
  <c r="F49" i="17" s="1"/>
  <c r="J1" i="13"/>
  <c r="N151" i="4" s="1"/>
  <c r="K1" i="13"/>
  <c r="K2" i="13" s="1"/>
  <c r="E1" i="13"/>
  <c r="BG174" i="4"/>
  <c r="BE186" i="4"/>
  <c r="BF163" i="4"/>
  <c r="BU92" i="4"/>
  <c r="BD189" i="4"/>
  <c r="BI116" i="4"/>
  <c r="C13" i="14"/>
  <c r="D8" i="14"/>
  <c r="M21" i="17"/>
  <c r="M15" i="17" s="1"/>
  <c r="G21" i="17"/>
  <c r="G15" i="17" s="1"/>
  <c r="E21" i="17"/>
  <c r="E15" i="17" s="1"/>
  <c r="L55" i="17"/>
  <c r="L49" i="17" s="1"/>
  <c r="H55" i="17"/>
  <c r="H49" i="17" s="1"/>
  <c r="G55" i="17"/>
  <c r="G49" i="17" s="1"/>
  <c r="C26" i="14"/>
  <c r="N21" i="17"/>
  <c r="N15" i="17" s="1"/>
  <c r="I21" i="17"/>
  <c r="I15" i="17" s="1"/>
  <c r="D21" i="17"/>
  <c r="D15" i="17" s="1"/>
  <c r="K21" i="17"/>
  <c r="K15" i="17" s="1"/>
  <c r="I55" i="17"/>
  <c r="I49" i="17" s="1"/>
  <c r="M55" i="17"/>
  <c r="M49" i="17" s="1"/>
  <c r="D55" i="17"/>
  <c r="D49" i="17" s="1"/>
  <c r="C74" i="4"/>
  <c r="Q7" i="4"/>
  <c r="O21" i="17"/>
  <c r="O15" i="17" s="1"/>
  <c r="H21" i="17"/>
  <c r="H15" i="17" s="1"/>
  <c r="J55" i="17"/>
  <c r="J49" i="17" s="1"/>
  <c r="N55" i="17"/>
  <c r="N49" i="17" s="1"/>
  <c r="E55" i="17"/>
  <c r="E49" i="17" s="1"/>
  <c r="L21" i="17"/>
  <c r="L15" i="17" s="1"/>
  <c r="J21" i="17"/>
  <c r="J15" i="17" s="1"/>
  <c r="F21" i="17"/>
  <c r="F15" i="17" s="1"/>
  <c r="K55" i="17"/>
  <c r="K49" i="17" s="1"/>
  <c r="O55" i="17"/>
  <c r="O49" i="17" s="1"/>
  <c r="B96" i="4"/>
  <c r="BE183" i="4"/>
  <c r="BL91" i="4"/>
  <c r="BE163" i="4"/>
  <c r="BH89" i="4"/>
  <c r="BD91" i="4"/>
  <c r="BF167" i="4"/>
  <c r="BG167" i="4"/>
  <c r="BJ91" i="4"/>
  <c r="BC89" i="4"/>
  <c r="BM116" i="4"/>
  <c r="BL103" i="4"/>
  <c r="BJ103" i="4"/>
  <c r="BY89" i="4"/>
  <c r="BX89" i="4"/>
  <c r="BU167" i="4"/>
  <c r="BK125" i="4"/>
  <c r="BC82" i="4"/>
  <c r="BY127" i="4"/>
  <c r="BH91" i="4"/>
  <c r="BF183" i="4"/>
  <c r="BI91" i="4"/>
  <c r="BG96" i="4"/>
  <c r="BF89" i="4"/>
  <c r="BN91" i="4"/>
  <c r="BT127" i="4"/>
  <c r="BC91" i="4"/>
  <c r="BL96" i="4"/>
  <c r="CD91" i="4"/>
  <c r="BZ89" i="4"/>
  <c r="CB89" i="4"/>
  <c r="BX167" i="4"/>
  <c r="B89" i="4"/>
  <c r="BE167" i="4"/>
  <c r="BU127" i="4"/>
  <c r="BK103" i="4"/>
  <c r="BC96" i="4"/>
  <c r="BE89" i="4"/>
  <c r="BM91" i="4"/>
  <c r="BG183" i="4"/>
  <c r="BJ89" i="4"/>
  <c r="BK91" i="4"/>
  <c r="BM96" i="4"/>
  <c r="BF96" i="4"/>
  <c r="B337" i="4"/>
  <c r="B348" i="4"/>
  <c r="BY103" i="4"/>
  <c r="CA96" i="4"/>
  <c r="BW91" i="4"/>
  <c r="BW89" i="4"/>
  <c r="J141" i="4"/>
  <c r="J56" i="17" s="1"/>
  <c r="O141" i="4"/>
  <c r="O56" i="17" s="1"/>
  <c r="B95" i="4"/>
  <c r="B116" i="4"/>
  <c r="BD82" i="4"/>
  <c r="BG95" i="4"/>
  <c r="BI82" i="4"/>
  <c r="BG165" i="4"/>
  <c r="BJ82" i="4"/>
  <c r="BL95" i="4"/>
  <c r="BK116" i="4"/>
  <c r="BL116" i="4"/>
  <c r="C21" i="4"/>
  <c r="C169" i="4" s="1"/>
  <c r="C42" i="4"/>
  <c r="C272" i="4" s="1"/>
  <c r="C341" i="4" s="1"/>
  <c r="B378" i="4"/>
  <c r="BX165" i="4"/>
  <c r="BE169" i="4"/>
  <c r="BN100" i="4"/>
  <c r="BE123" i="4"/>
  <c r="BF199" i="4"/>
  <c r="BC136" i="4"/>
  <c r="BN124" i="4"/>
  <c r="BM109" i="4"/>
  <c r="CA116" i="4"/>
  <c r="B261" i="4"/>
  <c r="B399" i="4" s="1"/>
  <c r="BK31" i="4"/>
  <c r="BE31" i="4"/>
  <c r="BJ31" i="4"/>
  <c r="BG18" i="4"/>
  <c r="BE18" i="4"/>
  <c r="BJ18" i="4"/>
  <c r="BV62" i="4"/>
  <c r="BT62" i="4"/>
  <c r="BV41" i="4"/>
  <c r="BV46" i="4" s="1"/>
  <c r="CA41" i="4"/>
  <c r="CA46" i="4" s="1"/>
  <c r="BU29" i="4"/>
  <c r="BW29" i="4"/>
  <c r="BY8" i="4"/>
  <c r="CD19" i="4"/>
  <c r="BW19" i="4"/>
  <c r="BY10" i="4"/>
  <c r="BW21" i="4"/>
  <c r="B127" i="4"/>
  <c r="BH82" i="4"/>
  <c r="BE165" i="4"/>
  <c r="BV127" i="4"/>
  <c r="BN82" i="4"/>
  <c r="BG116" i="4"/>
  <c r="BC90" i="4"/>
  <c r="BE95" i="4"/>
  <c r="C62" i="4"/>
  <c r="C430" i="4" s="1"/>
  <c r="C16" i="4"/>
  <c r="C90" i="4" s="1"/>
  <c r="CE90" i="4"/>
  <c r="B125" i="4"/>
  <c r="B78" i="4"/>
  <c r="BZ127" i="4"/>
  <c r="BI90" i="4"/>
  <c r="BW127" i="4"/>
  <c r="U12" i="4"/>
  <c r="U36" i="4" s="1"/>
  <c r="U48" i="4" s="1"/>
  <c r="U60" i="4" s="1"/>
  <c r="BC31" i="4"/>
  <c r="BH31" i="4"/>
  <c r="BK18" i="4"/>
  <c r="BH18" i="4"/>
  <c r="CC62" i="4"/>
  <c r="BW62" i="4"/>
  <c r="CB62" i="4"/>
  <c r="CC41" i="4"/>
  <c r="CC46" i="4" s="1"/>
  <c r="BX41" i="4"/>
  <c r="BX46" i="4" s="1"/>
  <c r="CC29" i="4"/>
  <c r="CB8" i="4"/>
  <c r="BW8" i="4"/>
  <c r="BV19" i="4"/>
  <c r="CB10" i="4"/>
  <c r="BW10" i="4"/>
  <c r="CC21" i="4"/>
  <c r="BE106" i="4"/>
  <c r="BG106" i="4"/>
  <c r="BK106" i="4"/>
  <c r="BN51" i="4"/>
  <c r="BN15" i="4"/>
  <c r="BL22" i="4"/>
  <c r="BM17" i="4"/>
  <c r="BE43" i="4"/>
  <c r="BF15" i="4"/>
  <c r="BG64" i="4"/>
  <c r="BC37" i="4"/>
  <c r="BE12" i="4"/>
  <c r="BC51" i="4"/>
  <c r="BG26" i="4"/>
  <c r="BG27" i="4" s="1"/>
  <c r="BK8" i="4"/>
  <c r="BC125" i="4"/>
  <c r="BG56" i="4"/>
  <c r="BG29" i="4"/>
  <c r="BD103" i="4"/>
  <c r="BD96" i="4"/>
  <c r="BK32" i="4"/>
  <c r="BG91" i="4"/>
  <c r="BK89" i="4"/>
  <c r="BG82" i="4"/>
  <c r="BU211" i="4"/>
  <c r="BX127" i="4"/>
  <c r="CB65" i="4"/>
  <c r="BX63" i="4"/>
  <c r="BT53" i="4"/>
  <c r="CB18" i="4"/>
  <c r="BC49" i="4"/>
  <c r="BI95" i="4"/>
  <c r="BF91" i="4"/>
  <c r="BN89" i="4"/>
  <c r="BJ84" i="4"/>
  <c r="BG212" i="4"/>
  <c r="BG186" i="4"/>
  <c r="BG170" i="4"/>
  <c r="CE127" i="4"/>
  <c r="CA105" i="4"/>
  <c r="BW65" i="4"/>
  <c r="CE53" i="4"/>
  <c r="CA31" i="4"/>
  <c r="BW18" i="4"/>
  <c r="BC29" i="4"/>
  <c r="BC95" i="4"/>
  <c r="BE91" i="4"/>
  <c r="BM89" i="4"/>
  <c r="BI84" i="4"/>
  <c r="BF212" i="4"/>
  <c r="BF174" i="4"/>
  <c r="CD127" i="4"/>
  <c r="BZ105" i="4"/>
  <c r="BV65" i="4"/>
  <c r="CD53" i="4"/>
  <c r="BZ31" i="4"/>
  <c r="BX100" i="4"/>
  <c r="B336" i="4"/>
  <c r="B405" i="4"/>
  <c r="BU132" i="4"/>
  <c r="BZ132" i="4"/>
  <c r="BF166" i="4"/>
  <c r="BW166" i="4"/>
  <c r="BW158" i="4"/>
  <c r="BG158" i="4"/>
  <c r="BU109" i="4"/>
  <c r="BL109" i="4"/>
  <c r="BC109" i="4"/>
  <c r="B109" i="4"/>
  <c r="BE158" i="4"/>
  <c r="BG109" i="4"/>
  <c r="BF124" i="4"/>
  <c r="BW132" i="4"/>
  <c r="BG100" i="4"/>
  <c r="BK100" i="4"/>
  <c r="BD100" i="4"/>
  <c r="BD109" i="4"/>
  <c r="BZ126" i="4"/>
  <c r="CB126" i="4"/>
  <c r="BV126" i="4"/>
  <c r="BI126" i="4"/>
  <c r="BM126" i="4"/>
  <c r="BK126" i="4"/>
  <c r="CA132" i="4"/>
  <c r="BY132" i="4"/>
  <c r="BV132" i="4"/>
  <c r="CD132" i="4"/>
  <c r="BX132" i="4"/>
  <c r="CB132" i="4"/>
  <c r="C5" i="4"/>
  <c r="C153" i="4" s="1"/>
  <c r="C69" i="4"/>
  <c r="B386" i="4"/>
  <c r="BW165" i="4"/>
  <c r="BV50" i="4"/>
  <c r="BY51" i="4"/>
  <c r="CB51" i="4"/>
  <c r="BT49" i="4"/>
  <c r="BW37" i="4"/>
  <c r="BV35" i="4"/>
  <c r="BY17" i="4"/>
  <c r="BW15" i="4"/>
  <c r="BK86" i="4"/>
  <c r="BE100" i="4"/>
  <c r="BF115" i="4"/>
  <c r="BG199" i="4"/>
  <c r="BY21" i="4"/>
  <c r="BT123" i="4"/>
  <c r="BJ123" i="4"/>
  <c r="BC123" i="4"/>
  <c r="CA136" i="4"/>
  <c r="BE136" i="4"/>
  <c r="BG136" i="4"/>
  <c r="CB117" i="4"/>
  <c r="CE117" i="4"/>
  <c r="BU117" i="4"/>
  <c r="CB130" i="4"/>
  <c r="CE130" i="4"/>
  <c r="BZ130" i="4"/>
  <c r="BK130" i="4"/>
  <c r="BU130" i="4"/>
  <c r="CE138" i="4"/>
  <c r="BC138" i="4"/>
  <c r="BV156" i="4"/>
  <c r="BW156" i="4"/>
  <c r="BV190" i="4"/>
  <c r="BW190" i="4"/>
  <c r="BF192" i="4"/>
  <c r="BX192" i="4"/>
  <c r="BE211" i="4"/>
  <c r="BF211" i="4"/>
  <c r="B342" i="4"/>
  <c r="B411" i="4"/>
  <c r="B432" i="4"/>
  <c r="B363" i="4"/>
  <c r="BF111" i="4"/>
  <c r="BH111" i="4"/>
  <c r="BF177" i="4"/>
  <c r="BG111" i="4"/>
  <c r="BW124" i="4"/>
  <c r="BJ124" i="4"/>
  <c r="BC124" i="4"/>
  <c r="BM124" i="4"/>
  <c r="BD124" i="4"/>
  <c r="BE124" i="4"/>
  <c r="BY106" i="4"/>
  <c r="BX106" i="4"/>
  <c r="CC106" i="4"/>
  <c r="BF106" i="4"/>
  <c r="BM106" i="4"/>
  <c r="BL106" i="4"/>
  <c r="BT106" i="4"/>
  <c r="BU106" i="4"/>
  <c r="BI106" i="4"/>
  <c r="BH106" i="4"/>
  <c r="B124" i="4"/>
  <c r="B100" i="4"/>
  <c r="BE177" i="4"/>
  <c r="BE170" i="4"/>
  <c r="BF156" i="4"/>
  <c r="BX166" i="4"/>
  <c r="BG177" i="4"/>
  <c r="BD170" i="4"/>
  <c r="BE117" i="4"/>
  <c r="BF64" i="4"/>
  <c r="BF49" i="4"/>
  <c r="BJ37" i="4"/>
  <c r="BN21" i="4"/>
  <c r="BD57" i="4"/>
  <c r="BH45" i="4"/>
  <c r="BL35" i="4"/>
  <c r="BM64" i="4"/>
  <c r="BI41" i="4"/>
  <c r="BL15" i="4"/>
  <c r="BH126" i="4"/>
  <c r="BE57" i="4"/>
  <c r="BI38" i="4"/>
  <c r="BE21" i="4"/>
  <c r="BF12" i="4"/>
  <c r="BJ131" i="4"/>
  <c r="BC57" i="4"/>
  <c r="BG45" i="4"/>
  <c r="BK35" i="4"/>
  <c r="BG17" i="4"/>
  <c r="BM10" i="4"/>
  <c r="BM132" i="4"/>
  <c r="BF116" i="4"/>
  <c r="BK62" i="4"/>
  <c r="BK49" i="4"/>
  <c r="BK36" i="4"/>
  <c r="BC22" i="4"/>
  <c r="BK12" i="4"/>
  <c r="BJ116" i="4"/>
  <c r="BE103" i="4"/>
  <c r="BI96" i="4"/>
  <c r="BK50" i="4"/>
  <c r="BC41" i="4"/>
  <c r="BC26" i="4"/>
  <c r="BC27" i="4" s="1"/>
  <c r="BI12" i="4"/>
  <c r="BC116" i="4"/>
  <c r="BJ57" i="4"/>
  <c r="BN45" i="4"/>
  <c r="BF36" i="4"/>
  <c r="BF17" i="4"/>
  <c r="BL52" i="4"/>
  <c r="BD43" i="4"/>
  <c r="BD29" i="4"/>
  <c r="BE58" i="4"/>
  <c r="BM36" i="4"/>
  <c r="BD10" i="4"/>
  <c r="BI51" i="4"/>
  <c r="BM35" i="4"/>
  <c r="BI17" i="4"/>
  <c r="BN10" i="4"/>
  <c r="BJ126" i="4"/>
  <c r="BK52" i="4"/>
  <c r="BC43" i="4"/>
  <c r="BK26" i="4"/>
  <c r="BK27" i="4" s="1"/>
  <c r="BG16" i="4"/>
  <c r="BE10" i="4"/>
  <c r="BE132" i="4"/>
  <c r="BJ109" i="4"/>
  <c r="BN103" i="4"/>
  <c r="BC58" i="4"/>
  <c r="BC45" i="4"/>
  <c r="BG35" i="4"/>
  <c r="BG19" i="4"/>
  <c r="BK10" i="4"/>
  <c r="BG126" i="4"/>
  <c r="BC62" i="4"/>
  <c r="BG49" i="4"/>
  <c r="BK37" i="4"/>
  <c r="BC19" i="4"/>
  <c r="BI10" i="4"/>
  <c r="BI132" i="4"/>
  <c r="CC138" i="4"/>
  <c r="BT100" i="4"/>
  <c r="CC100" i="4"/>
  <c r="BV100" i="4"/>
  <c r="CE100" i="4"/>
  <c r="BU100" i="4"/>
  <c r="CD100" i="4"/>
  <c r="CD101" i="4" s="1"/>
  <c r="BJ100" i="4"/>
  <c r="CB100" i="4"/>
  <c r="CA100" i="4"/>
  <c r="BZ100" i="4"/>
  <c r="BF100" i="4"/>
  <c r="BM100" i="4"/>
  <c r="BM101" i="4" s="1"/>
  <c r="BN99" i="4"/>
  <c r="BH99" i="4"/>
  <c r="BZ99" i="4"/>
  <c r="BX99" i="4"/>
  <c r="CA99" i="4"/>
  <c r="CA101" i="4" s="1"/>
  <c r="B130" i="4"/>
  <c r="B106" i="4"/>
  <c r="B136" i="4"/>
  <c r="BD86" i="4"/>
  <c r="BM123" i="4"/>
  <c r="BV166" i="4"/>
  <c r="BC106" i="4"/>
  <c r="BF158" i="4"/>
  <c r="BF170" i="4"/>
  <c r="BN115" i="4"/>
  <c r="BG156" i="4"/>
  <c r="BK124" i="4"/>
  <c r="BK136" i="4"/>
  <c r="BM136" i="4"/>
  <c r="BC117" i="4"/>
  <c r="BN106" i="4"/>
  <c r="BE41" i="4"/>
  <c r="BH136" i="4"/>
  <c r="BE45" i="4"/>
  <c r="BD37" i="4"/>
  <c r="BL62" i="4"/>
  <c r="BN38" i="4"/>
  <c r="BY100" i="4"/>
  <c r="BV117" i="4"/>
  <c r="K5" i="4"/>
  <c r="K235" i="4" s="1"/>
  <c r="K304" i="4" s="1"/>
  <c r="C14" i="4"/>
  <c r="C382" i="4" s="1"/>
  <c r="E5" i="4"/>
  <c r="W5" i="4" s="1"/>
  <c r="C41" i="4"/>
  <c r="BU103" i="4"/>
  <c r="BT103" i="4"/>
  <c r="BU165" i="4"/>
  <c r="BN93" i="4"/>
  <c r="BF197" i="4"/>
  <c r="BG210" i="4"/>
  <c r="BH112" i="4"/>
  <c r="B307" i="4"/>
  <c r="CD51" i="4"/>
  <c r="CA51" i="4"/>
  <c r="CD49" i="4"/>
  <c r="CC49" i="4"/>
  <c r="CB49" i="4"/>
  <c r="BX37" i="4"/>
  <c r="CA37" i="4"/>
  <c r="BT35" i="4"/>
  <c r="CB35" i="4"/>
  <c r="BZ17" i="4"/>
  <c r="CD17" i="4"/>
  <c r="BX15" i="4"/>
  <c r="CE15" i="4"/>
  <c r="U7" i="4"/>
  <c r="U19" i="4" s="1"/>
  <c r="C27" i="4"/>
  <c r="C37" i="4"/>
  <c r="C267" i="4" s="1"/>
  <c r="C336" i="4" s="1"/>
  <c r="C34" i="4"/>
  <c r="C108" i="4" s="1"/>
  <c r="CC103" i="4"/>
  <c r="BZ51" i="4"/>
  <c r="CE51" i="4"/>
  <c r="BV49" i="4"/>
  <c r="CA49" i="4"/>
  <c r="BU37" i="4"/>
  <c r="CD37" i="4"/>
  <c r="CB37" i="4"/>
  <c r="CD35" i="4"/>
  <c r="BW35" i="4"/>
  <c r="CB17" i="4"/>
  <c r="CE17" i="4"/>
  <c r="BY15" i="4"/>
  <c r="B86" i="4"/>
  <c r="B99" i="4"/>
  <c r="B138" i="4"/>
  <c r="BE156" i="4"/>
  <c r="BD156" i="4"/>
  <c r="BD190" i="4"/>
  <c r="BM112" i="4"/>
  <c r="BI117" i="4"/>
  <c r="BK138" i="4"/>
  <c r="BN111" i="4"/>
  <c r="BU111" i="4"/>
  <c r="B357" i="4"/>
  <c r="BG211" i="4"/>
  <c r="BE192" i="4"/>
  <c r="BG192" i="4"/>
  <c r="BX190" i="4"/>
  <c r="BX156" i="4"/>
  <c r="BZ138" i="4"/>
  <c r="BY130" i="4"/>
  <c r="CD130" i="4"/>
  <c r="BT130" i="4"/>
  <c r="CD117" i="4"/>
  <c r="CC117" i="4"/>
  <c r="BT117" i="4"/>
  <c r="BU99" i="4"/>
  <c r="BY99" i="4"/>
  <c r="CE99" i="4"/>
  <c r="CB99" i="4"/>
  <c r="BL99" i="4"/>
  <c r="BF99" i="4"/>
  <c r="N141" i="4"/>
  <c r="N56" i="17" s="1"/>
  <c r="F141" i="4"/>
  <c r="F56" i="17" s="1"/>
  <c r="H141" i="4"/>
  <c r="H56" i="17" s="1"/>
  <c r="BE190" i="4"/>
  <c r="BH86" i="4"/>
  <c r="BL86" i="4"/>
  <c r="BM86" i="4"/>
  <c r="BF86" i="4"/>
  <c r="BF138" i="4"/>
  <c r="O5" i="4"/>
  <c r="C31" i="4"/>
  <c r="C399" i="4" s="1"/>
  <c r="L5" i="4"/>
  <c r="L235" i="4" s="1"/>
  <c r="L304" i="4" s="1"/>
  <c r="C20" i="4"/>
  <c r="C388" i="4" s="1"/>
  <c r="C57" i="4"/>
  <c r="C287" i="4" s="1"/>
  <c r="C356" i="4" s="1"/>
  <c r="U8" i="4"/>
  <c r="C79" i="4"/>
  <c r="C75" i="4"/>
  <c r="BZ109" i="4"/>
  <c r="BY91" i="4"/>
  <c r="BX91" i="4"/>
  <c r="CD89" i="4"/>
  <c r="BU89" i="4"/>
  <c r="CE89" i="4"/>
  <c r="BV167" i="4"/>
  <c r="P367" i="4"/>
  <c r="B330" i="4"/>
  <c r="B352" i="4"/>
  <c r="BD211" i="4"/>
  <c r="BD192" i="4"/>
  <c r="BW192" i="4"/>
  <c r="BU190" i="4"/>
  <c r="BU156" i="4"/>
  <c r="CB138" i="4"/>
  <c r="BW138" i="4"/>
  <c r="CC130" i="4"/>
  <c r="BW130" i="4"/>
  <c r="BX130" i="4"/>
  <c r="BY117" i="4"/>
  <c r="BW117" i="4"/>
  <c r="BX117" i="4"/>
  <c r="CC99" i="4"/>
  <c r="BC99" i="4"/>
  <c r="BG99" i="4"/>
  <c r="BK99" i="4"/>
  <c r="BE99" i="4"/>
  <c r="BJ99" i="4"/>
  <c r="BG138" i="4"/>
  <c r="BV211" i="4"/>
  <c r="BE197" i="4"/>
  <c r="BD93" i="4"/>
  <c r="BF117" i="4"/>
  <c r="BW211" i="4"/>
  <c r="BF190" i="4"/>
  <c r="BX211" i="4"/>
  <c r="BG190" i="4"/>
  <c r="BG130" i="4"/>
  <c r="BG117" i="4"/>
  <c r="BE138" i="4"/>
  <c r="BN130" i="4"/>
  <c r="BJ138" i="4"/>
  <c r="BO5" i="4"/>
  <c r="C46" i="4"/>
  <c r="CF5" i="4"/>
  <c r="C28" i="4"/>
  <c r="C396" i="4" s="1"/>
  <c r="C64" i="4"/>
  <c r="C432" i="4" s="1"/>
  <c r="C10" i="4"/>
  <c r="C378" i="4" s="1"/>
  <c r="CF79" i="4"/>
  <c r="BT155" i="4" s="1"/>
  <c r="C146" i="4"/>
  <c r="BV89" i="4"/>
  <c r="CC89" i="4"/>
  <c r="B382" i="4"/>
  <c r="BU192" i="4"/>
  <c r="BU138" i="4"/>
  <c r="BV130" i="4"/>
  <c r="CA130" i="4"/>
  <c r="BZ117" i="4"/>
  <c r="CA117" i="4"/>
  <c r="BV99" i="4"/>
  <c r="BW99" i="4"/>
  <c r="BT99" i="4"/>
  <c r="BD99" i="4"/>
  <c r="BI99" i="4"/>
  <c r="B350" i="4"/>
  <c r="B419" i="4"/>
  <c r="B390" i="4"/>
  <c r="B321" i="4"/>
  <c r="B111" i="4"/>
  <c r="B112" i="4"/>
  <c r="BG197" i="4"/>
  <c r="BF93" i="4"/>
  <c r="BN62" i="4"/>
  <c r="BJ58" i="4"/>
  <c r="BF57" i="4"/>
  <c r="BN52" i="4"/>
  <c r="BJ51" i="4"/>
  <c r="BF50" i="4"/>
  <c r="BN48" i="4"/>
  <c r="BJ45" i="4"/>
  <c r="BF43" i="4"/>
  <c r="BN41" i="4"/>
  <c r="BJ38" i="4"/>
  <c r="BF37" i="4"/>
  <c r="BN35" i="4"/>
  <c r="BJ32" i="4"/>
  <c r="BF29" i="4"/>
  <c r="BN22" i="4"/>
  <c r="BJ21" i="4"/>
  <c r="BF19" i="4"/>
  <c r="BN16" i="4"/>
  <c r="BL64" i="4"/>
  <c r="BH62" i="4"/>
  <c r="BD58" i="4"/>
  <c r="BL56" i="4"/>
  <c r="BH52" i="4"/>
  <c r="BD51" i="4"/>
  <c r="BL49" i="4"/>
  <c r="BH48" i="4"/>
  <c r="BD45" i="4"/>
  <c r="BL42" i="4"/>
  <c r="BH41" i="4"/>
  <c r="BD38" i="4"/>
  <c r="BL36" i="4"/>
  <c r="BH35" i="4"/>
  <c r="BD32" i="4"/>
  <c r="BL26" i="4"/>
  <c r="BL27" i="4" s="1"/>
  <c r="BH22" i="4"/>
  <c r="BD21" i="4"/>
  <c r="BL17" i="4"/>
  <c r="BE64" i="4"/>
  <c r="BI57" i="4"/>
  <c r="BM51" i="4"/>
  <c r="BE49" i="4"/>
  <c r="BI43" i="4"/>
  <c r="BM38" i="4"/>
  <c r="BE36" i="4"/>
  <c r="BM29" i="4"/>
  <c r="BE22" i="4"/>
  <c r="BE17" i="4"/>
  <c r="BH15" i="4"/>
  <c r="BD12" i="4"/>
  <c r="BL8" i="4"/>
  <c r="BH138" i="4"/>
  <c r="BL132" i="4"/>
  <c r="BH130" i="4"/>
  <c r="BD126" i="4"/>
  <c r="BL117" i="4"/>
  <c r="BC64" i="4"/>
  <c r="BE62" i="4"/>
  <c r="BI56" i="4"/>
  <c r="BM50" i="4"/>
  <c r="BE48" i="4"/>
  <c r="BI42" i="4"/>
  <c r="BM37" i="4"/>
  <c r="BE35" i="4"/>
  <c r="BE26" i="4"/>
  <c r="BE27" i="4" s="1"/>
  <c r="BM19" i="4"/>
  <c r="BH16" i="4"/>
  <c r="BN12" i="4"/>
  <c r="BJ10" i="4"/>
  <c r="BF8" i="4"/>
  <c r="BN136" i="4"/>
  <c r="BJ132" i="4"/>
  <c r="BJ130" i="4"/>
  <c r="BF126" i="4"/>
  <c r="BN64" i="4"/>
  <c r="BJ62" i="4"/>
  <c r="BF58" i="4"/>
  <c r="BN56" i="4"/>
  <c r="BJ52" i="4"/>
  <c r="BF51" i="4"/>
  <c r="BN49" i="4"/>
  <c r="BJ48" i="4"/>
  <c r="BF45" i="4"/>
  <c r="BN42" i="4"/>
  <c r="BJ41" i="4"/>
  <c r="BF38" i="4"/>
  <c r="BN36" i="4"/>
  <c r="BJ35" i="4"/>
  <c r="BF32" i="4"/>
  <c r="BN26" i="4"/>
  <c r="BN27" i="4" s="1"/>
  <c r="BJ22" i="4"/>
  <c r="BF21" i="4"/>
  <c r="BN17" i="4"/>
  <c r="BJ16" i="4"/>
  <c r="BH64" i="4"/>
  <c r="BD62" i="4"/>
  <c r="BL57" i="4"/>
  <c r="BH56" i="4"/>
  <c r="BD52" i="4"/>
  <c r="BL50" i="4"/>
  <c r="BH49" i="4"/>
  <c r="BD48" i="4"/>
  <c r="BL43" i="4"/>
  <c r="BH42" i="4"/>
  <c r="BD41" i="4"/>
  <c r="BL37" i="4"/>
  <c r="BH36" i="4"/>
  <c r="BD35" i="4"/>
  <c r="BL29" i="4"/>
  <c r="BH26" i="4"/>
  <c r="BH27" i="4" s="1"/>
  <c r="BD22" i="4"/>
  <c r="BL19" i="4"/>
  <c r="BH17" i="4"/>
  <c r="BI62" i="4"/>
  <c r="BM56" i="4"/>
  <c r="BE51" i="4"/>
  <c r="BI48" i="4"/>
  <c r="BM42" i="4"/>
  <c r="BE38" i="4"/>
  <c r="BI35" i="4"/>
  <c r="BE29" i="4"/>
  <c r="BI21" i="4"/>
  <c r="BK16" i="4"/>
  <c r="BD15" i="4"/>
  <c r="BL10" i="4"/>
  <c r="BH8" i="4"/>
  <c r="BD138" i="4"/>
  <c r="BH132" i="4"/>
  <c r="BD130" i="4"/>
  <c r="BL125" i="4"/>
  <c r="BH117" i="4"/>
  <c r="BG62" i="4"/>
  <c r="BI58" i="4"/>
  <c r="BM52" i="4"/>
  <c r="BE50" i="4"/>
  <c r="BI45" i="4"/>
  <c r="BM41" i="4"/>
  <c r="BE37" i="4"/>
  <c r="BI32" i="4"/>
  <c r="BI22" i="4"/>
  <c r="BE19" i="4"/>
  <c r="BC16" i="4"/>
  <c r="BJ12" i="4"/>
  <c r="BF10" i="4"/>
  <c r="BN138" i="4"/>
  <c r="BJ136" i="4"/>
  <c r="BF132" i="4"/>
  <c r="BF130" i="4"/>
  <c r="BJ64" i="4"/>
  <c r="BF62" i="4"/>
  <c r="BN57" i="4"/>
  <c r="BJ56" i="4"/>
  <c r="BF52" i="4"/>
  <c r="BN50" i="4"/>
  <c r="BJ49" i="4"/>
  <c r="BF48" i="4"/>
  <c r="BN43" i="4"/>
  <c r="BJ42" i="4"/>
  <c r="BF41" i="4"/>
  <c r="BN37" i="4"/>
  <c r="BJ36" i="4"/>
  <c r="BF35" i="4"/>
  <c r="BN29" i="4"/>
  <c r="BJ26" i="4"/>
  <c r="BJ27" i="4" s="1"/>
  <c r="BF22" i="4"/>
  <c r="BN19" i="4"/>
  <c r="BJ17" i="4"/>
  <c r="BF16" i="4"/>
  <c r="BD64" i="4"/>
  <c r="BL58" i="4"/>
  <c r="BH57" i="4"/>
  <c r="BD56" i="4"/>
  <c r="BL51" i="4"/>
  <c r="BH50" i="4"/>
  <c r="BD49" i="4"/>
  <c r="BL45" i="4"/>
  <c r="BH43" i="4"/>
  <c r="BD42" i="4"/>
  <c r="BL38" i="4"/>
  <c r="BH37" i="4"/>
  <c r="BD36" i="4"/>
  <c r="BL32" i="4"/>
  <c r="BH29" i="4"/>
  <c r="BD26" i="4"/>
  <c r="BD27" i="4" s="1"/>
  <c r="BL21" i="4"/>
  <c r="BH19" i="4"/>
  <c r="BD17" i="4"/>
  <c r="BM58" i="4"/>
  <c r="BE56" i="4"/>
  <c r="BI50" i="4"/>
  <c r="BM45" i="4"/>
  <c r="BE42" i="4"/>
  <c r="BI37" i="4"/>
  <c r="BM32" i="4"/>
  <c r="BI26" i="4"/>
  <c r="BI27" i="4" s="1"/>
  <c r="BI19" i="4"/>
  <c r="BE16" i="4"/>
  <c r="BL12" i="4"/>
  <c r="BH10" i="4"/>
  <c r="BD8" i="4"/>
  <c r="BL136" i="4"/>
  <c r="BD132" i="4"/>
  <c r="BL126" i="4"/>
  <c r="BH124" i="4"/>
  <c r="BD117" i="4"/>
  <c r="BD115" i="4"/>
  <c r="BI64" i="4"/>
  <c r="BM57" i="4"/>
  <c r="BE52" i="4"/>
  <c r="BI49" i="4"/>
  <c r="BM43" i="4"/>
  <c r="BN58" i="4"/>
  <c r="BJ50" i="4"/>
  <c r="BF42" i="4"/>
  <c r="BN32" i="4"/>
  <c r="BJ19" i="4"/>
  <c r="BH58" i="4"/>
  <c r="BD50" i="4"/>
  <c r="BL41" i="4"/>
  <c r="BH32" i="4"/>
  <c r="BD19" i="4"/>
  <c r="BM49" i="4"/>
  <c r="BE32" i="4"/>
  <c r="BH12" i="4"/>
  <c r="BL130" i="4"/>
  <c r="BK64" i="4"/>
  <c r="BM48" i="4"/>
  <c r="BI36" i="4"/>
  <c r="BM21" i="4"/>
  <c r="BJ15" i="4"/>
  <c r="BN8" i="4"/>
  <c r="BF136" i="4"/>
  <c r="BN126" i="4"/>
  <c r="BG58" i="4"/>
  <c r="BC50" i="4"/>
  <c r="BK41" i="4"/>
  <c r="BG32" i="4"/>
  <c r="BK19" i="4"/>
  <c r="BM12" i="4"/>
  <c r="BM8" i="4"/>
  <c r="BI136" i="4"/>
  <c r="BE130" i="4"/>
  <c r="BJ117" i="4"/>
  <c r="BG115" i="4"/>
  <c r="BN109" i="4"/>
  <c r="BJ106" i="4"/>
  <c r="BF103" i="4"/>
  <c r="BN96" i="4"/>
  <c r="BK56" i="4"/>
  <c r="BG48" i="4"/>
  <c r="BC38" i="4"/>
  <c r="BK29" i="4"/>
  <c r="BC17" i="4"/>
  <c r="BC12" i="4"/>
  <c r="BC8" i="4"/>
  <c r="BK132" i="4"/>
  <c r="BC130" i="4"/>
  <c r="BI124" i="4"/>
  <c r="BN117" i="4"/>
  <c r="BE116" i="4"/>
  <c r="BE109" i="4"/>
  <c r="BM103" i="4"/>
  <c r="BI100" i="4"/>
  <c r="BE96" i="4"/>
  <c r="BC52" i="4"/>
  <c r="BK43" i="4"/>
  <c r="BG36" i="4"/>
  <c r="BK21" i="4"/>
  <c r="BE15" i="4"/>
  <c r="BI138" i="4"/>
  <c r="BI130" i="4"/>
  <c r="BG124" i="4"/>
  <c r="BN116" i="4"/>
  <c r="BH109" i="4"/>
  <c r="BD106" i="4"/>
  <c r="BL100" i="4"/>
  <c r="BH96" i="4"/>
  <c r="BG50" i="4"/>
  <c r="BK15" i="4"/>
  <c r="BC115" i="4"/>
  <c r="BC100" i="4"/>
  <c r="BG89" i="4"/>
  <c r="BG84" i="4"/>
  <c r="BD212" i="4"/>
  <c r="BD163" i="4"/>
  <c r="BU166" i="4"/>
  <c r="CB127" i="4"/>
  <c r="BX105" i="4"/>
  <c r="BE210" i="4"/>
  <c r="BI93" i="4"/>
  <c r="BF210" i="4"/>
  <c r="BH93" i="4"/>
  <c r="BE111" i="4"/>
  <c r="BW93" i="4"/>
  <c r="BJ93" i="4"/>
  <c r="BC93" i="4"/>
  <c r="B325" i="4"/>
  <c r="B394" i="4"/>
  <c r="BW210" i="4"/>
  <c r="BV210" i="4"/>
  <c r="BU210" i="4"/>
  <c r="CB111" i="4"/>
  <c r="CA111" i="4"/>
  <c r="BI111" i="4"/>
  <c r="BL111" i="4"/>
  <c r="A295" i="4"/>
  <c r="B93" i="4"/>
  <c r="BE93" i="4"/>
  <c r="BC111" i="4"/>
  <c r="BG93" i="4"/>
  <c r="BM93" i="4"/>
  <c r="BK111" i="4"/>
  <c r="BD111" i="4"/>
  <c r="BM111" i="4"/>
  <c r="BJ111" i="4"/>
  <c r="BX93" i="4"/>
  <c r="CD116" i="4"/>
  <c r="BH116" i="4"/>
  <c r="CB116" i="4"/>
  <c r="BV116" i="4"/>
  <c r="BD116" i="4"/>
  <c r="CE116" i="4"/>
  <c r="BZ116" i="4"/>
  <c r="BD199" i="4"/>
  <c r="BD200" i="4"/>
  <c r="BH127" i="4"/>
  <c r="BK127" i="4"/>
  <c r="BX17" i="4"/>
  <c r="BW17" i="4"/>
  <c r="CC15" i="4"/>
  <c r="CD15" i="4"/>
  <c r="BX21" i="4"/>
  <c r="CE21" i="4"/>
  <c r="BD204" i="4"/>
  <c r="B200" i="4"/>
  <c r="DC107" i="4"/>
  <c r="DC33" i="4"/>
  <c r="B413" i="4"/>
  <c r="B344" i="4"/>
  <c r="J67" i="4"/>
  <c r="J22" i="17" s="1"/>
  <c r="BZ131" i="4"/>
  <c r="CE131" i="4"/>
  <c r="BL131" i="4"/>
  <c r="BF131" i="4"/>
  <c r="BI131" i="4"/>
  <c r="BH131" i="4"/>
  <c r="BM131" i="4"/>
  <c r="B131" i="4"/>
  <c r="BD131" i="4"/>
  <c r="BN131" i="4"/>
  <c r="BE131" i="4"/>
  <c r="BC131" i="4"/>
  <c r="BK131" i="4"/>
  <c r="BG193" i="4"/>
  <c r="BE193" i="4"/>
  <c r="BF193" i="4"/>
  <c r="BF189" i="4"/>
  <c r="BG189" i="4"/>
  <c r="BE189" i="4"/>
  <c r="BT112" i="4"/>
  <c r="BK112" i="4"/>
  <c r="BL112" i="4"/>
  <c r="CB92" i="4"/>
  <c r="CD92" i="4"/>
  <c r="BJ92" i="4"/>
  <c r="CE92" i="4"/>
  <c r="CC92" i="4"/>
  <c r="BY92" i="4"/>
  <c r="BW163" i="4"/>
  <c r="BU163" i="4"/>
  <c r="BX109" i="4"/>
  <c r="CA109" i="4"/>
  <c r="CE109" i="4"/>
  <c r="BV109" i="4"/>
  <c r="BV185" i="4"/>
  <c r="BX185" i="4"/>
  <c r="BT126" i="4"/>
  <c r="CD126" i="4"/>
  <c r="BY126" i="4"/>
  <c r="BX126" i="4"/>
  <c r="BW126" i="4"/>
  <c r="CC126" i="4"/>
  <c r="DB81" i="4"/>
  <c r="DB7" i="4"/>
  <c r="DB85" i="4"/>
  <c r="DB11" i="4"/>
  <c r="BW16" i="4"/>
  <c r="CC16" i="4"/>
  <c r="BY16" i="4"/>
  <c r="B246" i="4"/>
  <c r="CD16" i="4"/>
  <c r="BU16" i="4"/>
  <c r="BX16" i="4"/>
  <c r="CA16" i="4"/>
  <c r="BV16" i="4"/>
  <c r="BT16" i="4"/>
  <c r="A164" i="4"/>
  <c r="BW36" i="4"/>
  <c r="BY36" i="4"/>
  <c r="BX36" i="4"/>
  <c r="A110" i="4"/>
  <c r="BZ36" i="4"/>
  <c r="BT36" i="4"/>
  <c r="BV36" i="4"/>
  <c r="CA36" i="4"/>
  <c r="CD36" i="4"/>
  <c r="CB36" i="4"/>
  <c r="CB39" i="4" s="1"/>
  <c r="DB112" i="4"/>
  <c r="DB38" i="4"/>
  <c r="BT48" i="4"/>
  <c r="BY48" i="4"/>
  <c r="CC48" i="4"/>
  <c r="A196" i="4"/>
  <c r="BW196" i="4" s="1"/>
  <c r="CE48" i="4"/>
  <c r="CD48" i="4"/>
  <c r="BZ48" i="4"/>
  <c r="BX48" i="4"/>
  <c r="BW48" i="4"/>
  <c r="BU48" i="4"/>
  <c r="B278" i="4"/>
  <c r="BT50" i="4"/>
  <c r="BY50" i="4"/>
  <c r="BZ50" i="4"/>
  <c r="A198" i="4"/>
  <c r="CE50" i="4"/>
  <c r="CD50" i="4"/>
  <c r="BU50" i="4"/>
  <c r="BX50" i="4"/>
  <c r="BW50" i="4"/>
  <c r="CC50" i="4"/>
  <c r="CB109" i="4"/>
  <c r="BX163" i="4"/>
  <c r="CB90" i="4"/>
  <c r="BX96" i="4"/>
  <c r="CB96" i="4"/>
  <c r="BZ96" i="4"/>
  <c r="BU96" i="4"/>
  <c r="CB103" i="4"/>
  <c r="CA103" i="4"/>
  <c r="BV103" i="4"/>
  <c r="CE103" i="4"/>
  <c r="CD103" i="4"/>
  <c r="BZ103" i="4"/>
  <c r="DC91" i="4"/>
  <c r="BT116" i="4"/>
  <c r="BY116" i="4"/>
  <c r="BU116" i="4"/>
  <c r="BX116" i="4"/>
  <c r="BW116" i="4"/>
  <c r="CC116" i="4"/>
  <c r="CB50" i="4"/>
  <c r="CC36" i="4"/>
  <c r="BZ16" i="4"/>
  <c r="G141" i="4"/>
  <c r="G56" i="17" s="1"/>
  <c r="BX170" i="4"/>
  <c r="BU170" i="4"/>
  <c r="BV48" i="4"/>
  <c r="BU36" i="4"/>
  <c r="CE16" i="4"/>
  <c r="BD206" i="4"/>
  <c r="I141" i="4"/>
  <c r="I56" i="17" s="1"/>
  <c r="BH20" i="4"/>
  <c r="CF12" i="4"/>
  <c r="CF22" i="4"/>
  <c r="CF26" i="4"/>
  <c r="CF32" i="4"/>
  <c r="CF43" i="4"/>
  <c r="CF44" i="4"/>
  <c r="CF52" i="4"/>
  <c r="CF57" i="4"/>
  <c r="CF58" i="4"/>
  <c r="CF64" i="4"/>
  <c r="BO25" i="4"/>
  <c r="BO44" i="4"/>
  <c r="BO63" i="4"/>
  <c r="BO65" i="4"/>
  <c r="P46" i="4"/>
  <c r="D194" i="4" s="1"/>
  <c r="P54" i="4"/>
  <c r="D202" i="4" s="1"/>
  <c r="P101" i="4"/>
  <c r="E175" i="4" s="1"/>
  <c r="BV51" i="4"/>
  <c r="BW51" i="4"/>
  <c r="BY49" i="4"/>
  <c r="BW49" i="4"/>
  <c r="BZ37" i="4"/>
  <c r="BT37" i="4"/>
  <c r="BX35" i="4"/>
  <c r="BZ35" i="4"/>
  <c r="BV17" i="4"/>
  <c r="BT17" i="4"/>
  <c r="BU15" i="4"/>
  <c r="BV15" i="4"/>
  <c r="AH49" i="4"/>
  <c r="BX205" i="4"/>
  <c r="BX207" i="4" s="1"/>
  <c r="BG205" i="4"/>
  <c r="BE205" i="4"/>
  <c r="BF205" i="4"/>
  <c r="DC18" i="4"/>
  <c r="DC92" i="4"/>
  <c r="H67" i="4"/>
  <c r="H22" i="17" s="1"/>
  <c r="BG201" i="4"/>
  <c r="BX201" i="4"/>
  <c r="BW201" i="4"/>
  <c r="BV201" i="4"/>
  <c r="BG213" i="4"/>
  <c r="BX213" i="4"/>
  <c r="BW213" i="4"/>
  <c r="BU213" i="4"/>
  <c r="BV213" i="4"/>
  <c r="A399" i="4"/>
  <c r="A278" i="4"/>
  <c r="BE173" i="4"/>
  <c r="BG173" i="4"/>
  <c r="B424" i="4"/>
  <c r="B355" i="4"/>
  <c r="A283" i="4"/>
  <c r="A318" i="4"/>
  <c r="A320" i="4"/>
  <c r="B212" i="4"/>
  <c r="C251" i="4"/>
  <c r="C320" i="4" s="1"/>
  <c r="BX193" i="4"/>
  <c r="BW193" i="4"/>
  <c r="BV193" i="4"/>
  <c r="BU193" i="4"/>
  <c r="B335" i="4"/>
  <c r="B404" i="4"/>
  <c r="BX95" i="4"/>
  <c r="BW95" i="4"/>
  <c r="BY95" i="4"/>
  <c r="BU95" i="4"/>
  <c r="BN95" i="4"/>
  <c r="BM95" i="4"/>
  <c r="BD95" i="4"/>
  <c r="BJ95" i="4"/>
  <c r="BK95" i="4"/>
  <c r="BF95" i="4"/>
  <c r="B387" i="4"/>
  <c r="B318" i="4"/>
  <c r="BU174" i="4"/>
  <c r="BW174" i="4"/>
  <c r="BD174" i="4"/>
  <c r="BV174" i="4"/>
  <c r="CE123" i="4"/>
  <c r="BW123" i="4"/>
  <c r="CD123" i="4"/>
  <c r="CC123" i="4"/>
  <c r="BL123" i="4"/>
  <c r="BK123" i="4"/>
  <c r="BN123" i="4"/>
  <c r="BY123" i="4"/>
  <c r="BH123" i="4"/>
  <c r="BF123" i="4"/>
  <c r="BI123" i="4"/>
  <c r="BG123" i="4"/>
  <c r="B123" i="4"/>
  <c r="BX123" i="4"/>
  <c r="BD123" i="4"/>
  <c r="CE115" i="4"/>
  <c r="BX115" i="4"/>
  <c r="BY115" i="4"/>
  <c r="BT115" i="4"/>
  <c r="BV115" i="4"/>
  <c r="BJ115" i="4"/>
  <c r="BL115" i="4"/>
  <c r="BK115" i="4"/>
  <c r="BE115" i="4"/>
  <c r="BI115" i="4"/>
  <c r="BW115" i="4"/>
  <c r="BH115" i="4"/>
  <c r="BM115" i="4"/>
  <c r="CE125" i="4"/>
  <c r="BW125" i="4"/>
  <c r="CD125" i="4"/>
  <c r="BX125" i="4"/>
  <c r="BH125" i="4"/>
  <c r="BN125" i="4"/>
  <c r="BM125" i="4"/>
  <c r="BG125" i="4"/>
  <c r="BT125" i="4"/>
  <c r="BD125" i="4"/>
  <c r="BJ125" i="4"/>
  <c r="BE125" i="4"/>
  <c r="BI125" i="4"/>
  <c r="BY125" i="4"/>
  <c r="BF125" i="4"/>
  <c r="CE82" i="4"/>
  <c r="BX82" i="4"/>
  <c r="CC82" i="4"/>
  <c r="BT82" i="4"/>
  <c r="BU82" i="4"/>
  <c r="BW82" i="4"/>
  <c r="BF82" i="4"/>
  <c r="BL82" i="4"/>
  <c r="BY82" i="4"/>
  <c r="BK82" i="4"/>
  <c r="BM82" i="4"/>
  <c r="CE112" i="4"/>
  <c r="BW112" i="4"/>
  <c r="BY112" i="4"/>
  <c r="CC112" i="4"/>
  <c r="BN112" i="4"/>
  <c r="BI112" i="4"/>
  <c r="BD112" i="4"/>
  <c r="BG112" i="4"/>
  <c r="BU112" i="4"/>
  <c r="BJ112" i="4"/>
  <c r="BE112" i="4"/>
  <c r="BC112" i="4"/>
  <c r="BX112" i="4"/>
  <c r="BF112" i="4"/>
  <c r="BU180" i="4"/>
  <c r="BW180" i="4"/>
  <c r="BV180" i="4"/>
  <c r="BD180" i="4"/>
  <c r="BG180" i="4"/>
  <c r="BF180" i="4"/>
  <c r="BE180" i="4"/>
  <c r="B383" i="4"/>
  <c r="B314" i="4"/>
  <c r="BF92" i="4"/>
  <c r="BL92" i="4"/>
  <c r="BC92" i="4"/>
  <c r="BM92" i="4"/>
  <c r="BH92" i="4"/>
  <c r="BK92" i="4"/>
  <c r="BN92" i="4"/>
  <c r="BI92" i="4"/>
  <c r="BD92" i="4"/>
  <c r="BE92" i="4"/>
  <c r="BX92" i="4"/>
  <c r="CA92" i="4"/>
  <c r="BZ92" i="4"/>
  <c r="BG92" i="4"/>
  <c r="BT92" i="4"/>
  <c r="BW92" i="4"/>
  <c r="BV92" i="4"/>
  <c r="B92" i="4"/>
  <c r="CB86" i="4"/>
  <c r="CA86" i="4"/>
  <c r="BV86" i="4"/>
  <c r="BG86" i="4"/>
  <c r="BN86" i="4"/>
  <c r="BI86" i="4"/>
  <c r="BC86" i="4"/>
  <c r="BJ86" i="4"/>
  <c r="BE86" i="4"/>
  <c r="BU125" i="4"/>
  <c r="CC115" i="4"/>
  <c r="C235" i="4"/>
  <c r="C304" i="4" s="1"/>
  <c r="C373" i="4" s="1"/>
  <c r="CD111" i="4"/>
  <c r="CE111" i="4"/>
  <c r="CB131" i="4"/>
  <c r="CA131" i="4"/>
  <c r="BV131" i="4"/>
  <c r="BX131" i="4"/>
  <c r="BW131" i="4"/>
  <c r="BU131" i="4"/>
  <c r="BT131" i="4"/>
  <c r="CD131" i="4"/>
  <c r="CC131" i="4"/>
  <c r="BZ111" i="4"/>
  <c r="BN127" i="4"/>
  <c r="BI127" i="4"/>
  <c r="BD127" i="4"/>
  <c r="BJ127" i="4"/>
  <c r="BE127" i="4"/>
  <c r="BG127" i="4"/>
  <c r="BF127" i="4"/>
  <c r="BL127" i="4"/>
  <c r="BC127" i="4"/>
  <c r="B397" i="4"/>
  <c r="B328" i="4"/>
  <c r="BX111" i="4"/>
  <c r="BW111" i="4"/>
  <c r="BY111" i="4"/>
  <c r="BT111" i="4"/>
  <c r="CC111" i="4"/>
  <c r="BV111" i="4"/>
  <c r="BF105" i="4"/>
  <c r="BL105" i="4"/>
  <c r="BG105" i="4"/>
  <c r="BM105" i="4"/>
  <c r="BH105" i="4"/>
  <c r="BC105" i="4"/>
  <c r="BN105" i="4"/>
  <c r="BI105" i="4"/>
  <c r="BD105" i="4"/>
  <c r="BY118" i="4"/>
  <c r="BE118" i="4"/>
  <c r="P13" i="4"/>
  <c r="D161" i="4" s="1"/>
  <c r="M67" i="4"/>
  <c r="M22" i="17" s="1"/>
  <c r="AH13" i="4"/>
  <c r="G67" i="4"/>
  <c r="G22" i="17" s="1"/>
  <c r="K67" i="4"/>
  <c r="K22" i="17" s="1"/>
  <c r="BD165" i="4"/>
  <c r="BD167" i="4"/>
  <c r="L141" i="4"/>
  <c r="L56" i="17" s="1"/>
  <c r="BD183" i="4"/>
  <c r="BD185" i="4"/>
  <c r="BD186" i="4"/>
  <c r="P113" i="4"/>
  <c r="E187" i="4" s="1"/>
  <c r="M141" i="4"/>
  <c r="M56" i="17" s="1"/>
  <c r="BD193" i="4"/>
  <c r="P120" i="4"/>
  <c r="E194" i="4" s="1"/>
  <c r="BD197" i="4"/>
  <c r="BU201" i="4"/>
  <c r="BD205" i="4"/>
  <c r="P133" i="4"/>
  <c r="E207" i="4" s="1"/>
  <c r="BD210" i="4"/>
  <c r="G215" i="4"/>
  <c r="G91" i="17" s="1"/>
  <c r="F215" i="4"/>
  <c r="F91" i="17" s="1"/>
  <c r="U10" i="4"/>
  <c r="U34" i="4" s="1"/>
  <c r="U46" i="4" s="1"/>
  <c r="U58" i="4" s="1"/>
  <c r="C56" i="4"/>
  <c r="C424" i="4" s="1"/>
  <c r="C13" i="4"/>
  <c r="C87" i="4" s="1"/>
  <c r="U6" i="4"/>
  <c r="U30" i="4" s="1"/>
  <c r="U42" i="4" s="1"/>
  <c r="U54" i="4" s="1"/>
  <c r="U3" i="4"/>
  <c r="D5" i="4"/>
  <c r="C7" i="4"/>
  <c r="C375" i="4" s="1"/>
  <c r="C17" i="4"/>
  <c r="C247" i="4" s="1"/>
  <c r="C316" i="4" s="1"/>
  <c r="C30" i="4"/>
  <c r="C178" i="4" s="1"/>
  <c r="C52" i="4"/>
  <c r="C66" i="4"/>
  <c r="I5" i="4"/>
  <c r="AA5" i="4" s="1"/>
  <c r="U13" i="4"/>
  <c r="C50" i="4"/>
  <c r="C9" i="4"/>
  <c r="C48" i="4"/>
  <c r="C149" i="4"/>
  <c r="C223" i="4" s="1"/>
  <c r="C73" i="4"/>
  <c r="BU185" i="4"/>
  <c r="CD109" i="4"/>
  <c r="CC109" i="4"/>
  <c r="BT109" i="4"/>
  <c r="BV96" i="4"/>
  <c r="CC96" i="4"/>
  <c r="BT96" i="4"/>
  <c r="BV163" i="4"/>
  <c r="BU90" i="4"/>
  <c r="P59" i="4"/>
  <c r="D207" i="4" s="1"/>
  <c r="C61" i="4"/>
  <c r="C209" i="4" s="1"/>
  <c r="BO79" i="4"/>
  <c r="BC155" i="4" s="1"/>
  <c r="C44" i="4"/>
  <c r="C24" i="4"/>
  <c r="C172" i="4" s="1"/>
  <c r="F5" i="4"/>
  <c r="F235" i="4" s="1"/>
  <c r="F304" i="4" s="1"/>
  <c r="H5" i="4"/>
  <c r="Z5" i="4" s="1"/>
  <c r="C11" i="4"/>
  <c r="C241" i="4" s="1"/>
  <c r="C310" i="4" s="1"/>
  <c r="C18" i="4"/>
  <c r="C35" i="4"/>
  <c r="C54" i="4"/>
  <c r="C202" i="4" s="1"/>
  <c r="C67" i="4"/>
  <c r="C6" i="4"/>
  <c r="C236" i="4" s="1"/>
  <c r="C305" i="4" s="1"/>
  <c r="C25" i="4"/>
  <c r="C59" i="4"/>
  <c r="C289" i="4" s="1"/>
  <c r="C358" i="4" s="1"/>
  <c r="U11" i="4"/>
  <c r="C70" i="4"/>
  <c r="C220" i="4"/>
  <c r="B331" i="4"/>
  <c r="A2" i="4"/>
  <c r="BY109" i="4"/>
  <c r="BW109" i="4"/>
  <c r="BY96" i="4"/>
  <c r="BW96" i="4"/>
  <c r="BW90" i="4"/>
  <c r="P23" i="4"/>
  <c r="D171" i="4" s="1"/>
  <c r="AH25" i="4"/>
  <c r="AH37" i="4"/>
  <c r="AH61" i="4"/>
  <c r="P68" i="4"/>
  <c r="P298" i="4" s="1"/>
  <c r="K140" i="4"/>
  <c r="K141" i="4" s="1"/>
  <c r="K56" i="17" s="1"/>
  <c r="L66" i="4"/>
  <c r="L67" i="4" s="1"/>
  <c r="L22" i="17" s="1"/>
  <c r="BF135" i="4"/>
  <c r="BM135" i="4"/>
  <c r="BZ135" i="4"/>
  <c r="BD135" i="4"/>
  <c r="BK135" i="4"/>
  <c r="BC135" i="4"/>
  <c r="CE135" i="4"/>
  <c r="BI135" i="4"/>
  <c r="BV135" i="4"/>
  <c r="CC135" i="4"/>
  <c r="CB135" i="4"/>
  <c r="BT135" i="4"/>
  <c r="BN135" i="4"/>
  <c r="CA135" i="4"/>
  <c r="BE135" i="4"/>
  <c r="BL135" i="4"/>
  <c r="BY135" i="4"/>
  <c r="BG135" i="4"/>
  <c r="BH135" i="4"/>
  <c r="BJ135" i="4"/>
  <c r="BU135" i="4"/>
  <c r="BW135" i="4"/>
  <c r="BX135" i="4"/>
  <c r="CD135" i="4"/>
  <c r="BN137" i="4"/>
  <c r="BI137" i="4"/>
  <c r="BD137" i="4"/>
  <c r="BJ137" i="4"/>
  <c r="BE137" i="4"/>
  <c r="BK137" i="4"/>
  <c r="BF137" i="4"/>
  <c r="BL137" i="4"/>
  <c r="BG137" i="4"/>
  <c r="BH137" i="4"/>
  <c r="BT137" i="4"/>
  <c r="BW137" i="4"/>
  <c r="CD137" i="4"/>
  <c r="CC137" i="4"/>
  <c r="BC137" i="4"/>
  <c r="BZ137" i="4"/>
  <c r="CB137" i="4"/>
  <c r="CE137" i="4"/>
  <c r="BV137" i="4"/>
  <c r="BX137" i="4"/>
  <c r="CA137" i="4"/>
  <c r="BY137" i="4"/>
  <c r="B137" i="4"/>
  <c r="BM137" i="4"/>
  <c r="BX160" i="4"/>
  <c r="BW160" i="4"/>
  <c r="BV160" i="4"/>
  <c r="BF160" i="4"/>
  <c r="BU160" i="4"/>
  <c r="BG160" i="4"/>
  <c r="BG179" i="4"/>
  <c r="BF179" i="4"/>
  <c r="BE179" i="4"/>
  <c r="BU179" i="4"/>
  <c r="BX179" i="4"/>
  <c r="BV179" i="4"/>
  <c r="BW179" i="4"/>
  <c r="BX191" i="4"/>
  <c r="BW191" i="4"/>
  <c r="BV191" i="4"/>
  <c r="BU191" i="4"/>
  <c r="BD191" i="4"/>
  <c r="BF191" i="4"/>
  <c r="BE191" i="4"/>
  <c r="BG191" i="4"/>
  <c r="B380" i="4"/>
  <c r="B311" i="4"/>
  <c r="B341" i="4"/>
  <c r="B410" i="4"/>
  <c r="B351" i="4"/>
  <c r="B420" i="4"/>
  <c r="B425" i="4"/>
  <c r="B356" i="4"/>
  <c r="BF7" i="4"/>
  <c r="A81" i="4"/>
  <c r="CD81" i="4" s="1"/>
  <c r="BH7" i="4"/>
  <c r="BE7" i="4"/>
  <c r="BN9" i="4"/>
  <c r="BM9" i="4"/>
  <c r="BG9" i="4"/>
  <c r="BH9" i="4"/>
  <c r="BF11" i="4"/>
  <c r="BC11" i="4"/>
  <c r="BI11" i="4"/>
  <c r="BF30" i="4"/>
  <c r="BH30" i="4"/>
  <c r="CF61" i="4"/>
  <c r="BO53" i="4"/>
  <c r="BO61" i="4"/>
  <c r="P128" i="4"/>
  <c r="E202" i="4" s="1"/>
  <c r="B206" i="4"/>
  <c r="BD160" i="4"/>
  <c r="DC113" i="4"/>
  <c r="DC39" i="4"/>
  <c r="C39" i="4"/>
  <c r="B396" i="4"/>
  <c r="B327" i="4"/>
  <c r="B431" i="4"/>
  <c r="B362" i="4"/>
  <c r="I66" i="4"/>
  <c r="I67" i="4" s="1"/>
  <c r="I22" i="17" s="1"/>
  <c r="O67" i="4"/>
  <c r="O22" i="17" s="1"/>
  <c r="E67" i="4"/>
  <c r="E22" i="17" s="1"/>
  <c r="B164" i="4"/>
  <c r="BX122" i="4"/>
  <c r="BW122" i="4"/>
  <c r="CC122" i="4"/>
  <c r="BT122" i="4"/>
  <c r="CD122" i="4"/>
  <c r="BY122" i="4"/>
  <c r="CB122" i="4"/>
  <c r="BV122" i="4"/>
  <c r="BL122" i="4"/>
  <c r="BF122" i="4"/>
  <c r="CE122" i="4"/>
  <c r="BU122" i="4"/>
  <c r="BH122" i="4"/>
  <c r="BI122" i="4"/>
  <c r="CA122" i="4"/>
  <c r="BD122" i="4"/>
  <c r="BM122" i="4"/>
  <c r="BJ122" i="4"/>
  <c r="BN122" i="4"/>
  <c r="B122" i="4"/>
  <c r="BG122" i="4"/>
  <c r="BK122" i="4"/>
  <c r="BE122" i="4"/>
  <c r="BC122" i="4"/>
  <c r="BZ122" i="4"/>
  <c r="BX119" i="4"/>
  <c r="BY119" i="4"/>
  <c r="BH119" i="4"/>
  <c r="BN119" i="4"/>
  <c r="BK119" i="4"/>
  <c r="BD119" i="4"/>
  <c r="BI119" i="4"/>
  <c r="BM119" i="4"/>
  <c r="BF119" i="4"/>
  <c r="BW119" i="4"/>
  <c r="BC119" i="4"/>
  <c r="BG119" i="4"/>
  <c r="BJ119" i="4"/>
  <c r="BL119" i="4"/>
  <c r="BE119" i="4"/>
  <c r="B119" i="4"/>
  <c r="BW169" i="4"/>
  <c r="BV169" i="4"/>
  <c r="BX169" i="4"/>
  <c r="BF169" i="4"/>
  <c r="BU169" i="4"/>
  <c r="BD169" i="4"/>
  <c r="BG169" i="4"/>
  <c r="P33" i="4"/>
  <c r="D181" i="4" s="1"/>
  <c r="BD179" i="4"/>
  <c r="N67" i="4"/>
  <c r="N69" i="4" s="1"/>
  <c r="N10" i="18" s="1"/>
  <c r="B166" i="4"/>
  <c r="A317" i="4"/>
  <c r="BU137" i="4"/>
  <c r="BE160" i="4"/>
  <c r="C398" i="4"/>
  <c r="CC95" i="4"/>
  <c r="CE91" i="4"/>
  <c r="BU91" i="4"/>
  <c r="BV91" i="4"/>
  <c r="CB91" i="4"/>
  <c r="CA91" i="4"/>
  <c r="BZ91" i="4"/>
  <c r="CE106" i="4"/>
  <c r="CD106" i="4"/>
  <c r="BZ106" i="4"/>
  <c r="CB106" i="4"/>
  <c r="CA106" i="4"/>
  <c r="BV106" i="4"/>
  <c r="CE95" i="4"/>
  <c r="CD95" i="4"/>
  <c r="BZ95" i="4"/>
  <c r="CB95" i="4"/>
  <c r="CA95" i="4"/>
  <c r="BV95" i="4"/>
  <c r="DC120" i="4"/>
  <c r="DC46" i="4"/>
  <c r="BX86" i="4"/>
  <c r="BW86" i="4"/>
  <c r="CC86" i="4"/>
  <c r="BT86" i="4"/>
  <c r="BY86" i="4"/>
  <c r="BU86" i="4"/>
  <c r="CE86" i="4"/>
  <c r="CD86" i="4"/>
  <c r="BZ86" i="4"/>
  <c r="BX180" i="4"/>
  <c r="BV112" i="4"/>
  <c r="CA112" i="4"/>
  <c r="CB112" i="4"/>
  <c r="BV82" i="4"/>
  <c r="CA82" i="4"/>
  <c r="CB82" i="4"/>
  <c r="BV125" i="4"/>
  <c r="CA125" i="4"/>
  <c r="CB125" i="4"/>
  <c r="BZ115" i="4"/>
  <c r="CA115" i="4"/>
  <c r="CB115" i="4"/>
  <c r="BV123" i="4"/>
  <c r="CA123" i="4"/>
  <c r="CB123" i="4"/>
  <c r="BX174" i="4"/>
  <c r="BZ112" i="4"/>
  <c r="CD112" i="4"/>
  <c r="BZ82" i="4"/>
  <c r="CD82" i="4"/>
  <c r="CC125" i="4"/>
  <c r="BZ125" i="4"/>
  <c r="CD115" i="4"/>
  <c r="BU115" i="4"/>
  <c r="BU123" i="4"/>
  <c r="BZ123" i="4"/>
  <c r="P39" i="4"/>
  <c r="D187" i="4" s="1"/>
  <c r="P87" i="4"/>
  <c r="E161" i="4" s="1"/>
  <c r="P97" i="4"/>
  <c r="E171" i="4" s="1"/>
  <c r="D67" i="4"/>
  <c r="P135" i="4"/>
  <c r="E209" i="4" s="1"/>
  <c r="P61" i="4"/>
  <c r="D209" i="4" s="1"/>
  <c r="E141" i="4"/>
  <c r="E56" i="17" s="1"/>
  <c r="F66" i="4"/>
  <c r="F67" i="4" s="1"/>
  <c r="DD92" i="4"/>
  <c r="DD18" i="4"/>
  <c r="CA7" i="4"/>
  <c r="BV7" i="4"/>
  <c r="CB7" i="4"/>
  <c r="BW7" i="4"/>
  <c r="CC7" i="4"/>
  <c r="BT7" i="4"/>
  <c r="CD7" i="4"/>
  <c r="BU7" i="4"/>
  <c r="BX7" i="4"/>
  <c r="A155" i="4"/>
  <c r="CE7" i="4"/>
  <c r="B237" i="4"/>
  <c r="BZ7" i="4"/>
  <c r="BY7" i="4"/>
  <c r="BL7" i="4"/>
  <c r="BD7" i="4"/>
  <c r="BN7" i="4"/>
  <c r="BI7" i="4"/>
  <c r="BK7" i="4"/>
  <c r="B7" i="4"/>
  <c r="BJ7" i="4"/>
  <c r="BG7" i="4"/>
  <c r="BM7" i="4"/>
  <c r="BC7" i="4"/>
  <c r="CA9" i="4"/>
  <c r="BV9" i="4"/>
  <c r="CB9" i="4"/>
  <c r="BW9" i="4"/>
  <c r="CC9" i="4"/>
  <c r="BT9" i="4"/>
  <c r="CD9" i="4"/>
  <c r="BU9" i="4"/>
  <c r="BX9" i="4"/>
  <c r="A83" i="4"/>
  <c r="CE9" i="4"/>
  <c r="BZ9" i="4"/>
  <c r="B239" i="4"/>
  <c r="BY9" i="4"/>
  <c r="A157" i="4"/>
  <c r="BD9" i="4"/>
  <c r="BJ9" i="4"/>
  <c r="BE9" i="4"/>
  <c r="BF9" i="4"/>
  <c r="BK9" i="4"/>
  <c r="BC9" i="4"/>
  <c r="BL9" i="4"/>
  <c r="BI9" i="4"/>
  <c r="B9" i="4"/>
  <c r="CA11" i="4"/>
  <c r="BV11" i="4"/>
  <c r="CB11" i="4"/>
  <c r="BW11" i="4"/>
  <c r="CC11" i="4"/>
  <c r="BT11" i="4"/>
  <c r="CD11" i="4"/>
  <c r="BU11" i="4"/>
  <c r="BX11" i="4"/>
  <c r="BZ11" i="4"/>
  <c r="A85" i="4"/>
  <c r="BY11" i="4"/>
  <c r="A159" i="4"/>
  <c r="B241" i="4"/>
  <c r="CE11" i="4"/>
  <c r="BL11" i="4"/>
  <c r="BG11" i="4"/>
  <c r="BM11" i="4"/>
  <c r="BH11" i="4"/>
  <c r="BN11" i="4"/>
  <c r="BE11" i="4"/>
  <c r="B11" i="4"/>
  <c r="BD11" i="4"/>
  <c r="BJ11" i="4"/>
  <c r="BK11" i="4"/>
  <c r="DB89" i="4"/>
  <c r="DB15" i="4"/>
  <c r="DB17" i="4"/>
  <c r="DB91" i="4"/>
  <c r="CA20" i="4"/>
  <c r="BZ20" i="4"/>
  <c r="CD20" i="4"/>
  <c r="BW20" i="4"/>
  <c r="BU20" i="4"/>
  <c r="BT20" i="4"/>
  <c r="CB20" i="4"/>
  <c r="BY20" i="4"/>
  <c r="CC20" i="4"/>
  <c r="BX20" i="4"/>
  <c r="A94" i="4"/>
  <c r="CE20" i="4"/>
  <c r="A168" i="4"/>
  <c r="B250" i="4"/>
  <c r="BJ20" i="4"/>
  <c r="BD20" i="4"/>
  <c r="BE20" i="4"/>
  <c r="BV20" i="4"/>
  <c r="BN20" i="4"/>
  <c r="BM20" i="4"/>
  <c r="BI20" i="4"/>
  <c r="BK20" i="4"/>
  <c r="B20" i="4"/>
  <c r="BF20" i="4"/>
  <c r="BL20" i="4"/>
  <c r="BG20" i="4"/>
  <c r="BC20" i="4"/>
  <c r="DB22" i="4"/>
  <c r="DB96" i="4"/>
  <c r="CA30" i="4"/>
  <c r="CB30" i="4"/>
  <c r="BT30" i="4"/>
  <c r="BW30" i="4"/>
  <c r="BV30" i="4"/>
  <c r="BZ30" i="4"/>
  <c r="CC30" i="4"/>
  <c r="BU30" i="4"/>
  <c r="BY30" i="4"/>
  <c r="CE30" i="4"/>
  <c r="CE33" i="4" s="1"/>
  <c r="A178" i="4"/>
  <c r="BD178" i="4" s="1"/>
  <c r="BX30" i="4"/>
  <c r="B260" i="4"/>
  <c r="CD30" i="4"/>
  <c r="A104" i="4"/>
  <c r="BI30" i="4"/>
  <c r="BD30" i="4"/>
  <c r="BM30" i="4"/>
  <c r="BC30" i="4"/>
  <c r="BN30" i="4"/>
  <c r="BE30" i="4"/>
  <c r="BK30" i="4"/>
  <c r="BG30" i="4"/>
  <c r="BJ30" i="4"/>
  <c r="BL30" i="4"/>
  <c r="B30" i="4"/>
  <c r="DB35" i="4"/>
  <c r="DB109" i="4"/>
  <c r="DB37" i="4"/>
  <c r="DB111" i="4"/>
  <c r="DB45" i="4"/>
  <c r="DB119" i="4"/>
  <c r="DB123" i="4"/>
  <c r="DB49" i="4"/>
  <c r="DB51" i="4"/>
  <c r="DB125" i="4"/>
  <c r="CF25" i="4"/>
  <c r="BT27" i="4"/>
  <c r="CF27" i="4" s="1"/>
  <c r="CF38" i="4"/>
  <c r="CF42" i="4"/>
  <c r="CF56" i="4"/>
  <c r="BT59" i="4"/>
  <c r="CF59" i="4" s="1"/>
  <c r="P27" i="4"/>
  <c r="D175" i="4" s="1"/>
  <c r="C95" i="4"/>
  <c r="BV197" i="4"/>
  <c r="BU197" i="4"/>
  <c r="BX197" i="4"/>
  <c r="BW197" i="4"/>
  <c r="BV189" i="4"/>
  <c r="BU189" i="4"/>
  <c r="BX189" i="4"/>
  <c r="BW189" i="4"/>
  <c r="BV199" i="4"/>
  <c r="BU199" i="4"/>
  <c r="BX199" i="4"/>
  <c r="BW199" i="4"/>
  <c r="BW136" i="4"/>
  <c r="CC136" i="4"/>
  <c r="BX136" i="4"/>
  <c r="CD136" i="4"/>
  <c r="BY136" i="4"/>
  <c r="BT136" i="4"/>
  <c r="CE136" i="4"/>
  <c r="BZ136" i="4"/>
  <c r="BU136" i="4"/>
  <c r="BV136" i="4"/>
  <c r="CB136" i="4"/>
  <c r="BD136" i="4"/>
  <c r="BT124" i="4"/>
  <c r="CD124" i="4"/>
  <c r="CC124" i="4"/>
  <c r="CE124" i="4"/>
  <c r="BZ124" i="4"/>
  <c r="BY124" i="4"/>
  <c r="CB124" i="4"/>
  <c r="CA124" i="4"/>
  <c r="BV124" i="4"/>
  <c r="BU124" i="4"/>
  <c r="BX124" i="4"/>
  <c r="BL124" i="4"/>
  <c r="BV186" i="4"/>
  <c r="BU186" i="4"/>
  <c r="BX186" i="4"/>
  <c r="BW186" i="4"/>
  <c r="C114" i="4"/>
  <c r="C408" i="4"/>
  <c r="C270" i="4"/>
  <c r="C339" i="4" s="1"/>
  <c r="C264" i="4"/>
  <c r="C333" i="4" s="1"/>
  <c r="J5" i="4"/>
  <c r="C72" i="4"/>
  <c r="G5" i="4"/>
  <c r="C8" i="4"/>
  <c r="C23" i="4"/>
  <c r="C47" i="4"/>
  <c r="N5" i="4"/>
  <c r="C51" i="4"/>
  <c r="C68" i="4"/>
  <c r="S5" i="4"/>
  <c r="U9" i="4"/>
  <c r="M5" i="4"/>
  <c r="C19" i="4"/>
  <c r="C33" i="4"/>
  <c r="C36" i="4"/>
  <c r="C49" i="4"/>
  <c r="C55" i="4"/>
  <c r="C60" i="4"/>
  <c r="C15" i="4"/>
  <c r="C29" i="4"/>
  <c r="C43" i="4"/>
  <c r="C63" i="4"/>
  <c r="C144" i="4"/>
  <c r="C147" i="4"/>
  <c r="C221" i="4" s="1"/>
  <c r="CC93" i="4"/>
  <c r="C148" i="4"/>
  <c r="C222" i="4" s="1"/>
  <c r="BE166" i="4"/>
  <c r="BD166" i="4"/>
  <c r="BG166" i="4"/>
  <c r="BV158" i="4"/>
  <c r="BU158" i="4"/>
  <c r="BX158" i="4"/>
  <c r="BT119" i="4"/>
  <c r="CD119" i="4"/>
  <c r="BU119" i="4"/>
  <c r="CE119" i="4"/>
  <c r="BZ119" i="4"/>
  <c r="CC119" i="4"/>
  <c r="CB119" i="4"/>
  <c r="CA119" i="4"/>
  <c r="BV119" i="4"/>
  <c r="BT93" i="4"/>
  <c r="BY93" i="4"/>
  <c r="BU93" i="4"/>
  <c r="CE93" i="4"/>
  <c r="CD93" i="4"/>
  <c r="BZ93" i="4"/>
  <c r="CB93" i="4"/>
  <c r="CA93" i="4"/>
  <c r="BV93" i="4"/>
  <c r="BV177" i="4"/>
  <c r="BU177" i="4"/>
  <c r="BX177" i="4"/>
  <c r="BV183" i="4"/>
  <c r="BU183" i="4"/>
  <c r="BX183" i="4"/>
  <c r="DC128" i="4"/>
  <c r="DC54" i="4"/>
  <c r="BN118" i="4"/>
  <c r="BI118" i="4"/>
  <c r="BD118" i="4"/>
  <c r="BT118" i="4"/>
  <c r="BK118" i="4"/>
  <c r="BV118" i="4"/>
  <c r="BF118" i="4"/>
  <c r="BL118" i="4"/>
  <c r="CB118" i="4"/>
  <c r="CA118" i="4"/>
  <c r="BH118" i="4"/>
  <c r="BW118" i="4"/>
  <c r="CC118" i="4"/>
  <c r="BJ118" i="4"/>
  <c r="BC118" i="4"/>
  <c r="CD118" i="4"/>
  <c r="BU118" i="4"/>
  <c r="BM118" i="4"/>
  <c r="BX118" i="4"/>
  <c r="BG118" i="4"/>
  <c r="BZ118" i="4"/>
  <c r="H215" i="4"/>
  <c r="H91" i="17" s="1"/>
  <c r="BX173" i="4"/>
  <c r="BV173" i="4"/>
  <c r="BF173" i="4"/>
  <c r="BU173" i="4"/>
  <c r="BW173" i="4"/>
  <c r="BD173" i="4"/>
  <c r="BF201" i="4"/>
  <c r="BE201" i="4"/>
  <c r="BD201" i="4"/>
  <c r="BW205" i="4"/>
  <c r="BV205" i="4"/>
  <c r="BV207" i="4" s="1"/>
  <c r="BU205" i="4"/>
  <c r="BF213" i="4"/>
  <c r="BE213" i="4"/>
  <c r="BD213" i="4"/>
  <c r="B324" i="4"/>
  <c r="B393" i="4"/>
  <c r="B408" i="4"/>
  <c r="B339" i="4"/>
  <c r="B415" i="4"/>
  <c r="B346" i="4"/>
  <c r="B429" i="4"/>
  <c r="B360" i="4"/>
  <c r="A360" i="4" s="1"/>
  <c r="DC87" i="4"/>
  <c r="DC13" i="4"/>
  <c r="DC97" i="4"/>
  <c r="DC23" i="4"/>
  <c r="BX84" i="4"/>
  <c r="BW84" i="4"/>
  <c r="CC84" i="4"/>
  <c r="CE84" i="4"/>
  <c r="CD84" i="4"/>
  <c r="BZ84" i="4"/>
  <c r="CA138" i="4"/>
  <c r="BV138" i="4"/>
  <c r="BT138" i="4"/>
  <c r="CD138" i="4"/>
  <c r="BY138" i="4"/>
  <c r="BX138" i="4"/>
  <c r="BC103" i="4"/>
  <c r="BZ62" i="4"/>
  <c r="CD62" i="4"/>
  <c r="BY41" i="4"/>
  <c r="BY46" i="4" s="1"/>
  <c r="BU41" i="4"/>
  <c r="CB29" i="4"/>
  <c r="BX29" i="4"/>
  <c r="CD29" i="4"/>
  <c r="BT8" i="4"/>
  <c r="CC8" i="4"/>
  <c r="CD8" i="4"/>
  <c r="BT19" i="4"/>
  <c r="BZ19" i="4"/>
  <c r="CC19" i="4"/>
  <c r="BT10" i="4"/>
  <c r="CC10" i="4"/>
  <c r="CD10" i="4"/>
  <c r="CB21" i="4"/>
  <c r="BT21" i="4"/>
  <c r="BZ21" i="4"/>
  <c r="D141" i="4"/>
  <c r="D56" i="17" s="1"/>
  <c r="BZ29" i="4"/>
  <c r="BT29" i="4"/>
  <c r="BU8" i="4"/>
  <c r="BV8" i="4"/>
  <c r="BU19" i="4"/>
  <c r="CB19" i="4"/>
  <c r="BU10" i="4"/>
  <c r="BV10" i="4"/>
  <c r="BV21" i="4"/>
  <c r="CD21" i="4"/>
  <c r="B160" i="6"/>
  <c r="F148" i="6" s="1"/>
  <c r="N118" i="18"/>
  <c r="CW3" i="6"/>
  <c r="Z118" i="18"/>
  <c r="DK3" i="14"/>
  <c r="P102" i="16"/>
  <c r="V5" i="6"/>
  <c r="X5" i="6" s="1"/>
  <c r="Z5" i="6" s="1"/>
  <c r="AB5" i="6" s="1"/>
  <c r="AD5" i="6" s="1"/>
  <c r="CV29" i="6"/>
  <c r="CW29" i="14"/>
  <c r="D41" i="18"/>
  <c r="E41" i="18" s="1"/>
  <c r="F41" i="18" s="1"/>
  <c r="G41" i="18" s="1"/>
  <c r="H41" i="18" s="1"/>
  <c r="AA118" i="18"/>
  <c r="CW34" i="6"/>
  <c r="W102" i="16"/>
  <c r="E102" i="16"/>
  <c r="D153" i="4"/>
  <c r="U5" i="4" s="1"/>
  <c r="P107" i="4"/>
  <c r="E181" i="4" s="1"/>
  <c r="CY3" i="4"/>
  <c r="CV3" i="14"/>
  <c r="Q102" i="16"/>
  <c r="K102" i="16"/>
  <c r="M175" i="14"/>
  <c r="U102" i="16"/>
  <c r="I175" i="14"/>
  <c r="V102" i="16"/>
  <c r="H102" i="16"/>
  <c r="P36" i="16"/>
  <c r="J118" i="18"/>
  <c r="I5" i="6"/>
  <c r="J349" i="6" s="1"/>
  <c r="H347" i="6" s="1"/>
  <c r="B134" i="6"/>
  <c r="F122" i="6" s="1"/>
  <c r="CY151" i="4"/>
  <c r="CW40" i="6"/>
  <c r="K152" i="4"/>
  <c r="N152" i="4"/>
  <c r="CW3" i="14"/>
  <c r="DK2" i="6"/>
  <c r="U110" i="16"/>
  <c r="B96" i="2"/>
  <c r="CW39" i="17"/>
  <c r="P44" i="16"/>
  <c r="G118" i="18"/>
  <c r="P175" i="14"/>
  <c r="CV33" i="6"/>
  <c r="S175" i="14"/>
  <c r="AE110" i="16"/>
  <c r="AG110" i="16" s="1"/>
  <c r="AI110" i="16" s="1"/>
  <c r="AK110" i="16" s="1"/>
  <c r="AM110" i="16" s="1"/>
  <c r="AO110" i="16" s="1"/>
  <c r="AQ110" i="16" s="1"/>
  <c r="AS110" i="16" s="1"/>
  <c r="AU110" i="16" s="1"/>
  <c r="AW110" i="16" s="1"/>
  <c r="AY110" i="16" s="1"/>
  <c r="BA110" i="16" s="1"/>
  <c r="CZ3" i="4"/>
  <c r="CW29" i="6"/>
  <c r="CV371" i="4"/>
  <c r="CW74" i="14"/>
  <c r="CV5" i="17"/>
  <c r="M102" i="16"/>
  <c r="D76" i="17"/>
  <c r="E76" i="17" s="1"/>
  <c r="F76" i="17" s="1"/>
  <c r="G76" i="17" s="1"/>
  <c r="H76" i="17" s="1"/>
  <c r="E73" i="14"/>
  <c r="F73" i="14" s="1"/>
  <c r="G73" i="14" s="1"/>
  <c r="H73" i="14" s="1"/>
  <c r="I73" i="14" s="1"/>
  <c r="O118" i="18"/>
  <c r="D111" i="2"/>
  <c r="E111" i="2" s="1"/>
  <c r="F111" i="2" s="1"/>
  <c r="G111" i="2" s="1"/>
  <c r="H111" i="2" s="1"/>
  <c r="C201" i="17"/>
  <c r="DL3" i="2"/>
  <c r="E42" i="6"/>
  <c r="F42" i="6" s="1"/>
  <c r="G42" i="6" s="1"/>
  <c r="H42" i="6" s="1"/>
  <c r="I42" i="6" s="1"/>
  <c r="DL3" i="14"/>
  <c r="BD177" i="4"/>
  <c r="DL3" i="18"/>
  <c r="CZ77" i="4"/>
  <c r="CY77" i="4"/>
  <c r="CZ151" i="4"/>
  <c r="CV34" i="6"/>
  <c r="CV235" i="4"/>
  <c r="CV302" i="4"/>
  <c r="CW37" i="14"/>
  <c r="CV37" i="14"/>
  <c r="N175" i="14"/>
  <c r="W175" i="14"/>
  <c r="D373" i="4"/>
  <c r="E373" i="4" s="1"/>
  <c r="F373" i="4" s="1"/>
  <c r="G373" i="4" s="1"/>
  <c r="H373" i="4" s="1"/>
  <c r="CW2" i="14"/>
  <c r="CW74" i="17"/>
  <c r="M118" i="18"/>
  <c r="CV74" i="17"/>
  <c r="F175" i="14"/>
  <c r="L110" i="16"/>
  <c r="BC153" i="4"/>
  <c r="BD153" i="4" s="1"/>
  <c r="BE153" i="4" s="1"/>
  <c r="BF153" i="4" s="1"/>
  <c r="BG153" i="4" s="1"/>
  <c r="BT153" i="4"/>
  <c r="BU153" i="4" s="1"/>
  <c r="BV153" i="4" s="1"/>
  <c r="BW153" i="4" s="1"/>
  <c r="BX153" i="4" s="1"/>
  <c r="CV38" i="6"/>
  <c r="DK3" i="6"/>
  <c r="F102" i="16"/>
  <c r="DK3" i="17"/>
  <c r="E5" i="6"/>
  <c r="H349" i="6" s="1"/>
  <c r="AA175" i="14"/>
  <c r="V118" i="18"/>
  <c r="DL2" i="2"/>
  <c r="D7" i="16"/>
  <c r="L7" i="16" s="1"/>
  <c r="CW53" i="16" s="1"/>
  <c r="T175" i="14"/>
  <c r="CV233" i="4"/>
  <c r="CV3" i="6"/>
  <c r="CV40" i="6"/>
  <c r="B40" i="6" s="1"/>
  <c r="I152" i="4"/>
  <c r="CW71" i="14"/>
  <c r="CV71" i="14"/>
  <c r="M84" i="17"/>
  <c r="CV29" i="14"/>
  <c r="U36" i="14" s="1"/>
  <c r="S110" i="16"/>
  <c r="J110" i="16"/>
  <c r="DU3" i="4"/>
  <c r="S118" i="18"/>
  <c r="DV3" i="4"/>
  <c r="L175" i="14"/>
  <c r="L118" i="18"/>
  <c r="N102" i="16"/>
  <c r="L102" i="16"/>
  <c r="K5" i="6"/>
  <c r="X175" i="14"/>
  <c r="AA110" i="16"/>
  <c r="W118" i="18"/>
  <c r="C205" i="17"/>
  <c r="DV2" i="4"/>
  <c r="B3" i="2"/>
  <c r="CW5" i="17"/>
  <c r="J102" i="16"/>
  <c r="CV2" i="14"/>
  <c r="DK2" i="14"/>
  <c r="CX49" i="16"/>
  <c r="B82" i="6"/>
  <c r="F70" i="6" s="1"/>
  <c r="E4" i="6"/>
  <c r="G4" i="6" s="1"/>
  <c r="I4" i="6" s="1"/>
  <c r="K4" i="6" s="1"/>
  <c r="M4" i="6" s="1"/>
  <c r="DL2" i="18"/>
  <c r="CW18" i="18"/>
  <c r="D174" i="6"/>
  <c r="D96" i="6"/>
  <c r="L18" i="6"/>
  <c r="C53" i="6" s="1"/>
  <c r="F18" i="6"/>
  <c r="C51" i="6" s="1"/>
  <c r="CW62" i="16"/>
  <c r="CV55" i="18"/>
  <c r="D97" i="2"/>
  <c r="E97" i="2" s="1"/>
  <c r="F97" i="2" s="1"/>
  <c r="G97" i="2" s="1"/>
  <c r="H97" i="2" s="1"/>
  <c r="S102" i="16"/>
  <c r="M74" i="17"/>
  <c r="U118" i="18"/>
  <c r="Z102" i="16"/>
  <c r="CW33" i="6"/>
  <c r="E175" i="14"/>
  <c r="CW36" i="16"/>
  <c r="I102" i="16"/>
  <c r="P5" i="2"/>
  <c r="CX36" i="16"/>
  <c r="K118" i="18"/>
  <c r="K175" i="14"/>
  <c r="R175" i="14"/>
  <c r="X118" i="18"/>
  <c r="E379" i="6"/>
  <c r="P110" i="16"/>
  <c r="H110" i="16"/>
  <c r="D210" i="17"/>
  <c r="E210" i="17" s="1"/>
  <c r="F210" i="17" s="1"/>
  <c r="G210" i="17" s="1"/>
  <c r="H210" i="17" s="1"/>
  <c r="AC110" i="16"/>
  <c r="O175" i="14"/>
  <c r="DL2" i="14"/>
  <c r="H118" i="18"/>
  <c r="Y175" i="14"/>
  <c r="CW38" i="6"/>
  <c r="I118" i="18"/>
  <c r="D54" i="18"/>
  <c r="CW44" i="16"/>
  <c r="G102" i="16"/>
  <c r="G175" i="14"/>
  <c r="B48" i="2"/>
  <c r="AB175" i="14"/>
  <c r="C18" i="6"/>
  <c r="C50" i="6" s="1"/>
  <c r="F118" i="18"/>
  <c r="E105" i="16"/>
  <c r="D102" i="16"/>
  <c r="N110" i="16"/>
  <c r="CW4" i="18"/>
  <c r="D148" i="6"/>
  <c r="CW46" i="18"/>
  <c r="CW49" i="16"/>
  <c r="CV46" i="18"/>
  <c r="J175" i="14"/>
  <c r="G5" i="6"/>
  <c r="DK2" i="17"/>
  <c r="DJ2" i="17"/>
  <c r="E118" i="18"/>
  <c r="D118" i="18"/>
  <c r="U175" i="14"/>
  <c r="C102" i="16"/>
  <c r="Y110" i="16"/>
  <c r="CV39" i="17"/>
  <c r="D50" i="2"/>
  <c r="E50" i="2" s="1"/>
  <c r="F50" i="2" s="1"/>
  <c r="G50" i="2" s="1"/>
  <c r="H50" i="2" s="1"/>
  <c r="Q175" i="14"/>
  <c r="Q118" i="18"/>
  <c r="DK3" i="18"/>
  <c r="T102" i="16"/>
  <c r="O102" i="16"/>
  <c r="T118" i="18"/>
  <c r="H175" i="14"/>
  <c r="DJ3" i="17"/>
  <c r="M5" i="6"/>
  <c r="T349" i="6" s="1"/>
  <c r="O347" i="6" s="1"/>
  <c r="R118" i="18"/>
  <c r="DU2" i="4"/>
  <c r="P5" i="4" s="1"/>
  <c r="P235" i="4" s="1"/>
  <c r="Y118" i="18"/>
  <c r="CX44" i="16"/>
  <c r="F110" i="16"/>
  <c r="V175" i="14"/>
  <c r="Z175" i="14"/>
  <c r="P118" i="18"/>
  <c r="X102" i="16"/>
  <c r="R102" i="16"/>
  <c r="Y102" i="16"/>
  <c r="W110" i="16"/>
  <c r="B108" i="6"/>
  <c r="CV50" i="18"/>
  <c r="G27" i="18" s="1"/>
  <c r="DK2" i="18"/>
  <c r="CV18" i="18"/>
  <c r="C16" i="18" s="1"/>
  <c r="B186" i="6"/>
  <c r="D200" i="6"/>
  <c r="F200" i="6" s="1"/>
  <c r="H200" i="6" s="1"/>
  <c r="J200" i="6" s="1"/>
  <c r="L200" i="6" s="1"/>
  <c r="D122" i="6"/>
  <c r="CW55" i="18"/>
  <c r="I18" i="6"/>
  <c r="C52" i="6" s="1"/>
  <c r="CX62" i="16"/>
  <c r="CW70" i="14"/>
  <c r="CV3" i="18"/>
  <c r="C3" i="18" s="1"/>
  <c r="M95" i="17"/>
  <c r="I100" i="14" l="1"/>
  <c r="H95" i="17" s="1"/>
  <c r="G36" i="16"/>
  <c r="G44" i="16" s="1"/>
  <c r="B55" i="16"/>
  <c r="N7" i="16"/>
  <c r="F36" i="16"/>
  <c r="F44" i="16" s="1"/>
  <c r="N8" i="16"/>
  <c r="B37" i="16"/>
  <c r="B45" i="16" s="1"/>
  <c r="B56" i="16" s="1"/>
  <c r="C26" i="16"/>
  <c r="AF133" i="16" s="1"/>
  <c r="C23" i="16"/>
  <c r="W133" i="16" s="1"/>
  <c r="C16" i="16"/>
  <c r="J133" i="16" s="1"/>
  <c r="K36" i="16"/>
  <c r="K44" i="16" s="1"/>
  <c r="C12" i="17"/>
  <c r="B16" i="12"/>
  <c r="B24" i="12"/>
  <c r="B28" i="12"/>
  <c r="B10" i="12"/>
  <c r="E30" i="12"/>
  <c r="B4" i="12"/>
  <c r="H5" i="14"/>
  <c r="I5" i="14"/>
  <c r="P5" i="14"/>
  <c r="Q64" i="14"/>
  <c r="F98" i="14" s="1"/>
  <c r="D8" i="16"/>
  <c r="L8" i="16" s="1"/>
  <c r="C59" i="17"/>
  <c r="C10" i="16"/>
  <c r="AL133" i="16" s="1"/>
  <c r="C24" i="16"/>
  <c r="Z133" i="16" s="1"/>
  <c r="D106" i="16"/>
  <c r="C31" i="16"/>
  <c r="E8" i="16"/>
  <c r="C20" i="16"/>
  <c r="B39" i="16"/>
  <c r="B58" i="16" s="1"/>
  <c r="M36" i="16"/>
  <c r="M44" i="16" s="1"/>
  <c r="B3" i="16"/>
  <c r="G41" i="17"/>
  <c r="I5" i="2"/>
  <c r="C18" i="2"/>
  <c r="C63" i="2" s="1"/>
  <c r="S5" i="2"/>
  <c r="M5" i="2"/>
  <c r="C20" i="2"/>
  <c r="C65" i="2" s="1"/>
  <c r="B184" i="4"/>
  <c r="A355" i="4"/>
  <c r="A424" i="4" s="1"/>
  <c r="C31" i="14"/>
  <c r="P8" i="16"/>
  <c r="O8" i="16"/>
  <c r="C22" i="16"/>
  <c r="T133" i="16" s="1"/>
  <c r="O36" i="16"/>
  <c r="O44" i="16" s="1"/>
  <c r="C27" i="16"/>
  <c r="AI141" i="16" s="1"/>
  <c r="D107" i="16"/>
  <c r="D112" i="16" s="1"/>
  <c r="J36" i="16"/>
  <c r="J44" i="16" s="1"/>
  <c r="C12" i="16"/>
  <c r="AO133" i="16" s="1"/>
  <c r="V45" i="14"/>
  <c r="V79" i="14" s="1"/>
  <c r="E205" i="17"/>
  <c r="E201" i="17"/>
  <c r="I41" i="17"/>
  <c r="I205" i="17"/>
  <c r="C54" i="6"/>
  <c r="B31" i="6"/>
  <c r="B36" i="6" s="1"/>
  <c r="E31" i="6"/>
  <c r="E36" i="6" s="1"/>
  <c r="B61" i="6"/>
  <c r="G31" i="6"/>
  <c r="G36" i="6" s="1"/>
  <c r="F31" i="6"/>
  <c r="F36" i="6" s="1"/>
  <c r="J31" i="6"/>
  <c r="J36" i="6" s="1"/>
  <c r="O31" i="6"/>
  <c r="O36" i="6" s="1"/>
  <c r="C14" i="6"/>
  <c r="M31" i="6"/>
  <c r="M36" i="6" s="1"/>
  <c r="C202" i="6"/>
  <c r="B63" i="6"/>
  <c r="H31" i="6"/>
  <c r="H36" i="6" s="1"/>
  <c r="I31" i="6"/>
  <c r="I36" i="6" s="1"/>
  <c r="C13" i="6"/>
  <c r="C420" i="6" s="1"/>
  <c r="P5" i="6"/>
  <c r="K205" i="17"/>
  <c r="K201" i="17"/>
  <c r="CV66" i="14"/>
  <c r="CV33" i="14"/>
  <c r="CW67" i="14"/>
  <c r="CW22" i="18"/>
  <c r="C22" i="18" s="1"/>
  <c r="CW45" i="18"/>
  <c r="C45" i="18" s="1"/>
  <c r="CV20" i="18"/>
  <c r="CV45" i="18"/>
  <c r="M20" i="18"/>
  <c r="F20" i="18"/>
  <c r="O20" i="18"/>
  <c r="E20" i="18"/>
  <c r="J8" i="18"/>
  <c r="F8" i="18"/>
  <c r="I20" i="18"/>
  <c r="CV11" i="18"/>
  <c r="CW20" i="18"/>
  <c r="E8" i="18"/>
  <c r="G43" i="18"/>
  <c r="N8" i="18"/>
  <c r="D20" i="18"/>
  <c r="D8" i="18"/>
  <c r="H20" i="18"/>
  <c r="H8" i="18"/>
  <c r="CW11" i="18"/>
  <c r="C10" i="18" s="1"/>
  <c r="CW43" i="18"/>
  <c r="M8" i="18"/>
  <c r="I8" i="18"/>
  <c r="K20" i="18"/>
  <c r="K8" i="18"/>
  <c r="L8" i="18"/>
  <c r="CV43" i="18"/>
  <c r="CV9" i="18"/>
  <c r="G20" i="18"/>
  <c r="J20" i="18"/>
  <c r="O8" i="18"/>
  <c r="L20" i="18"/>
  <c r="G8" i="18"/>
  <c r="H43" i="18"/>
  <c r="CV22" i="18"/>
  <c r="F43" i="18"/>
  <c r="N20" i="18"/>
  <c r="C30" i="17"/>
  <c r="C64" i="17" s="1"/>
  <c r="C99" i="17" s="1"/>
  <c r="O201" i="17"/>
  <c r="O41" i="17"/>
  <c r="O205" i="17"/>
  <c r="D201" i="17"/>
  <c r="D41" i="17"/>
  <c r="D205" i="17"/>
  <c r="CV74" i="14"/>
  <c r="I109" i="14" s="1"/>
  <c r="I151" i="4"/>
  <c r="I150" i="4" s="1"/>
  <c r="A273" i="4"/>
  <c r="A340" i="4"/>
  <c r="A294" i="4"/>
  <c r="A349" i="4"/>
  <c r="A418" i="4" s="1"/>
  <c r="A335" i="4"/>
  <c r="A351" i="4"/>
  <c r="BK59" i="4"/>
  <c r="A262" i="4"/>
  <c r="A252" i="4"/>
  <c r="CV64" i="17"/>
  <c r="P67" i="14"/>
  <c r="O59" i="17" s="1"/>
  <c r="J66" i="14"/>
  <c r="I60" i="17" s="1"/>
  <c r="CW12" i="14"/>
  <c r="C58" i="17"/>
  <c r="C63" i="17"/>
  <c r="P63" i="17" s="1"/>
  <c r="E98" i="17" s="1"/>
  <c r="L66" i="14"/>
  <c r="K60" i="17" s="1"/>
  <c r="K41" i="17"/>
  <c r="CV99" i="17"/>
  <c r="S7" i="16"/>
  <c r="C18" i="16"/>
  <c r="M133" i="16" s="1"/>
  <c r="B38" i="16"/>
  <c r="C7" i="16"/>
  <c r="C30" i="16"/>
  <c r="D108" i="16"/>
  <c r="D113" i="16" s="1"/>
  <c r="D36" i="16"/>
  <c r="D44" i="16" s="1"/>
  <c r="C21" i="14"/>
  <c r="V11" i="14"/>
  <c r="C11" i="14"/>
  <c r="C34" i="14"/>
  <c r="V53" i="14"/>
  <c r="V87" i="14" s="1"/>
  <c r="BH38" i="4"/>
  <c r="BJ43" i="4"/>
  <c r="BO43" i="4" s="1"/>
  <c r="AD4" i="14"/>
  <c r="K39" i="14"/>
  <c r="AD38" i="14" s="1"/>
  <c r="CV70" i="14"/>
  <c r="B179" i="4"/>
  <c r="B198" i="4"/>
  <c r="A286" i="4"/>
  <c r="CV48" i="18"/>
  <c r="AG4" i="14"/>
  <c r="K33" i="14"/>
  <c r="J25" i="17" s="1"/>
  <c r="CV67" i="14"/>
  <c r="P64" i="17"/>
  <c r="E99" i="17" s="1"/>
  <c r="CW33" i="14"/>
  <c r="M6" i="18"/>
  <c r="M18" i="18" s="1"/>
  <c r="C12" i="18"/>
  <c r="C24" i="18" s="1"/>
  <c r="C43" i="18"/>
  <c r="C63" i="18"/>
  <c r="C8" i="18"/>
  <c r="J201" i="17"/>
  <c r="J205" i="17"/>
  <c r="F67" i="14"/>
  <c r="E59" i="17" s="1"/>
  <c r="G32" i="14"/>
  <c r="F26" i="17" s="1"/>
  <c r="G33" i="14"/>
  <c r="F25" i="17" s="1"/>
  <c r="AE4" i="14"/>
  <c r="L39" i="14"/>
  <c r="AE38" i="14" s="1"/>
  <c r="CV16" i="6"/>
  <c r="CW16" i="6"/>
  <c r="B16" i="6" s="1"/>
  <c r="CW63" i="17"/>
  <c r="CW98" i="17" s="1"/>
  <c r="C98" i="17" s="1"/>
  <c r="C29" i="17"/>
  <c r="L5" i="6"/>
  <c r="H5" i="6"/>
  <c r="N5" i="6"/>
  <c r="J5" i="6"/>
  <c r="M67" i="14"/>
  <c r="L59" i="17" s="1"/>
  <c r="N12" i="18"/>
  <c r="N119" i="18" s="1"/>
  <c r="K151" i="4"/>
  <c r="A321" i="4"/>
  <c r="A390" i="4" s="1"/>
  <c r="B189" i="4"/>
  <c r="A261" i="4"/>
  <c r="B167" i="4"/>
  <c r="B191" i="4"/>
  <c r="A331" i="4"/>
  <c r="A400" i="4" s="1"/>
  <c r="J33" i="14"/>
  <c r="I25" i="17" s="1"/>
  <c r="CW32" i="14"/>
  <c r="C84" i="17"/>
  <c r="CV12" i="14"/>
  <c r="CW66" i="14"/>
  <c r="H1" i="13"/>
  <c r="N201" i="17"/>
  <c r="N41" i="17"/>
  <c r="N205" i="17"/>
  <c r="CW30" i="17"/>
  <c r="CW64" i="17" s="1"/>
  <c r="CW99" i="17" s="1"/>
  <c r="L32" i="14"/>
  <c r="K26" i="17" s="1"/>
  <c r="N66" i="14"/>
  <c r="M60" i="17" s="1"/>
  <c r="L33" i="14"/>
  <c r="K25" i="17" s="1"/>
  <c r="C90" i="17"/>
  <c r="F90" i="17" s="1"/>
  <c r="F84" i="17" s="1"/>
  <c r="CW54" i="17"/>
  <c r="C54" i="17" s="1"/>
  <c r="P54" i="17" s="1"/>
  <c r="E89" i="17" s="1"/>
  <c r="C20" i="17"/>
  <c r="P20" i="17" s="1"/>
  <c r="D89" i="17" s="1"/>
  <c r="C56" i="17"/>
  <c r="P41" i="17"/>
  <c r="P18" i="18"/>
  <c r="C39" i="18"/>
  <c r="Q39" i="14"/>
  <c r="AJ38" i="14" s="1"/>
  <c r="B74" i="17"/>
  <c r="B34" i="6"/>
  <c r="P6" i="18"/>
  <c r="Q5" i="14"/>
  <c r="AJ4" i="14" s="1"/>
  <c r="B39" i="17"/>
  <c r="B77" i="4"/>
  <c r="J39" i="14"/>
  <c r="AC38" i="14" s="1"/>
  <c r="AC4" i="14"/>
  <c r="AH4" i="14"/>
  <c r="O39" i="14"/>
  <c r="AH38" i="14" s="1"/>
  <c r="Z4" i="14"/>
  <c r="G39" i="14"/>
  <c r="Z38" i="14" s="1"/>
  <c r="AC5" i="4"/>
  <c r="CE66" i="4"/>
  <c r="B4" i="4"/>
  <c r="F39" i="14"/>
  <c r="Y38" i="14" s="1"/>
  <c r="Y4" i="14"/>
  <c r="C89" i="17"/>
  <c r="C87" i="14"/>
  <c r="V81" i="14" s="1"/>
  <c r="C53" i="14"/>
  <c r="V47" i="14" s="1"/>
  <c r="V13" i="14"/>
  <c r="O38" i="6"/>
  <c r="B37" i="14"/>
  <c r="BV175" i="4"/>
  <c r="K79" i="4"/>
  <c r="BL66" i="4"/>
  <c r="G89" i="17"/>
  <c r="C57" i="18"/>
  <c r="C69" i="14"/>
  <c r="C103" i="14"/>
  <c r="E39" i="14"/>
  <c r="X38" i="14" s="1"/>
  <c r="X4" i="14"/>
  <c r="C22" i="17"/>
  <c r="P7" i="17"/>
  <c r="K32" i="14"/>
  <c r="J26" i="17" s="1"/>
  <c r="B234" i="4"/>
  <c r="V4" i="14"/>
  <c r="C73" i="14"/>
  <c r="V72" i="14" s="1"/>
  <c r="D39" i="14"/>
  <c r="D73" i="14"/>
  <c r="C25" i="17"/>
  <c r="BV33" i="4"/>
  <c r="A246" i="4"/>
  <c r="A357" i="4"/>
  <c r="CC90" i="4"/>
  <c r="B209" i="4"/>
  <c r="BX90" i="4"/>
  <c r="BM66" i="4"/>
  <c r="B193" i="4"/>
  <c r="BT90" i="4"/>
  <c r="BG90" i="4"/>
  <c r="BH90" i="4"/>
  <c r="X5" i="4"/>
  <c r="X41" i="4" s="1"/>
  <c r="A344" i="4"/>
  <c r="A413" i="4" s="1"/>
  <c r="BY90" i="4"/>
  <c r="BE90" i="4"/>
  <c r="C104" i="4"/>
  <c r="A238" i="4"/>
  <c r="BE184" i="4"/>
  <c r="BV184" i="4"/>
  <c r="BV187" i="4" s="1"/>
  <c r="B169" i="4"/>
  <c r="A352" i="4"/>
  <c r="A421" i="4" s="1"/>
  <c r="BF207" i="4"/>
  <c r="CD90" i="4"/>
  <c r="BF90" i="4"/>
  <c r="BD90" i="4"/>
  <c r="BL90" i="4"/>
  <c r="BJ90" i="4"/>
  <c r="CD66" i="4"/>
  <c r="BW207" i="4"/>
  <c r="BT133" i="4"/>
  <c r="BE175" i="4"/>
  <c r="CC39" i="4"/>
  <c r="BV90" i="4"/>
  <c r="B213" i="4"/>
  <c r="BK90" i="4"/>
  <c r="CA90" i="4"/>
  <c r="BN90" i="4"/>
  <c r="BU207" i="4"/>
  <c r="BF101" i="4"/>
  <c r="BD33" i="4"/>
  <c r="BO139" i="4"/>
  <c r="BC215" i="4" s="1"/>
  <c r="D221" i="4" s="1"/>
  <c r="BW33" i="4"/>
  <c r="C260" i="4"/>
  <c r="C329" i="4" s="1"/>
  <c r="BF184" i="4"/>
  <c r="BF187" i="4" s="1"/>
  <c r="BW184" i="4"/>
  <c r="BW187" i="4" s="1"/>
  <c r="B418" i="4"/>
  <c r="A316" i="4"/>
  <c r="A385" i="4" s="1"/>
  <c r="B196" i="4"/>
  <c r="A268" i="4"/>
  <c r="C210" i="4"/>
  <c r="U22" i="4"/>
  <c r="BX184" i="4"/>
  <c r="BX187" i="4" s="1"/>
  <c r="C136" i="4"/>
  <c r="B165" i="4"/>
  <c r="BY39" i="4"/>
  <c r="A240" i="4"/>
  <c r="A287" i="4"/>
  <c r="B205" i="4"/>
  <c r="BG184" i="4"/>
  <c r="BD184" i="4"/>
  <c r="BD187" i="4" s="1"/>
  <c r="B158" i="4"/>
  <c r="B186" i="4"/>
  <c r="BG207" i="4"/>
  <c r="CF139" i="4"/>
  <c r="BT215" i="4" s="1"/>
  <c r="D222" i="4" s="1"/>
  <c r="C240" i="4"/>
  <c r="C309" i="4" s="1"/>
  <c r="E79" i="4"/>
  <c r="BZ133" i="4"/>
  <c r="BE101" i="4"/>
  <c r="BL101" i="4"/>
  <c r="L79" i="4"/>
  <c r="BY81" i="4"/>
  <c r="C130" i="4"/>
  <c r="A265" i="4"/>
  <c r="C88" i="4"/>
  <c r="C246" i="4"/>
  <c r="C315" i="4" s="1"/>
  <c r="BL133" i="4"/>
  <c r="A267" i="4"/>
  <c r="BV66" i="4"/>
  <c r="BD175" i="4"/>
  <c r="B197" i="4"/>
  <c r="A361" i="4"/>
  <c r="BN101" i="4"/>
  <c r="C128" i="4"/>
  <c r="BU33" i="4"/>
  <c r="CC133" i="4"/>
  <c r="C389" i="4"/>
  <c r="A245" i="4"/>
  <c r="C212" i="4"/>
  <c r="B210" i="4"/>
  <c r="BG66" i="4"/>
  <c r="B174" i="4"/>
  <c r="U24" i="4"/>
  <c r="CA66" i="4"/>
  <c r="C261" i="4"/>
  <c r="C330" i="4" s="1"/>
  <c r="BW214" i="4"/>
  <c r="B163" i="4"/>
  <c r="C179" i="4"/>
  <c r="B160" i="4"/>
  <c r="A325" i="4"/>
  <c r="A394" i="4" s="1"/>
  <c r="A311" i="4"/>
  <c r="A380" i="4" s="1"/>
  <c r="BY66" i="4"/>
  <c r="C105" i="4"/>
  <c r="A334" i="4"/>
  <c r="A403" i="4" s="1"/>
  <c r="A348" i="4"/>
  <c r="A417" i="4" s="1"/>
  <c r="A274" i="4"/>
  <c r="B185" i="4"/>
  <c r="A343" i="4"/>
  <c r="A412" i="4" s="1"/>
  <c r="BH101" i="4"/>
  <c r="BG46" i="4"/>
  <c r="CC66" i="4"/>
  <c r="BT66" i="4"/>
  <c r="BO18" i="4"/>
  <c r="CE23" i="4"/>
  <c r="A324" i="4"/>
  <c r="CC101" i="4"/>
  <c r="A293" i="4"/>
  <c r="C410" i="4"/>
  <c r="C292" i="4"/>
  <c r="C361" i="4" s="1"/>
  <c r="A255" i="4"/>
  <c r="BE207" i="4"/>
  <c r="A259" i="4"/>
  <c r="BY101" i="4"/>
  <c r="B90" i="4"/>
  <c r="BF175" i="4"/>
  <c r="C190" i="4"/>
  <c r="B211" i="4"/>
  <c r="BY33" i="4"/>
  <c r="CA33" i="4"/>
  <c r="BG23" i="4"/>
  <c r="C116" i="4"/>
  <c r="BE187" i="4"/>
  <c r="B156" i="4"/>
  <c r="A328" i="4"/>
  <c r="CF63" i="4"/>
  <c r="BM90" i="4"/>
  <c r="A272" i="4"/>
  <c r="B190" i="4"/>
  <c r="A341" i="4"/>
  <c r="A410" i="4" s="1"/>
  <c r="C101" i="4"/>
  <c r="C257" i="4"/>
  <c r="C326" i="4" s="1"/>
  <c r="P29" i="17"/>
  <c r="D98" i="17" s="1"/>
  <c r="E235" i="4"/>
  <c r="E304" i="4" s="1"/>
  <c r="C414" i="4"/>
  <c r="C120" i="4"/>
  <c r="C143" i="4"/>
  <c r="C437" i="4"/>
  <c r="B372" i="4"/>
  <c r="B303" i="4"/>
  <c r="P30" i="17"/>
  <c r="D99" i="17" s="1"/>
  <c r="A350" i="4"/>
  <c r="B199" i="4"/>
  <c r="A281" i="4"/>
  <c r="C175" i="4"/>
  <c r="J32" i="14"/>
  <c r="I26" i="17" s="1"/>
  <c r="C25" i="18"/>
  <c r="C48" i="18"/>
  <c r="BX33" i="4"/>
  <c r="C385" i="4"/>
  <c r="BJ128" i="4"/>
  <c r="C395" i="4"/>
  <c r="F32" i="14"/>
  <c r="E26" i="17" s="1"/>
  <c r="F33" i="14"/>
  <c r="E25" i="17" s="1"/>
  <c r="E12" i="17" s="1"/>
  <c r="Q12" i="14"/>
  <c r="E80" i="14" s="1"/>
  <c r="O66" i="14"/>
  <c r="N60" i="17" s="1"/>
  <c r="O67" i="14"/>
  <c r="N59" i="17" s="1"/>
  <c r="Q25" i="14"/>
  <c r="E93" i="14" s="1"/>
  <c r="E32" i="14"/>
  <c r="E33" i="14"/>
  <c r="BK101" i="4"/>
  <c r="CA54" i="4"/>
  <c r="J2" i="13"/>
  <c r="D234" i="4"/>
  <c r="K251" i="4" s="1"/>
  <c r="CW80" i="17"/>
  <c r="CW45" i="17"/>
  <c r="CW11" i="17"/>
  <c r="CV11" i="17"/>
  <c r="CV80" i="17"/>
  <c r="C80" i="17" s="1"/>
  <c r="CV45" i="17"/>
  <c r="C45" i="17" s="1"/>
  <c r="P45" i="17" s="1"/>
  <c r="E80" i="17" s="1"/>
  <c r="I32" i="14"/>
  <c r="H26" i="17" s="1"/>
  <c r="Q30" i="14"/>
  <c r="E98" i="14" s="1"/>
  <c r="H66" i="14"/>
  <c r="G60" i="17" s="1"/>
  <c r="H67" i="14"/>
  <c r="G59" i="17" s="1"/>
  <c r="Q46" i="14"/>
  <c r="F80" i="14" s="1"/>
  <c r="Q54" i="14"/>
  <c r="F88" i="14" s="1"/>
  <c r="E67" i="14"/>
  <c r="K66" i="14"/>
  <c r="J60" i="17" s="1"/>
  <c r="K67" i="14"/>
  <c r="J59" i="17" s="1"/>
  <c r="P11" i="17"/>
  <c r="D80" i="17" s="1"/>
  <c r="C69" i="18"/>
  <c r="C117" i="18"/>
  <c r="P28" i="17"/>
  <c r="D97" i="17" s="1"/>
  <c r="BU39" i="4"/>
  <c r="CA39" i="4"/>
  <c r="BI101" i="4"/>
  <c r="BC39" i="4"/>
  <c r="BG133" i="4"/>
  <c r="CB101" i="4"/>
  <c r="M32" i="14"/>
  <c r="L26" i="17" s="1"/>
  <c r="M33" i="14"/>
  <c r="L25" i="17" s="1"/>
  <c r="G100" i="14"/>
  <c r="F95" i="17" s="1"/>
  <c r="G101" i="14"/>
  <c r="F94" i="17" s="1"/>
  <c r="O32" i="14"/>
  <c r="N26" i="17" s="1"/>
  <c r="Q20" i="14"/>
  <c r="E88" i="14" s="1"/>
  <c r="O33" i="14"/>
  <c r="N25" i="17" s="1"/>
  <c r="G67" i="14"/>
  <c r="F59" i="17" s="1"/>
  <c r="Q59" i="14"/>
  <c r="F93" i="14" s="1"/>
  <c r="P66" i="14"/>
  <c r="O60" i="17" s="1"/>
  <c r="F12" i="17"/>
  <c r="B103" i="16"/>
  <c r="I66" i="14"/>
  <c r="H60" i="17" s="1"/>
  <c r="E66" i="14"/>
  <c r="BG175" i="4"/>
  <c r="BK133" i="4"/>
  <c r="BI133" i="4"/>
  <c r="CE101" i="4"/>
  <c r="H32" i="14"/>
  <c r="G26" i="17" s="1"/>
  <c r="H33" i="14"/>
  <c r="G25" i="17" s="1"/>
  <c r="P33" i="14"/>
  <c r="O25" i="17" s="1"/>
  <c r="P32" i="14"/>
  <c r="O26" i="17" s="1"/>
  <c r="H100" i="14"/>
  <c r="G95" i="17" s="1"/>
  <c r="H101" i="14"/>
  <c r="G94" i="17" s="1"/>
  <c r="N33" i="14"/>
  <c r="M25" i="17" s="1"/>
  <c r="N32" i="14"/>
  <c r="M26" i="17" s="1"/>
  <c r="J8" i="16"/>
  <c r="J67" i="14"/>
  <c r="I59" i="17" s="1"/>
  <c r="H94" i="17"/>
  <c r="H89" i="17"/>
  <c r="H90" i="17" s="1"/>
  <c r="H84" i="17" s="1"/>
  <c r="I8" i="16"/>
  <c r="M8" i="16"/>
  <c r="K8" i="16"/>
  <c r="G8" i="16"/>
  <c r="B47" i="16"/>
  <c r="G66" i="14"/>
  <c r="F60" i="17" s="1"/>
  <c r="I33" i="14"/>
  <c r="H25" i="17" s="1"/>
  <c r="B44" i="16"/>
  <c r="B36" i="16"/>
  <c r="B102" i="16" s="1"/>
  <c r="C52" i="18"/>
  <c r="U2" i="14"/>
  <c r="P79" i="4"/>
  <c r="P304" i="4" s="1"/>
  <c r="K150" i="4"/>
  <c r="N71" i="14"/>
  <c r="M197" i="4"/>
  <c r="BC46" i="4"/>
  <c r="C65" i="14"/>
  <c r="C99" i="14"/>
  <c r="C60" i="14"/>
  <c r="C94" i="14"/>
  <c r="C47" i="14"/>
  <c r="C81" i="14"/>
  <c r="P21" i="17"/>
  <c r="D90" i="17" s="1"/>
  <c r="M49" i="16"/>
  <c r="I62" i="16"/>
  <c r="B71" i="14"/>
  <c r="B3" i="6"/>
  <c r="O33" i="6"/>
  <c r="B151" i="4"/>
  <c r="B3" i="14"/>
  <c r="B29" i="6"/>
  <c r="BD66" i="4"/>
  <c r="P15" i="17"/>
  <c r="D84" i="17" s="1"/>
  <c r="B5" i="17"/>
  <c r="BX101" i="4"/>
  <c r="BO91" i="4"/>
  <c r="BC167" i="4" s="1"/>
  <c r="CB66" i="4"/>
  <c r="B3" i="4"/>
  <c r="CF31" i="4"/>
  <c r="CF18" i="4"/>
  <c r="P49" i="17"/>
  <c r="E84" i="17" s="1"/>
  <c r="D16" i="14"/>
  <c r="D29" i="14"/>
  <c r="D24" i="14"/>
  <c r="P55" i="17"/>
  <c r="E90" i="17" s="1"/>
  <c r="C165" i="4"/>
  <c r="F79" i="4"/>
  <c r="I235" i="4"/>
  <c r="I304" i="4" s="1"/>
  <c r="U18" i="4"/>
  <c r="BU54" i="4"/>
  <c r="C294" i="4"/>
  <c r="C363" i="4" s="1"/>
  <c r="C91" i="4"/>
  <c r="C429" i="4"/>
  <c r="BW194" i="4"/>
  <c r="I79" i="4"/>
  <c r="BX66" i="4"/>
  <c r="BE33" i="4"/>
  <c r="BG187" i="4"/>
  <c r="CB54" i="4"/>
  <c r="BM46" i="4"/>
  <c r="BH33" i="4"/>
  <c r="BE66" i="4"/>
  <c r="BZ101" i="4"/>
  <c r="BC59" i="4"/>
  <c r="BK54" i="4"/>
  <c r="BV39" i="4"/>
  <c r="C291" i="4"/>
  <c r="C360" i="4" s="1"/>
  <c r="A420" i="4"/>
  <c r="BO84" i="4"/>
  <c r="BC160" i="4" s="1"/>
  <c r="BW66" i="4"/>
  <c r="BO31" i="4"/>
  <c r="C138" i="4"/>
  <c r="C135" i="4"/>
  <c r="C168" i="4"/>
  <c r="J69" i="4"/>
  <c r="J10" i="18" s="1"/>
  <c r="J12" i="18" s="1"/>
  <c r="J119" i="18" s="1"/>
  <c r="C182" i="4"/>
  <c r="BT54" i="4"/>
  <c r="BG59" i="4"/>
  <c r="BF66" i="4"/>
  <c r="BV133" i="4"/>
  <c r="CF89" i="4"/>
  <c r="BT165" i="4" s="1"/>
  <c r="CF53" i="4"/>
  <c r="BN33" i="4"/>
  <c r="BI33" i="4"/>
  <c r="C84" i="4"/>
  <c r="BU133" i="4"/>
  <c r="BK66" i="4"/>
  <c r="BD101" i="4"/>
  <c r="C299" i="4"/>
  <c r="C368" i="4" s="1"/>
  <c r="CC33" i="4"/>
  <c r="H69" i="4"/>
  <c r="H10" i="18" s="1"/>
  <c r="H12" i="18" s="1"/>
  <c r="C244" i="4"/>
  <c r="C313" i="4" s="1"/>
  <c r="BG214" i="4"/>
  <c r="C194" i="4"/>
  <c r="CF105" i="4"/>
  <c r="BT181" i="4" s="1"/>
  <c r="BC54" i="4"/>
  <c r="BH59" i="4"/>
  <c r="BE59" i="4"/>
  <c r="BF59" i="4"/>
  <c r="BT101" i="4"/>
  <c r="C217" i="4"/>
  <c r="BW133" i="4"/>
  <c r="C384" i="4"/>
  <c r="CF132" i="4"/>
  <c r="C164" i="4"/>
  <c r="BG101" i="4"/>
  <c r="CF127" i="4"/>
  <c r="C162" i="4"/>
  <c r="BK33" i="4"/>
  <c r="C158" i="4"/>
  <c r="CD133" i="4"/>
  <c r="U31" i="4"/>
  <c r="U43" i="4" s="1"/>
  <c r="U55" i="4" s="1"/>
  <c r="BN133" i="4"/>
  <c r="C276" i="4"/>
  <c r="C345" i="4" s="1"/>
  <c r="BM59" i="4"/>
  <c r="BO42" i="4"/>
  <c r="BL46" i="4"/>
  <c r="BU101" i="4"/>
  <c r="L69" i="4"/>
  <c r="L10" i="18" s="1"/>
  <c r="L12" i="18" s="1"/>
  <c r="L119" i="18" s="1"/>
  <c r="CB133" i="4"/>
  <c r="BZ54" i="4"/>
  <c r="BE46" i="4"/>
  <c r="BF133" i="4"/>
  <c r="BO89" i="4"/>
  <c r="BC165" i="4" s="1"/>
  <c r="BZ33" i="4"/>
  <c r="CB33" i="4"/>
  <c r="BF214" i="4"/>
  <c r="C286" i="4"/>
  <c r="C355" i="4" s="1"/>
  <c r="CC128" i="4"/>
  <c r="BL81" i="4"/>
  <c r="BD194" i="4"/>
  <c r="C102" i="4"/>
  <c r="BY133" i="4"/>
  <c r="AD5" i="4"/>
  <c r="AD41" i="4" s="1"/>
  <c r="CF65" i="4"/>
  <c r="BW23" i="4"/>
  <c r="E69" i="4"/>
  <c r="E10" i="18" s="1"/>
  <c r="E12" i="18" s="1"/>
  <c r="E119" i="18" s="1"/>
  <c r="CF50" i="4"/>
  <c r="BO16" i="4"/>
  <c r="BO22" i="4"/>
  <c r="BJ39" i="4"/>
  <c r="BJ66" i="4"/>
  <c r="BI59" i="4"/>
  <c r="CF117" i="4"/>
  <c r="BT193" i="4" s="1"/>
  <c r="BT39" i="4"/>
  <c r="BG39" i="4"/>
  <c r="BK39" i="4"/>
  <c r="CD54" i="4"/>
  <c r="BO12" i="4"/>
  <c r="BI66" i="4"/>
  <c r="BW54" i="4"/>
  <c r="BX54" i="4"/>
  <c r="BC133" i="4"/>
  <c r="BO19" i="4"/>
  <c r="BO50" i="4"/>
  <c r="BI39" i="4"/>
  <c r="BI54" i="4"/>
  <c r="BH54" i="4"/>
  <c r="BO57" i="4"/>
  <c r="BJ133" i="4"/>
  <c r="BH39" i="4"/>
  <c r="BN39" i="4"/>
  <c r="BF46" i="4"/>
  <c r="BO105" i="4"/>
  <c r="BC181" i="4" s="1"/>
  <c r="BV54" i="4"/>
  <c r="BW101" i="4"/>
  <c r="CF99" i="4"/>
  <c r="BT175" i="4" s="1"/>
  <c r="C115" i="4"/>
  <c r="C409" i="4"/>
  <c r="CF100" i="4"/>
  <c r="BV101" i="4"/>
  <c r="BO10" i="4"/>
  <c r="CE133" i="4"/>
  <c r="BX23" i="4"/>
  <c r="G69" i="4"/>
  <c r="G10" i="18" s="1"/>
  <c r="G12" i="18" s="1"/>
  <c r="G120" i="18" s="1"/>
  <c r="D79" i="4"/>
  <c r="D235" i="4"/>
  <c r="D304" i="4" s="1"/>
  <c r="BV196" i="4"/>
  <c r="BG196" i="4"/>
  <c r="BU196" i="4"/>
  <c r="BD196" i="4"/>
  <c r="BX196" i="4"/>
  <c r="BV164" i="4"/>
  <c r="BU164" i="4"/>
  <c r="BC101" i="4"/>
  <c r="BO100" i="4"/>
  <c r="BD39" i="4"/>
  <c r="BF33" i="4"/>
  <c r="BO32" i="4"/>
  <c r="BO51" i="4"/>
  <c r="BC66" i="4"/>
  <c r="BO62" i="4"/>
  <c r="BF54" i="4"/>
  <c r="BO49" i="4"/>
  <c r="BE214" i="4"/>
  <c r="C189" i="4"/>
  <c r="CF17" i="4"/>
  <c r="CF37" i="4"/>
  <c r="CF51" i="4"/>
  <c r="BO116" i="4"/>
  <c r="BC192" i="4" s="1"/>
  <c r="BJ101" i="4"/>
  <c r="BO99" i="4"/>
  <c r="BC175" i="4" s="1"/>
  <c r="BY120" i="4"/>
  <c r="C131" i="4"/>
  <c r="C205" i="4"/>
  <c r="C425" i="4"/>
  <c r="AG5" i="4"/>
  <c r="AG17" i="4" s="1"/>
  <c r="O235" i="4"/>
  <c r="O304" i="4" s="1"/>
  <c r="O79" i="4"/>
  <c r="BN140" i="4"/>
  <c r="C405" i="4"/>
  <c r="C185" i="4"/>
  <c r="C111" i="4"/>
  <c r="BX175" i="4"/>
  <c r="BX164" i="4"/>
  <c r="C271" i="4"/>
  <c r="C340" i="4" s="1"/>
  <c r="BO36" i="4"/>
  <c r="BE23" i="4"/>
  <c r="BX39" i="4"/>
  <c r="BD133" i="4"/>
  <c r="BV214" i="4"/>
  <c r="BO93" i="4"/>
  <c r="BC169" i="4" s="1"/>
  <c r="BO96" i="4"/>
  <c r="BO29" i="4"/>
  <c r="CF130" i="4"/>
  <c r="BT206" i="4" s="1"/>
  <c r="C402" i="4"/>
  <c r="BD214" i="4"/>
  <c r="BG33" i="4"/>
  <c r="BF23" i="4"/>
  <c r="BM23" i="4"/>
  <c r="BD23" i="4"/>
  <c r="BY23" i="4"/>
  <c r="N22" i="17"/>
  <c r="BF194" i="4"/>
  <c r="BO86" i="4"/>
  <c r="CF112" i="4"/>
  <c r="CF15" i="4"/>
  <c r="BZ39" i="4"/>
  <c r="CF49" i="4"/>
  <c r="BX214" i="4"/>
  <c r="BO117" i="4"/>
  <c r="BC193" i="4" s="1"/>
  <c r="BE128" i="4"/>
  <c r="BU214" i="4"/>
  <c r="CF116" i="4"/>
  <c r="BT192" i="4" s="1"/>
  <c r="CF103" i="4"/>
  <c r="BT179" i="4" s="1"/>
  <c r="CC54" i="4"/>
  <c r="BY54" i="4"/>
  <c r="CE54" i="4"/>
  <c r="CF48" i="4"/>
  <c r="CD39" i="4"/>
  <c r="CF36" i="4"/>
  <c r="CF16" i="4"/>
  <c r="CF92" i="4"/>
  <c r="BT168" i="4" s="1"/>
  <c r="BM133" i="4"/>
  <c r="BO109" i="4"/>
  <c r="BC185" i="4" s="1"/>
  <c r="BO138" i="4"/>
  <c r="BC214" i="4" s="1"/>
  <c r="BO103" i="4"/>
  <c r="BC179" i="4" s="1"/>
  <c r="BG54" i="4"/>
  <c r="BO106" i="4"/>
  <c r="BO130" i="4"/>
  <c r="BC206" i="4" s="1"/>
  <c r="BO15" i="4"/>
  <c r="BM54" i="4"/>
  <c r="BO132" i="4"/>
  <c r="BH23" i="4"/>
  <c r="BD46" i="4"/>
  <c r="BL59" i="4"/>
  <c r="BN23" i="4"/>
  <c r="BO35" i="4"/>
  <c r="BN54" i="4"/>
  <c r="BC23" i="4"/>
  <c r="BE39" i="4"/>
  <c r="BO52" i="4"/>
  <c r="BO48" i="4"/>
  <c r="BO56" i="4"/>
  <c r="BO38" i="4"/>
  <c r="BJ54" i="4"/>
  <c r="BO126" i="4"/>
  <c r="BC202" i="4" s="1"/>
  <c r="BO8" i="4"/>
  <c r="BH133" i="4"/>
  <c r="BM33" i="4"/>
  <c r="BO17" i="4"/>
  <c r="BO41" i="4"/>
  <c r="BL54" i="4"/>
  <c r="BD59" i="4"/>
  <c r="BN46" i="4"/>
  <c r="BX120" i="4"/>
  <c r="BH120" i="4"/>
  <c r="BF120" i="4"/>
  <c r="BD120" i="4"/>
  <c r="BO27" i="4"/>
  <c r="AZ27" i="4" s="1"/>
  <c r="C94" i="4"/>
  <c r="BO58" i="4"/>
  <c r="A383" i="4"/>
  <c r="CF35" i="4"/>
  <c r="BG194" i="4"/>
  <c r="BD207" i="4"/>
  <c r="BF39" i="4"/>
  <c r="BX133" i="4"/>
  <c r="BH46" i="4"/>
  <c r="BO37" i="4"/>
  <c r="CD33" i="4"/>
  <c r="BU175" i="4"/>
  <c r="BJ120" i="4"/>
  <c r="BI120" i="4"/>
  <c r="CE120" i="4"/>
  <c r="C176" i="4"/>
  <c r="BU140" i="4"/>
  <c r="BW140" i="4"/>
  <c r="BV194" i="4"/>
  <c r="BD81" i="4"/>
  <c r="BV81" i="4"/>
  <c r="BJ23" i="4"/>
  <c r="BL33" i="4"/>
  <c r="BK23" i="4"/>
  <c r="BD54" i="4"/>
  <c r="V5" i="4"/>
  <c r="V17" i="4" s="1"/>
  <c r="C204" i="4"/>
  <c r="BH128" i="4"/>
  <c r="BO26" i="4"/>
  <c r="BE194" i="4"/>
  <c r="C258" i="4"/>
  <c r="C327" i="4" s="1"/>
  <c r="BE133" i="4"/>
  <c r="BO111" i="4"/>
  <c r="BC187" i="4" s="1"/>
  <c r="BJ59" i="4"/>
  <c r="U32" i="4"/>
  <c r="U44" i="4" s="1"/>
  <c r="U56" i="4" s="1"/>
  <c r="U20" i="4"/>
  <c r="BU120" i="4"/>
  <c r="CB120" i="4"/>
  <c r="BK120" i="4"/>
  <c r="C237" i="4"/>
  <c r="C306" i="4" s="1"/>
  <c r="BO124" i="4"/>
  <c r="BC200" i="4" s="1"/>
  <c r="BZ140" i="4"/>
  <c r="C250" i="4"/>
  <c r="C319" i="4" s="1"/>
  <c r="BK46" i="4"/>
  <c r="BJ81" i="4"/>
  <c r="CC81" i="4"/>
  <c r="BJ33" i="4"/>
  <c r="BL23" i="4"/>
  <c r="BI23" i="4"/>
  <c r="CA23" i="4"/>
  <c r="BO131" i="4"/>
  <c r="BC207" i="4" s="1"/>
  <c r="BW39" i="4"/>
  <c r="BO127" i="4"/>
  <c r="CA133" i="4"/>
  <c r="BL39" i="4"/>
  <c r="BM39" i="4"/>
  <c r="BF140" i="4"/>
  <c r="BN59" i="4"/>
  <c r="BI46" i="4"/>
  <c r="CF126" i="4"/>
  <c r="BT202" i="4" s="1"/>
  <c r="BO64" i="4"/>
  <c r="BE54" i="4"/>
  <c r="BO21" i="4"/>
  <c r="BH66" i="4"/>
  <c r="BN66" i="4"/>
  <c r="BU128" i="4"/>
  <c r="BW128" i="4"/>
  <c r="BV128" i="4"/>
  <c r="BZ128" i="4"/>
  <c r="BG128" i="4"/>
  <c r="BM128" i="4"/>
  <c r="CE128" i="4"/>
  <c r="BO82" i="4"/>
  <c r="BC158" i="4" s="1"/>
  <c r="BO125" i="4"/>
  <c r="BC201" i="4" s="1"/>
  <c r="B384" i="4"/>
  <c r="B315" i="4"/>
  <c r="BV120" i="4"/>
  <c r="BO92" i="4"/>
  <c r="BC168" i="4" s="1"/>
  <c r="BF196" i="4"/>
  <c r="BE196" i="4"/>
  <c r="BT110" i="4"/>
  <c r="BT113" i="4" s="1"/>
  <c r="BY110" i="4"/>
  <c r="BY113" i="4" s="1"/>
  <c r="BU110" i="4"/>
  <c r="BU113" i="4" s="1"/>
  <c r="BX110" i="4"/>
  <c r="BX113" i="4" s="1"/>
  <c r="BW110" i="4"/>
  <c r="BW113" i="4" s="1"/>
  <c r="CC110" i="4"/>
  <c r="CC113" i="4" s="1"/>
  <c r="CB110" i="4"/>
  <c r="CB113" i="4" s="1"/>
  <c r="BV110" i="4"/>
  <c r="BV113" i="4" s="1"/>
  <c r="BF110" i="4"/>
  <c r="BF113" i="4" s="1"/>
  <c r="BI110" i="4"/>
  <c r="BI113" i="4" s="1"/>
  <c r="BH110" i="4"/>
  <c r="BH113" i="4" s="1"/>
  <c r="CE110" i="4"/>
  <c r="CE113" i="4" s="1"/>
  <c r="BZ110" i="4"/>
  <c r="BZ113" i="4" s="1"/>
  <c r="BE110" i="4"/>
  <c r="BE113" i="4" s="1"/>
  <c r="BD110" i="4"/>
  <c r="BD113" i="4" s="1"/>
  <c r="BK110" i="4"/>
  <c r="BK113" i="4" s="1"/>
  <c r="CA110" i="4"/>
  <c r="CA113" i="4" s="1"/>
  <c r="BN110" i="4"/>
  <c r="BN113" i="4" s="1"/>
  <c r="BG110" i="4"/>
  <c r="BG113" i="4" s="1"/>
  <c r="BL110" i="4"/>
  <c r="BL113" i="4" s="1"/>
  <c r="B110" i="4"/>
  <c r="BM110" i="4"/>
  <c r="BM113" i="4" s="1"/>
  <c r="CD110" i="4"/>
  <c r="CD113" i="4" s="1"/>
  <c r="BJ110" i="4"/>
  <c r="BJ113" i="4" s="1"/>
  <c r="BC110" i="4"/>
  <c r="BC113" i="4" s="1"/>
  <c r="BW164" i="4"/>
  <c r="BD164" i="4"/>
  <c r="BF164" i="4"/>
  <c r="BG164" i="4"/>
  <c r="BE164" i="4"/>
  <c r="A404" i="4"/>
  <c r="BM140" i="4"/>
  <c r="BW198" i="4"/>
  <c r="BW202" i="4" s="1"/>
  <c r="BX198" i="4"/>
  <c r="BV198" i="4"/>
  <c r="BE198" i="4"/>
  <c r="BU198" i="4"/>
  <c r="BD198" i="4"/>
  <c r="BG198" i="4"/>
  <c r="BF198" i="4"/>
  <c r="B416" i="4"/>
  <c r="B347" i="4"/>
  <c r="CF106" i="4"/>
  <c r="P56" i="17"/>
  <c r="E91" i="17" s="1"/>
  <c r="R349" i="6"/>
  <c r="AG348" i="6" s="1"/>
  <c r="N150" i="4"/>
  <c r="C297" i="4"/>
  <c r="C366" i="4" s="1"/>
  <c r="C435" i="4"/>
  <c r="C118" i="4"/>
  <c r="C192" i="4"/>
  <c r="C412" i="4"/>
  <c r="C274" i="4"/>
  <c r="C343" i="4" s="1"/>
  <c r="C140" i="4"/>
  <c r="C214" i="4"/>
  <c r="C434" i="4"/>
  <c r="C296" i="4"/>
  <c r="C365" i="4" s="1"/>
  <c r="P141" i="4"/>
  <c r="E215" i="4" s="1"/>
  <c r="N120" i="18"/>
  <c r="CB23" i="4"/>
  <c r="CA140" i="4"/>
  <c r="BZ120" i="4"/>
  <c r="CC120" i="4"/>
  <c r="BN120" i="4"/>
  <c r="BU187" i="4"/>
  <c r="C81" i="4"/>
  <c r="CA128" i="4"/>
  <c r="C215" i="4"/>
  <c r="BF81" i="4"/>
  <c r="BK81" i="4"/>
  <c r="BI81" i="4"/>
  <c r="BZ81" i="4"/>
  <c r="BU81" i="4"/>
  <c r="BT81" i="4"/>
  <c r="H347" i="4"/>
  <c r="C243" i="4"/>
  <c r="C312" i="4" s="1"/>
  <c r="O69" i="4"/>
  <c r="O10" i="18" s="1"/>
  <c r="O12" i="18" s="1"/>
  <c r="BE120" i="4"/>
  <c r="BD128" i="4"/>
  <c r="C133" i="4"/>
  <c r="C427" i="4"/>
  <c r="C207" i="4"/>
  <c r="C422" i="4"/>
  <c r="C284" i="4"/>
  <c r="C353" i="4" s="1"/>
  <c r="H79" i="4"/>
  <c r="H235" i="4"/>
  <c r="H304" i="4" s="1"/>
  <c r="CF96" i="4"/>
  <c r="C124" i="4"/>
  <c r="C198" i="4"/>
  <c r="C418" i="4"/>
  <c r="C280" i="4"/>
  <c r="C349" i="4" s="1"/>
  <c r="C126" i="4"/>
  <c r="C420" i="4"/>
  <c r="C282" i="4"/>
  <c r="C351" i="4" s="1"/>
  <c r="C200" i="4"/>
  <c r="CF111" i="4"/>
  <c r="BT187" i="4" s="1"/>
  <c r="AC41" i="4"/>
  <c r="AC17" i="4"/>
  <c r="A393" i="4"/>
  <c r="U23" i="4"/>
  <c r="U35" i="4"/>
  <c r="U47" i="4" s="1"/>
  <c r="U59" i="4" s="1"/>
  <c r="C85" i="4"/>
  <c r="C379" i="4"/>
  <c r="C159" i="4"/>
  <c r="CF109" i="4"/>
  <c r="BT185" i="4" s="1"/>
  <c r="C83" i="4"/>
  <c r="C377" i="4"/>
  <c r="C239" i="4"/>
  <c r="C308" i="4" s="1"/>
  <c r="C157" i="4"/>
  <c r="BW120" i="4"/>
  <c r="BL120" i="4"/>
  <c r="C161" i="4"/>
  <c r="CB140" i="4"/>
  <c r="C141" i="4"/>
  <c r="BG81" i="4"/>
  <c r="BW81" i="4"/>
  <c r="BN81" i="4"/>
  <c r="CA81" i="4"/>
  <c r="CE81" i="4"/>
  <c r="P140" i="4"/>
  <c r="E214" i="4" s="1"/>
  <c r="CF82" i="4"/>
  <c r="BT158" i="4" s="1"/>
  <c r="CF131" i="4"/>
  <c r="BT207" i="4" s="1"/>
  <c r="C381" i="4"/>
  <c r="BN128" i="4"/>
  <c r="M69" i="4"/>
  <c r="M10" i="18" s="1"/>
  <c r="C99" i="4"/>
  <c r="C255" i="4"/>
  <c r="C324" i="4" s="1"/>
  <c r="C173" i="4"/>
  <c r="C393" i="4"/>
  <c r="C109" i="4"/>
  <c r="C265" i="4"/>
  <c r="C334" i="4" s="1"/>
  <c r="C183" i="4"/>
  <c r="C403" i="4"/>
  <c r="U25" i="4"/>
  <c r="U37" i="4"/>
  <c r="U49" i="4" s="1"/>
  <c r="U61" i="4" s="1"/>
  <c r="BO112" i="4"/>
  <c r="BO115" i="4"/>
  <c r="BC191" i="4" s="1"/>
  <c r="BW175" i="4"/>
  <c r="C155" i="4"/>
  <c r="BY128" i="4"/>
  <c r="BU194" i="4"/>
  <c r="BE81" i="4"/>
  <c r="B81" i="4"/>
  <c r="BX81" i="4"/>
  <c r="CB81" i="4"/>
  <c r="K69" i="4"/>
  <c r="K10" i="18" s="1"/>
  <c r="K12" i="18" s="1"/>
  <c r="CF123" i="4"/>
  <c r="BT199" i="4" s="1"/>
  <c r="CF115" i="4"/>
  <c r="BT191" i="4" s="1"/>
  <c r="CF125" i="4"/>
  <c r="BT201" i="4" s="1"/>
  <c r="BK128" i="4"/>
  <c r="BI128" i="4"/>
  <c r="BF128" i="4"/>
  <c r="BG140" i="4"/>
  <c r="C438" i="4"/>
  <c r="C300" i="4"/>
  <c r="C369" i="4"/>
  <c r="C218" i="4"/>
  <c r="C80" i="4"/>
  <c r="C374" i="4"/>
  <c r="C154" i="4"/>
  <c r="C92" i="4"/>
  <c r="C386" i="4"/>
  <c r="C166" i="4"/>
  <c r="C248" i="4"/>
  <c r="C317" i="4" s="1"/>
  <c r="C98" i="4"/>
  <c r="C254" i="4"/>
  <c r="C323" i="4" s="1"/>
  <c r="C392" i="4"/>
  <c r="C122" i="4"/>
  <c r="C278" i="4"/>
  <c r="C347" i="4" s="1"/>
  <c r="C416" i="4"/>
  <c r="C196" i="4"/>
  <c r="BO123" i="4"/>
  <c r="BC199" i="4" s="1"/>
  <c r="BO95" i="4"/>
  <c r="BC171" i="4" s="1"/>
  <c r="A389" i="4"/>
  <c r="A387" i="4"/>
  <c r="CF91" i="4"/>
  <c r="BT167" i="4" s="1"/>
  <c r="BO135" i="4"/>
  <c r="BC211" i="4" s="1"/>
  <c r="BC140" i="4"/>
  <c r="BU23" i="4"/>
  <c r="CC23" i="4"/>
  <c r="BG120" i="4"/>
  <c r="CD120" i="4"/>
  <c r="BO9" i="4"/>
  <c r="CF86" i="4"/>
  <c r="W41" i="4"/>
  <c r="W17" i="4"/>
  <c r="V41" i="4"/>
  <c r="BC128" i="4"/>
  <c r="BO122" i="4"/>
  <c r="BC198" i="4" s="1"/>
  <c r="CF122" i="4"/>
  <c r="BT198" i="4" s="1"/>
  <c r="A384" i="4"/>
  <c r="BC81" i="4"/>
  <c r="BM81" i="4"/>
  <c r="BH81" i="4"/>
  <c r="BK140" i="4"/>
  <c r="CF138" i="4"/>
  <c r="BT214" i="4" s="1"/>
  <c r="BX128" i="4"/>
  <c r="CB128" i="4"/>
  <c r="CE140" i="4"/>
  <c r="BX194" i="4"/>
  <c r="A409" i="4"/>
  <c r="C113" i="4"/>
  <c r="C407" i="4"/>
  <c r="C269" i="4"/>
  <c r="C338" i="4" s="1"/>
  <c r="C187" i="4"/>
  <c r="BJ140" i="4"/>
  <c r="BL140" i="4"/>
  <c r="CF135" i="4"/>
  <c r="BT211" i="4" s="1"/>
  <c r="BI140" i="4"/>
  <c r="BM120" i="4"/>
  <c r="CA120" i="4"/>
  <c r="CD128" i="4"/>
  <c r="CC140" i="4"/>
  <c r="D216" i="4"/>
  <c r="I69" i="4"/>
  <c r="I10" i="18" s="1"/>
  <c r="I12" i="18" s="1"/>
  <c r="CF95" i="4"/>
  <c r="BT171" i="4" s="1"/>
  <c r="A386" i="4"/>
  <c r="A426" i="4"/>
  <c r="BO137" i="4"/>
  <c r="BC213" i="4" s="1"/>
  <c r="CF137" i="4"/>
  <c r="BT213" i="4" s="1"/>
  <c r="BH140" i="4"/>
  <c r="BE140" i="4"/>
  <c r="F69" i="4"/>
  <c r="F10" i="18" s="1"/>
  <c r="F12" i="18" s="1"/>
  <c r="F22" i="17"/>
  <c r="CF62" i="4"/>
  <c r="BZ66" i="4"/>
  <c r="BT120" i="4"/>
  <c r="CF118" i="4"/>
  <c r="BT194" i="4" s="1"/>
  <c r="CF93" i="4"/>
  <c r="BT169" i="4" s="1"/>
  <c r="C431" i="4"/>
  <c r="C293" i="4"/>
  <c r="C362" i="4" s="1"/>
  <c r="C137" i="4"/>
  <c r="C211" i="4"/>
  <c r="C290" i="4"/>
  <c r="C359" i="4" s="1"/>
  <c r="C134" i="4"/>
  <c r="C428" i="4"/>
  <c r="C208" i="4"/>
  <c r="C181" i="4"/>
  <c r="C107" i="4"/>
  <c r="C401" i="4"/>
  <c r="C263" i="4"/>
  <c r="C332" i="4" s="1"/>
  <c r="C277" i="4"/>
  <c r="C346" i="4" s="1"/>
  <c r="C195" i="4"/>
  <c r="C121" i="4"/>
  <c r="C415" i="4"/>
  <c r="BV140" i="4"/>
  <c r="CF136" i="4"/>
  <c r="BT212" i="4" s="1"/>
  <c r="BT140" i="4"/>
  <c r="AA17" i="4"/>
  <c r="AA41" i="4"/>
  <c r="B329" i="4"/>
  <c r="B398" i="4"/>
  <c r="BV23" i="4"/>
  <c r="B319" i="4"/>
  <c r="B388" i="4"/>
  <c r="CF20" i="4"/>
  <c r="BO11" i="4"/>
  <c r="BH13" i="4"/>
  <c r="CB85" i="4"/>
  <c r="CA85" i="4"/>
  <c r="BZ85" i="4"/>
  <c r="BX85" i="4"/>
  <c r="BW85" i="4"/>
  <c r="BY85" i="4"/>
  <c r="BT85" i="4"/>
  <c r="CC85" i="4"/>
  <c r="BV85" i="4"/>
  <c r="CD85" i="4"/>
  <c r="CE85" i="4"/>
  <c r="BU85" i="4"/>
  <c r="BN85" i="4"/>
  <c r="BI85" i="4"/>
  <c r="BH85" i="4"/>
  <c r="B85" i="4"/>
  <c r="BK85" i="4"/>
  <c r="BJ85" i="4"/>
  <c r="BE85" i="4"/>
  <c r="BL85" i="4"/>
  <c r="BG85" i="4"/>
  <c r="BF85" i="4"/>
  <c r="BD85" i="4"/>
  <c r="BC85" i="4"/>
  <c r="BM85" i="4"/>
  <c r="BF13" i="4"/>
  <c r="BV157" i="4"/>
  <c r="BU157" i="4"/>
  <c r="BX157" i="4"/>
  <c r="BW157" i="4"/>
  <c r="BG157" i="4"/>
  <c r="BE157" i="4"/>
  <c r="BD157" i="4"/>
  <c r="BF157" i="4"/>
  <c r="BM13" i="4"/>
  <c r="BK13" i="4"/>
  <c r="BL13" i="4"/>
  <c r="CE13" i="4"/>
  <c r="CD13" i="4"/>
  <c r="CB13" i="4"/>
  <c r="BZ23" i="4"/>
  <c r="CF8" i="4"/>
  <c r="BU46" i="4"/>
  <c r="CF46" i="4" s="1"/>
  <c r="CF41" i="4"/>
  <c r="CF84" i="4"/>
  <c r="BT160" i="4" s="1"/>
  <c r="BO118" i="4"/>
  <c r="BC194" i="4" s="1"/>
  <c r="C191" i="4"/>
  <c r="C273" i="4"/>
  <c r="C342" i="4" s="1"/>
  <c r="C411" i="4"/>
  <c r="C117" i="4"/>
  <c r="C285" i="4"/>
  <c r="C354" i="4" s="1"/>
  <c r="C203" i="4"/>
  <c r="C129" i="4"/>
  <c r="C423" i="4"/>
  <c r="C387" i="4"/>
  <c r="C167" i="4"/>
  <c r="C93" i="4"/>
  <c r="C249" i="4"/>
  <c r="C318" i="4" s="1"/>
  <c r="C436" i="4"/>
  <c r="C216" i="4"/>
  <c r="C298" i="4"/>
  <c r="C367" i="4" s="1"/>
  <c r="C142" i="4"/>
  <c r="C391" i="4"/>
  <c r="C253" i="4"/>
  <c r="C322" i="4" s="1"/>
  <c r="C171" i="4"/>
  <c r="C97" i="4"/>
  <c r="J79" i="4"/>
  <c r="AB5" i="4"/>
  <c r="J235" i="4"/>
  <c r="J304" i="4" s="1"/>
  <c r="CF124" i="4"/>
  <c r="BT200" i="4" s="1"/>
  <c r="BT128" i="4"/>
  <c r="BY140" i="4"/>
  <c r="BU168" i="4"/>
  <c r="BX168" i="4"/>
  <c r="BW168" i="4"/>
  <c r="BV168" i="4"/>
  <c r="BG168" i="4"/>
  <c r="BD168" i="4"/>
  <c r="BF168" i="4"/>
  <c r="BE168" i="4"/>
  <c r="B159" i="4"/>
  <c r="A241" i="4"/>
  <c r="A310" i="4"/>
  <c r="B310" i="4"/>
  <c r="B379" i="4"/>
  <c r="CF11" i="4"/>
  <c r="BE13" i="4"/>
  <c r="BX83" i="4"/>
  <c r="BW83" i="4"/>
  <c r="BY83" i="4"/>
  <c r="CE83" i="4"/>
  <c r="BU83" i="4"/>
  <c r="BV83" i="4"/>
  <c r="CA83" i="4"/>
  <c r="CC83" i="4"/>
  <c r="CB83" i="4"/>
  <c r="BZ83" i="4"/>
  <c r="BT83" i="4"/>
  <c r="CD83" i="4"/>
  <c r="BG83" i="4"/>
  <c r="BF83" i="4"/>
  <c r="BL83" i="4"/>
  <c r="B83" i="4"/>
  <c r="BC83" i="4"/>
  <c r="BM83" i="4"/>
  <c r="BN83" i="4"/>
  <c r="BI83" i="4"/>
  <c r="BJ83" i="4"/>
  <c r="BK83" i="4"/>
  <c r="BE83" i="4"/>
  <c r="BH83" i="4"/>
  <c r="BD83" i="4"/>
  <c r="CF9" i="4"/>
  <c r="BG13" i="4"/>
  <c r="BI13" i="4"/>
  <c r="BY13" i="4"/>
  <c r="BW155" i="4"/>
  <c r="BV155" i="4"/>
  <c r="BU155" i="4"/>
  <c r="BE155" i="4"/>
  <c r="BD155" i="4"/>
  <c r="BF155" i="4"/>
  <c r="BG155" i="4"/>
  <c r="BX155" i="4"/>
  <c r="BT13" i="4"/>
  <c r="CF7" i="4"/>
  <c r="BV13" i="4"/>
  <c r="P66" i="4"/>
  <c r="D214" i="4" s="1"/>
  <c r="CF19" i="4"/>
  <c r="BT23" i="4"/>
  <c r="C259" i="4"/>
  <c r="C328" i="4" s="1"/>
  <c r="C103" i="4"/>
  <c r="C397" i="4"/>
  <c r="C177" i="4"/>
  <c r="C417" i="4"/>
  <c r="C197" i="4"/>
  <c r="C123" i="4"/>
  <c r="C279" i="4"/>
  <c r="C348" i="4" s="1"/>
  <c r="M79" i="4"/>
  <c r="AE5" i="4"/>
  <c r="M235" i="4"/>
  <c r="M304" i="4" s="1"/>
  <c r="C281" i="4"/>
  <c r="C350" i="4" s="1"/>
  <c r="C199" i="4"/>
  <c r="C419" i="4"/>
  <c r="C125" i="4"/>
  <c r="C238" i="4"/>
  <c r="C307" i="4" s="1"/>
  <c r="C156" i="4"/>
  <c r="C82" i="4"/>
  <c r="C376" i="4"/>
  <c r="BD140" i="4"/>
  <c r="BO136" i="4"/>
  <c r="BC212" i="4" s="1"/>
  <c r="CD140" i="4"/>
  <c r="BC33" i="4"/>
  <c r="BO30" i="4"/>
  <c r="BT104" i="4"/>
  <c r="CC104" i="4"/>
  <c r="CC107" i="4" s="1"/>
  <c r="CD104" i="4"/>
  <c r="CD107" i="4" s="1"/>
  <c r="CE104" i="4"/>
  <c r="CE107" i="4" s="1"/>
  <c r="BU104" i="4"/>
  <c r="BU107" i="4" s="1"/>
  <c r="BV104" i="4"/>
  <c r="BV107" i="4" s="1"/>
  <c r="CB104" i="4"/>
  <c r="CB107" i="4" s="1"/>
  <c r="CA104" i="4"/>
  <c r="CA107" i="4" s="1"/>
  <c r="BZ104" i="4"/>
  <c r="BZ107" i="4" s="1"/>
  <c r="BX104" i="4"/>
  <c r="BX107" i="4" s="1"/>
  <c r="BW104" i="4"/>
  <c r="BW107" i="4" s="1"/>
  <c r="BY104" i="4"/>
  <c r="BY107" i="4" s="1"/>
  <c r="BJ104" i="4"/>
  <c r="BJ107" i="4" s="1"/>
  <c r="BM104" i="4"/>
  <c r="BM107" i="4" s="1"/>
  <c r="BG104" i="4"/>
  <c r="BG107" i="4" s="1"/>
  <c r="B104" i="4"/>
  <c r="BF104" i="4"/>
  <c r="BF107" i="4" s="1"/>
  <c r="BI104" i="4"/>
  <c r="BI107" i="4" s="1"/>
  <c r="BL104" i="4"/>
  <c r="BL107" i="4" s="1"/>
  <c r="BC104" i="4"/>
  <c r="BE104" i="4"/>
  <c r="BE107" i="4" s="1"/>
  <c r="BH104" i="4"/>
  <c r="BH107" i="4" s="1"/>
  <c r="BN104" i="4"/>
  <c r="BN107" i="4" s="1"/>
  <c r="BD104" i="4"/>
  <c r="BD107" i="4" s="1"/>
  <c r="BK104" i="4"/>
  <c r="BK107" i="4" s="1"/>
  <c r="BU178" i="4"/>
  <c r="BU181" i="4" s="1"/>
  <c r="BX178" i="4"/>
  <c r="BX181" i="4" s="1"/>
  <c r="BW178" i="4"/>
  <c r="BW181" i="4" s="1"/>
  <c r="BV178" i="4"/>
  <c r="BV181" i="4" s="1"/>
  <c r="BF178" i="4"/>
  <c r="BF181" i="4" s="1"/>
  <c r="BG178" i="4"/>
  <c r="BG181" i="4" s="1"/>
  <c r="BE178" i="4"/>
  <c r="BE181" i="4" s="1"/>
  <c r="CF30" i="4"/>
  <c r="BU159" i="4"/>
  <c r="BX159" i="4"/>
  <c r="BW159" i="4"/>
  <c r="BV159" i="4"/>
  <c r="BD159" i="4"/>
  <c r="BF159" i="4"/>
  <c r="BG159" i="4"/>
  <c r="BE159" i="4"/>
  <c r="B377" i="4"/>
  <c r="B308" i="4"/>
  <c r="BJ13" i="4"/>
  <c r="BN13" i="4"/>
  <c r="BZ13" i="4"/>
  <c r="BX13" i="4"/>
  <c r="CC13" i="4"/>
  <c r="CA13" i="4"/>
  <c r="BC120" i="4"/>
  <c r="D22" i="17"/>
  <c r="P67" i="4"/>
  <c r="D69" i="4"/>
  <c r="D10" i="18" s="1"/>
  <c r="CF29" i="4"/>
  <c r="BT33" i="4"/>
  <c r="CF21" i="4"/>
  <c r="CF10" i="4"/>
  <c r="A429" i="4"/>
  <c r="C383" i="4"/>
  <c r="C245" i="4"/>
  <c r="C314" i="4" s="1"/>
  <c r="C163" i="4"/>
  <c r="C89" i="4"/>
  <c r="C266" i="4"/>
  <c r="C335" i="4" s="1"/>
  <c r="C404" i="4"/>
  <c r="C184" i="4"/>
  <c r="C110" i="4"/>
  <c r="U21" i="4"/>
  <c r="U33" i="4"/>
  <c r="U45" i="4" s="1"/>
  <c r="U57" i="4" s="1"/>
  <c r="N235" i="4"/>
  <c r="N304" i="4" s="1"/>
  <c r="N79" i="4"/>
  <c r="AF5" i="4"/>
  <c r="G79" i="4"/>
  <c r="Y5" i="4"/>
  <c r="G235" i="4"/>
  <c r="G304" i="4" s="1"/>
  <c r="Z17" i="4"/>
  <c r="Z41" i="4"/>
  <c r="BX140" i="4"/>
  <c r="BL128" i="4"/>
  <c r="B178" i="4"/>
  <c r="A329" i="4"/>
  <c r="A260" i="4"/>
  <c r="BO20" i="4"/>
  <c r="B168" i="4"/>
  <c r="A250" i="4"/>
  <c r="A319" i="4"/>
  <c r="BT94" i="4"/>
  <c r="CC94" i="4"/>
  <c r="CD94" i="4"/>
  <c r="CA94" i="4"/>
  <c r="BY94" i="4"/>
  <c r="BY97" i="4" s="1"/>
  <c r="CB94" i="4"/>
  <c r="CB97" i="4" s="1"/>
  <c r="BW94" i="4"/>
  <c r="BW97" i="4" s="1"/>
  <c r="BV94" i="4"/>
  <c r="BX94" i="4"/>
  <c r="BX97" i="4" s="1"/>
  <c r="BU94" i="4"/>
  <c r="BU97" i="4" s="1"/>
  <c r="CE94" i="4"/>
  <c r="CE97" i="4" s="1"/>
  <c r="BL94" i="4"/>
  <c r="BL97" i="4" s="1"/>
  <c r="BK94" i="4"/>
  <c r="BD94" i="4"/>
  <c r="BC94" i="4"/>
  <c r="BZ94" i="4"/>
  <c r="BZ97" i="4" s="1"/>
  <c r="BN94" i="4"/>
  <c r="BN97" i="4" s="1"/>
  <c r="BG94" i="4"/>
  <c r="BG97" i="4" s="1"/>
  <c r="BE94" i="4"/>
  <c r="BE97" i="4" s="1"/>
  <c r="BM94" i="4"/>
  <c r="BM97" i="4" s="1"/>
  <c r="BH94" i="4"/>
  <c r="BH97" i="4" s="1"/>
  <c r="BJ94" i="4"/>
  <c r="BI94" i="4"/>
  <c r="BI97" i="4" s="1"/>
  <c r="BF94" i="4"/>
  <c r="B94" i="4"/>
  <c r="CD23" i="4"/>
  <c r="B157" i="4"/>
  <c r="A308" i="4"/>
  <c r="A239" i="4"/>
  <c r="BC13" i="4"/>
  <c r="BO7" i="4"/>
  <c r="A306" i="4"/>
  <c r="B155" i="4"/>
  <c r="A237" i="4"/>
  <c r="BD13" i="4"/>
  <c r="B306" i="4"/>
  <c r="B375" i="4"/>
  <c r="BU13" i="4"/>
  <c r="BW13" i="4"/>
  <c r="E153" i="4"/>
  <c r="U17" i="4" s="1"/>
  <c r="X72" i="14"/>
  <c r="Y72" i="14" s="1"/>
  <c r="Z72" i="14" s="1"/>
  <c r="M349" i="6"/>
  <c r="J7" i="16"/>
  <c r="F349" i="6"/>
  <c r="B142" i="16"/>
  <c r="B171" i="16" s="1"/>
  <c r="D55" i="16"/>
  <c r="E55" i="16" s="1"/>
  <c r="F55" i="16" s="1"/>
  <c r="G55" i="16" s="1"/>
  <c r="H55" i="16" s="1"/>
  <c r="E349" i="6"/>
  <c r="E347" i="6" s="1"/>
  <c r="CX42" i="16"/>
  <c r="CW42" i="16"/>
  <c r="K349" i="6"/>
  <c r="C366" i="6"/>
  <c r="H365" i="6" s="1"/>
  <c r="F7" i="16"/>
  <c r="H7" i="16"/>
  <c r="CX34" i="16"/>
  <c r="O349" i="6"/>
  <c r="CW34" i="16"/>
  <c r="BD181" i="4"/>
  <c r="N349" i="6"/>
  <c r="K347" i="6" s="1"/>
  <c r="S349" i="6"/>
  <c r="D133" i="6"/>
  <c r="D136" i="6" s="1"/>
  <c r="D159" i="6"/>
  <c r="D164" i="6" s="1"/>
  <c r="F156" i="6"/>
  <c r="E156" i="6" s="1"/>
  <c r="E423" i="6"/>
  <c r="F423" i="6" s="1"/>
  <c r="G423" i="6" s="1"/>
  <c r="H423" i="6" s="1"/>
  <c r="I423" i="6" s="1"/>
  <c r="E390" i="6"/>
  <c r="F390" i="6" s="1"/>
  <c r="G390" i="6" s="1"/>
  <c r="H390" i="6" s="1"/>
  <c r="I390" i="6" s="1"/>
  <c r="F379" i="6"/>
  <c r="G379" i="6" s="1"/>
  <c r="H379" i="6" s="1"/>
  <c r="I379" i="6" s="1"/>
  <c r="C378" i="6"/>
  <c r="C389" i="6" s="1"/>
  <c r="C400" i="6" s="1"/>
  <c r="C411" i="6" s="1"/>
  <c r="C422" i="6" s="1"/>
  <c r="E401" i="6"/>
  <c r="F401" i="6" s="1"/>
  <c r="G401" i="6" s="1"/>
  <c r="H401" i="6" s="1"/>
  <c r="I401" i="6" s="1"/>
  <c r="E412" i="6"/>
  <c r="F412" i="6" s="1"/>
  <c r="G412" i="6" s="1"/>
  <c r="H412" i="6" s="1"/>
  <c r="I412" i="6" s="1"/>
  <c r="CX53" i="16"/>
  <c r="B53" i="16" s="1"/>
  <c r="F174" i="6"/>
  <c r="D185" i="6"/>
  <c r="D107" i="6"/>
  <c r="F104" i="6"/>
  <c r="F96" i="6"/>
  <c r="G105" i="16"/>
  <c r="K105" i="16"/>
  <c r="M105" i="16"/>
  <c r="I105" i="16"/>
  <c r="E54" i="18"/>
  <c r="D123" i="18"/>
  <c r="F130" i="6"/>
  <c r="P349" i="6"/>
  <c r="E366" i="6"/>
  <c r="L349" i="6"/>
  <c r="G349" i="6"/>
  <c r="F347" i="6" s="1"/>
  <c r="I349" i="6"/>
  <c r="G70" i="6" l="1"/>
  <c r="G96" i="6"/>
  <c r="G122" i="6" s="1"/>
  <c r="G148" i="6" s="1"/>
  <c r="G174" i="6" s="1"/>
  <c r="AA4" i="14"/>
  <c r="H39" i="14"/>
  <c r="AA38" i="14" s="1"/>
  <c r="BF97" i="4"/>
  <c r="CA97" i="4"/>
  <c r="BJ46" i="4"/>
  <c r="F8" i="16"/>
  <c r="H8" i="16"/>
  <c r="AI133" i="16"/>
  <c r="C20" i="18"/>
  <c r="P39" i="14"/>
  <c r="AI38" i="14" s="1"/>
  <c r="AI4" i="14"/>
  <c r="H81" i="17"/>
  <c r="H46" i="17"/>
  <c r="L12" i="17"/>
  <c r="M46" i="17"/>
  <c r="N46" i="17"/>
  <c r="I12" i="17"/>
  <c r="C12" i="14"/>
  <c r="AB4" i="14"/>
  <c r="I39" i="14"/>
  <c r="AB38" i="14" s="1"/>
  <c r="C55" i="14"/>
  <c r="C89" i="14"/>
  <c r="BV97" i="4"/>
  <c r="I46" i="17"/>
  <c r="L46" i="17"/>
  <c r="K12" i="17"/>
  <c r="C102" i="14"/>
  <c r="C68" i="14"/>
  <c r="B104" i="16"/>
  <c r="B46" i="16"/>
  <c r="B57" i="16" s="1"/>
  <c r="P8" i="18"/>
  <c r="D43" i="18" s="1"/>
  <c r="CF207" i="4"/>
  <c r="H12" i="17"/>
  <c r="C79" i="14"/>
  <c r="V73" i="14" s="1"/>
  <c r="V5" i="14"/>
  <c r="C45" i="14"/>
  <c r="V39" i="14" s="1"/>
  <c r="P20" i="18"/>
  <c r="E43" i="18" s="1"/>
  <c r="BD97" i="4"/>
  <c r="M12" i="18"/>
  <c r="M12" i="17"/>
  <c r="O46" i="17"/>
  <c r="J46" i="17"/>
  <c r="J12" i="17"/>
  <c r="G90" i="17"/>
  <c r="G84" i="17" s="1"/>
  <c r="K46" i="17"/>
  <c r="B42" i="16"/>
  <c r="C11" i="17"/>
  <c r="X17" i="4"/>
  <c r="BO90" i="4"/>
  <c r="BC166" i="4" s="1"/>
  <c r="CF90" i="4"/>
  <c r="BT166" i="4" s="1"/>
  <c r="CC97" i="4"/>
  <c r="CD97" i="4"/>
  <c r="BJ97" i="4"/>
  <c r="BD202" i="4"/>
  <c r="D223" i="4"/>
  <c r="BK97" i="4"/>
  <c r="E246" i="4"/>
  <c r="K360" i="4"/>
  <c r="F238" i="4"/>
  <c r="E413" i="4"/>
  <c r="H334" i="4"/>
  <c r="L120" i="18"/>
  <c r="K344" i="4"/>
  <c r="I321" i="4"/>
  <c r="J273" i="4"/>
  <c r="H281" i="4"/>
  <c r="F411" i="4"/>
  <c r="G340" i="4"/>
  <c r="J320" i="4"/>
  <c r="F349" i="4"/>
  <c r="K317" i="4"/>
  <c r="N315" i="4"/>
  <c r="H288" i="4"/>
  <c r="E288" i="4"/>
  <c r="D432" i="4"/>
  <c r="G278" i="4"/>
  <c r="G314" i="4"/>
  <c r="O282" i="4"/>
  <c r="I293" i="4"/>
  <c r="BX171" i="4"/>
  <c r="L291" i="4"/>
  <c r="F294" i="4"/>
  <c r="O328" i="4"/>
  <c r="I328" i="4"/>
  <c r="N328" i="4"/>
  <c r="E274" i="4"/>
  <c r="L274" i="4"/>
  <c r="I274" i="4"/>
  <c r="F265" i="4"/>
  <c r="D265" i="4"/>
  <c r="O265" i="4"/>
  <c r="M265" i="4"/>
  <c r="L265" i="4"/>
  <c r="H265" i="4"/>
  <c r="J265" i="4"/>
  <c r="K265" i="4"/>
  <c r="N265" i="4"/>
  <c r="G413" i="4"/>
  <c r="F360" i="4"/>
  <c r="I261" i="4"/>
  <c r="G424" i="4"/>
  <c r="D344" i="4"/>
  <c r="K355" i="4"/>
  <c r="I351" i="4"/>
  <c r="E286" i="4"/>
  <c r="E351" i="4"/>
  <c r="M351" i="4"/>
  <c r="I280" i="4"/>
  <c r="D351" i="4"/>
  <c r="K286" i="4"/>
  <c r="E280" i="4"/>
  <c r="G262" i="4"/>
  <c r="J334" i="4"/>
  <c r="D311" i="4"/>
  <c r="I311" i="4"/>
  <c r="G291" i="4"/>
  <c r="L311" i="4"/>
  <c r="F320" i="4"/>
  <c r="E252" i="4"/>
  <c r="E320" i="4"/>
  <c r="G252" i="4"/>
  <c r="M314" i="4"/>
  <c r="J344" i="4"/>
  <c r="K282" i="4"/>
  <c r="K347" i="4"/>
  <c r="N287" i="4"/>
  <c r="H287" i="4"/>
  <c r="I287" i="4"/>
  <c r="E287" i="4"/>
  <c r="F331" i="4"/>
  <c r="H331" i="4"/>
  <c r="L331" i="4"/>
  <c r="E343" i="4"/>
  <c r="H344" i="4"/>
  <c r="D314" i="4"/>
  <c r="H343" i="4"/>
  <c r="F334" i="4"/>
  <c r="D240" i="4"/>
  <c r="H431" i="4"/>
  <c r="I334" i="4"/>
  <c r="H295" i="4"/>
  <c r="F295" i="4"/>
  <c r="F405" i="4"/>
  <c r="D406" i="4"/>
  <c r="H406" i="4"/>
  <c r="L348" i="4"/>
  <c r="J348" i="4"/>
  <c r="K348" i="4"/>
  <c r="F282" i="4"/>
  <c r="O349" i="4"/>
  <c r="E349" i="4"/>
  <c r="I349" i="4"/>
  <c r="L335" i="4"/>
  <c r="K335" i="4"/>
  <c r="G335" i="4"/>
  <c r="O240" i="4"/>
  <c r="M291" i="4"/>
  <c r="J280" i="4"/>
  <c r="J245" i="4"/>
  <c r="H245" i="4"/>
  <c r="O351" i="4"/>
  <c r="D294" i="4"/>
  <c r="H294" i="4"/>
  <c r="I283" i="4"/>
  <c r="J283" i="4"/>
  <c r="I294" i="4"/>
  <c r="L334" i="4"/>
  <c r="K334" i="4"/>
  <c r="L324" i="4"/>
  <c r="D324" i="4"/>
  <c r="E324" i="4"/>
  <c r="J291" i="4"/>
  <c r="L352" i="4"/>
  <c r="J352" i="4"/>
  <c r="K352" i="4"/>
  <c r="I291" i="4"/>
  <c r="M247" i="4"/>
  <c r="J247" i="4"/>
  <c r="E247" i="4"/>
  <c r="G351" i="4"/>
  <c r="F351" i="4"/>
  <c r="J351" i="4"/>
  <c r="H286" i="4"/>
  <c r="H289" i="4" s="1"/>
  <c r="H351" i="4"/>
  <c r="M286" i="4"/>
  <c r="F262" i="4"/>
  <c r="F325" i="4"/>
  <c r="L262" i="4"/>
  <c r="J311" i="4"/>
  <c r="O311" i="4"/>
  <c r="M325" i="4"/>
  <c r="D325" i="4"/>
  <c r="K320" i="4"/>
  <c r="K252" i="4"/>
  <c r="H240" i="4"/>
  <c r="I320" i="4"/>
  <c r="M252" i="4"/>
  <c r="N252" i="4"/>
  <c r="I314" i="4"/>
  <c r="N335" i="4"/>
  <c r="I282" i="4"/>
  <c r="J282" i="4"/>
  <c r="G348" i="4"/>
  <c r="J335" i="4"/>
  <c r="K287" i="4"/>
  <c r="J287" i="4"/>
  <c r="D282" i="4"/>
  <c r="E331" i="4"/>
  <c r="K331" i="4"/>
  <c r="E410" i="4"/>
  <c r="E334" i="4"/>
  <c r="G240" i="4"/>
  <c r="D431" i="4"/>
  <c r="O314" i="4"/>
  <c r="I343" i="4"/>
  <c r="L314" i="4"/>
  <c r="F343" i="4"/>
  <c r="D295" i="4"/>
  <c r="I295" i="4"/>
  <c r="E405" i="4"/>
  <c r="E406" i="4"/>
  <c r="I348" i="4"/>
  <c r="O348" i="4"/>
  <c r="F348" i="4"/>
  <c r="M282" i="4"/>
  <c r="K349" i="4"/>
  <c r="L349" i="4"/>
  <c r="F335" i="4"/>
  <c r="M335" i="4"/>
  <c r="E335" i="4"/>
  <c r="F240" i="4"/>
  <c r="H280" i="4"/>
  <c r="F245" i="4"/>
  <c r="L245" i="4"/>
  <c r="K351" i="4"/>
  <c r="M294" i="4"/>
  <c r="N294" i="4"/>
  <c r="E283" i="4"/>
  <c r="H283" i="4"/>
  <c r="D347" i="4"/>
  <c r="O334" i="4"/>
  <c r="M324" i="4"/>
  <c r="O324" i="4"/>
  <c r="E291" i="4"/>
  <c r="H352" i="4"/>
  <c r="F352" i="4"/>
  <c r="O352" i="4"/>
  <c r="H291" i="4"/>
  <c r="D247" i="4"/>
  <c r="I247" i="4"/>
  <c r="G247" i="4"/>
  <c r="D378" i="4"/>
  <c r="O280" i="4"/>
  <c r="D280" i="4"/>
  <c r="D286" i="4"/>
  <c r="L286" i="4"/>
  <c r="G286" i="4"/>
  <c r="I286" i="4"/>
  <c r="D262" i="4"/>
  <c r="N311" i="4"/>
  <c r="D291" i="4"/>
  <c r="M262" i="4"/>
  <c r="L325" i="4"/>
  <c r="L326" i="4" s="1"/>
  <c r="G325" i="4"/>
  <c r="J262" i="4"/>
  <c r="E311" i="4"/>
  <c r="E251" i="4"/>
  <c r="H251" i="4"/>
  <c r="F251" i="4"/>
  <c r="J252" i="4"/>
  <c r="J240" i="4"/>
  <c r="L252" i="4"/>
  <c r="D335" i="4"/>
  <c r="H282" i="4"/>
  <c r="N347" i="4"/>
  <c r="E348" i="4"/>
  <c r="D287" i="4"/>
  <c r="F287" i="4"/>
  <c r="I325" i="4"/>
  <c r="J331" i="4"/>
  <c r="D331" i="4"/>
  <c r="I331" i="4"/>
  <c r="G410" i="4"/>
  <c r="K240" i="4"/>
  <c r="E240" i="4"/>
  <c r="O343" i="4"/>
  <c r="L240" i="4"/>
  <c r="F431" i="4"/>
  <c r="H410" i="4"/>
  <c r="K314" i="4"/>
  <c r="K343" i="4"/>
  <c r="F410" i="4"/>
  <c r="J295" i="4"/>
  <c r="O295" i="4"/>
  <c r="M295" i="4"/>
  <c r="D405" i="4"/>
  <c r="H405" i="4"/>
  <c r="F406" i="4"/>
  <c r="H348" i="4"/>
  <c r="D348" i="4"/>
  <c r="E282" i="4"/>
  <c r="K291" i="4"/>
  <c r="J349" i="4"/>
  <c r="G349" i="4"/>
  <c r="N349" i="4"/>
  <c r="H335" i="4"/>
  <c r="H314" i="4"/>
  <c r="N240" i="4"/>
  <c r="N245" i="4"/>
  <c r="I245" i="4"/>
  <c r="E245" i="4"/>
  <c r="L294" i="4"/>
  <c r="F283" i="4"/>
  <c r="K283" i="4"/>
  <c r="M283" i="4"/>
  <c r="M251" i="4"/>
  <c r="H311" i="4"/>
  <c r="I252" i="4"/>
  <c r="I347" i="4"/>
  <c r="L287" i="4"/>
  <c r="G343" i="4"/>
  <c r="E314" i="4"/>
  <c r="I344" i="4"/>
  <c r="G405" i="4"/>
  <c r="G406" i="4"/>
  <c r="N348" i="4"/>
  <c r="L282" i="4"/>
  <c r="M349" i="4"/>
  <c r="O245" i="4"/>
  <c r="O294" i="4"/>
  <c r="D283" i="4"/>
  <c r="G347" i="4"/>
  <c r="M334" i="4"/>
  <c r="G324" i="4"/>
  <c r="N324" i="4"/>
  <c r="E352" i="4"/>
  <c r="M352" i="4"/>
  <c r="K247" i="4"/>
  <c r="F247" i="4"/>
  <c r="J294" i="4"/>
  <c r="L347" i="4"/>
  <c r="L255" i="4"/>
  <c r="M255" i="4"/>
  <c r="M316" i="4"/>
  <c r="G316" i="4"/>
  <c r="D316" i="4"/>
  <c r="O291" i="4"/>
  <c r="F278" i="4"/>
  <c r="L278" i="4"/>
  <c r="I278" i="4"/>
  <c r="G283" i="4"/>
  <c r="H320" i="4"/>
  <c r="G320" i="4"/>
  <c r="O318" i="4"/>
  <c r="F318" i="4"/>
  <c r="I318" i="4"/>
  <c r="G432" i="4"/>
  <c r="F432" i="4"/>
  <c r="F412" i="4"/>
  <c r="G399" i="4"/>
  <c r="M273" i="4"/>
  <c r="K273" i="4"/>
  <c r="E273" i="4"/>
  <c r="H246" i="4"/>
  <c r="K246" i="4"/>
  <c r="F246" i="4"/>
  <c r="F288" i="4"/>
  <c r="L288" i="4"/>
  <c r="O321" i="4"/>
  <c r="H321" i="4"/>
  <c r="E321" i="4"/>
  <c r="D321" i="4"/>
  <c r="O315" i="4"/>
  <c r="F315" i="4"/>
  <c r="G420" i="4"/>
  <c r="F344" i="4"/>
  <c r="L344" i="4"/>
  <c r="H376" i="4"/>
  <c r="J238" i="4"/>
  <c r="K238" i="4"/>
  <c r="M238" i="4"/>
  <c r="L340" i="4"/>
  <c r="E340" i="4"/>
  <c r="O340" i="4"/>
  <c r="D420" i="4"/>
  <c r="N317" i="4"/>
  <c r="O317" i="4"/>
  <c r="G317" i="4"/>
  <c r="D424" i="4"/>
  <c r="G411" i="4"/>
  <c r="E411" i="4"/>
  <c r="G357" i="4"/>
  <c r="L357" i="4"/>
  <c r="O261" i="4"/>
  <c r="G261" i="4"/>
  <c r="J261" i="4"/>
  <c r="H293" i="4"/>
  <c r="H416" i="4"/>
  <c r="M360" i="4"/>
  <c r="G360" i="4"/>
  <c r="O360" i="4"/>
  <c r="L280" i="4"/>
  <c r="E295" i="4"/>
  <c r="G311" i="4"/>
  <c r="K325" i="4"/>
  <c r="M344" i="4"/>
  <c r="N325" i="4"/>
  <c r="N331" i="4"/>
  <c r="N344" i="4"/>
  <c r="M240" i="4"/>
  <c r="G431" i="4"/>
  <c r="N295" i="4"/>
  <c r="M348" i="4"/>
  <c r="H349" i="4"/>
  <c r="I335" i="4"/>
  <c r="M245" i="4"/>
  <c r="E294" i="4"/>
  <c r="G334" i="4"/>
  <c r="H324" i="4"/>
  <c r="N352" i="4"/>
  <c r="I352" i="4"/>
  <c r="O247" i="4"/>
  <c r="N247" i="4"/>
  <c r="O347" i="4"/>
  <c r="N255" i="4"/>
  <c r="J251" i="4"/>
  <c r="F316" i="4"/>
  <c r="N316" i="4"/>
  <c r="I316" i="4"/>
  <c r="D278" i="4"/>
  <c r="O278" i="4"/>
  <c r="K278" i="4"/>
  <c r="M347" i="4"/>
  <c r="G294" i="4"/>
  <c r="M320" i="4"/>
  <c r="L318" i="4"/>
  <c r="E318" i="4"/>
  <c r="K318" i="4"/>
  <c r="E432" i="4"/>
  <c r="H412" i="4"/>
  <c r="H399" i="4"/>
  <c r="O273" i="4"/>
  <c r="F273" i="4"/>
  <c r="D273" i="4"/>
  <c r="D246" i="4"/>
  <c r="N246" i="4"/>
  <c r="I246" i="4"/>
  <c r="O288" i="4"/>
  <c r="J288" i="4"/>
  <c r="K321" i="4"/>
  <c r="J321" i="4"/>
  <c r="M321" i="4"/>
  <c r="L315" i="4"/>
  <c r="G315" i="4"/>
  <c r="M315" i="4"/>
  <c r="D315" i="4"/>
  <c r="F420" i="4"/>
  <c r="G344" i="4"/>
  <c r="E344" i="4"/>
  <c r="E376" i="4"/>
  <c r="L238" i="4"/>
  <c r="D238" i="4"/>
  <c r="I238" i="4"/>
  <c r="H340" i="4"/>
  <c r="J340" i="4"/>
  <c r="K340" i="4"/>
  <c r="F317" i="4"/>
  <c r="L317" i="4"/>
  <c r="H317" i="4"/>
  <c r="E424" i="4"/>
  <c r="H411" i="4"/>
  <c r="O357" i="4"/>
  <c r="J357" i="4"/>
  <c r="D357" i="4"/>
  <c r="N357" i="4"/>
  <c r="H261" i="4"/>
  <c r="E261" i="4"/>
  <c r="N261" i="4"/>
  <c r="G416" i="4"/>
  <c r="D416" i="4"/>
  <c r="N360" i="4"/>
  <c r="L360" i="4"/>
  <c r="O255" i="4"/>
  <c r="J314" i="4"/>
  <c r="I251" i="4"/>
  <c r="N282" i="4"/>
  <c r="G287" i="4"/>
  <c r="M331" i="4"/>
  <c r="L343" i="4"/>
  <c r="K295" i="4"/>
  <c r="O335" i="4"/>
  <c r="G245" i="4"/>
  <c r="N283" i="4"/>
  <c r="E347" i="4"/>
  <c r="D334" i="4"/>
  <c r="I324" i="4"/>
  <c r="K324" i="4"/>
  <c r="K326" i="4" s="1"/>
  <c r="N291" i="4"/>
  <c r="D352" i="4"/>
  <c r="L247" i="4"/>
  <c r="J255" i="4"/>
  <c r="G255" i="4"/>
  <c r="G251" i="4"/>
  <c r="O316" i="4"/>
  <c r="K316" i="4"/>
  <c r="L316" i="4"/>
  <c r="E278" i="4"/>
  <c r="M278" i="4"/>
  <c r="H278" i="4"/>
  <c r="J347" i="4"/>
  <c r="F347" i="4"/>
  <c r="D320" i="4"/>
  <c r="O320" i="4"/>
  <c r="N318" i="4"/>
  <c r="G318" i="4"/>
  <c r="H432" i="4"/>
  <c r="D412" i="4"/>
  <c r="F399" i="4"/>
  <c r="H273" i="4"/>
  <c r="N273" i="4"/>
  <c r="I273" i="4"/>
  <c r="G246" i="4"/>
  <c r="J246" i="4"/>
  <c r="M246" i="4"/>
  <c r="N288" i="4"/>
  <c r="M288" i="4"/>
  <c r="K288" i="4"/>
  <c r="G321" i="4"/>
  <c r="F321" i="4"/>
  <c r="H315" i="4"/>
  <c r="J315" i="4"/>
  <c r="K315" i="4"/>
  <c r="E420" i="4"/>
  <c r="O344" i="4"/>
  <c r="F376" i="4"/>
  <c r="D376" i="4"/>
  <c r="N238" i="4"/>
  <c r="E238" i="4"/>
  <c r="H238" i="4"/>
  <c r="M340" i="4"/>
  <c r="D340" i="4"/>
  <c r="F340" i="4"/>
  <c r="M317" i="4"/>
  <c r="I317" i="4"/>
  <c r="E317" i="4"/>
  <c r="H424" i="4"/>
  <c r="D411" i="4"/>
  <c r="H357" i="4"/>
  <c r="K357" i="4"/>
  <c r="M357" i="4"/>
  <c r="M261" i="4"/>
  <c r="F261" i="4"/>
  <c r="L261" i="4"/>
  <c r="M293" i="4"/>
  <c r="F416" i="4"/>
  <c r="O267" i="4"/>
  <c r="M267" i="4"/>
  <c r="J360" i="4"/>
  <c r="E357" i="4"/>
  <c r="N340" i="4"/>
  <c r="G288" i="4"/>
  <c r="D318" i="4"/>
  <c r="K294" i="4"/>
  <c r="K255" i="4"/>
  <c r="G352" i="4"/>
  <c r="G295" i="4"/>
  <c r="H252" i="4"/>
  <c r="F357" i="4"/>
  <c r="F424" i="4"/>
  <c r="I340" i="4"/>
  <c r="G238" i="4"/>
  <c r="I315" i="4"/>
  <c r="D288" i="4"/>
  <c r="G273" i="4"/>
  <c r="D399" i="4"/>
  <c r="J318" i="4"/>
  <c r="L320" i="4"/>
  <c r="J278" i="4"/>
  <c r="E316" i="4"/>
  <c r="F255" i="4"/>
  <c r="I265" i="4"/>
  <c r="H247" i="4"/>
  <c r="L283" i="4"/>
  <c r="D349" i="4"/>
  <c r="D410" i="4"/>
  <c r="J286" i="4"/>
  <c r="J289" i="4" s="1"/>
  <c r="M259" i="4"/>
  <c r="K259" i="4"/>
  <c r="D259" i="4"/>
  <c r="H259" i="4"/>
  <c r="M361" i="4"/>
  <c r="D361" i="4"/>
  <c r="K361" i="4"/>
  <c r="G361" i="4"/>
  <c r="O361" i="4"/>
  <c r="F361" i="4"/>
  <c r="A430" i="4"/>
  <c r="N361" i="4"/>
  <c r="L361" i="4"/>
  <c r="I361" i="4"/>
  <c r="J361" i="4"/>
  <c r="H361" i="4"/>
  <c r="J317" i="4"/>
  <c r="O238" i="4"/>
  <c r="N321" i="4"/>
  <c r="L246" i="4"/>
  <c r="H318" i="4"/>
  <c r="H316" i="4"/>
  <c r="E265" i="4"/>
  <c r="F324" i="4"/>
  <c r="O252" i="4"/>
  <c r="D413" i="4"/>
  <c r="D360" i="4"/>
  <c r="H360" i="4"/>
  <c r="D261" i="4"/>
  <c r="E360" i="4"/>
  <c r="E416" i="4"/>
  <c r="K261" i="4"/>
  <c r="I357" i="4"/>
  <c r="D317" i="4"/>
  <c r="G376" i="4"/>
  <c r="H420" i="4"/>
  <c r="E315" i="4"/>
  <c r="L321" i="4"/>
  <c r="O246" i="4"/>
  <c r="L273" i="4"/>
  <c r="G412" i="4"/>
  <c r="M318" i="4"/>
  <c r="N278" i="4"/>
  <c r="J316" i="4"/>
  <c r="J324" i="4"/>
  <c r="G282" i="4"/>
  <c r="E361" i="4"/>
  <c r="N314" i="4"/>
  <c r="N343" i="4"/>
  <c r="M287" i="4"/>
  <c r="E262" i="4"/>
  <c r="E429" i="4"/>
  <c r="H119" i="18"/>
  <c r="H120" i="18"/>
  <c r="G383" i="4"/>
  <c r="E281" i="4"/>
  <c r="F380" i="4"/>
  <c r="E412" i="4"/>
  <c r="H413" i="4"/>
  <c r="G281" i="4"/>
  <c r="M274" i="4"/>
  <c r="N274" i="4"/>
  <c r="L328" i="4"/>
  <c r="F328" i="4"/>
  <c r="N259" i="4"/>
  <c r="H328" i="4"/>
  <c r="D328" i="4"/>
  <c r="D332" i="4" s="1"/>
  <c r="P332" i="4" s="1"/>
  <c r="F259" i="4"/>
  <c r="G274" i="4"/>
  <c r="K274" i="4"/>
  <c r="BG171" i="4"/>
  <c r="I281" i="4"/>
  <c r="H274" i="4"/>
  <c r="D274" i="4"/>
  <c r="E328" i="4"/>
  <c r="O259" i="4"/>
  <c r="J259" i="4"/>
  <c r="A397" i="4"/>
  <c r="H397" i="4" s="1"/>
  <c r="I259" i="4"/>
  <c r="G259" i="4"/>
  <c r="F311" i="4"/>
  <c r="K245" i="4"/>
  <c r="F291" i="4"/>
  <c r="L293" i="4"/>
  <c r="J281" i="4"/>
  <c r="F274" i="4"/>
  <c r="M328" i="4"/>
  <c r="K328" i="4"/>
  <c r="L259" i="4"/>
  <c r="E259" i="4"/>
  <c r="O287" i="4"/>
  <c r="E330" i="4"/>
  <c r="K268" i="4"/>
  <c r="O283" i="4"/>
  <c r="E399" i="4"/>
  <c r="K293" i="4"/>
  <c r="J293" i="4"/>
  <c r="E293" i="4"/>
  <c r="AD17" i="4"/>
  <c r="AD29" i="4" s="1"/>
  <c r="BO207" i="4"/>
  <c r="AZ207" i="4" s="1"/>
  <c r="BV202" i="4"/>
  <c r="H255" i="4"/>
  <c r="K281" i="4"/>
  <c r="K262" i="4"/>
  <c r="I288" i="4"/>
  <c r="F293" i="4"/>
  <c r="N293" i="4"/>
  <c r="D293" i="4"/>
  <c r="BO175" i="4"/>
  <c r="G265" i="4"/>
  <c r="CA67" i="4"/>
  <c r="K74" i="4" s="1"/>
  <c r="K24" i="17" s="1"/>
  <c r="BV171" i="4"/>
  <c r="O293" i="4"/>
  <c r="G293" i="4"/>
  <c r="O274" i="4"/>
  <c r="H342" i="4"/>
  <c r="N286" i="4"/>
  <c r="Q67" i="14"/>
  <c r="F101" i="14" s="1"/>
  <c r="F413" i="4"/>
  <c r="BF171" i="4"/>
  <c r="D383" i="4"/>
  <c r="D281" i="4"/>
  <c r="BO66" i="4"/>
  <c r="G81" i="17"/>
  <c r="G367" i="4"/>
  <c r="M367" i="4"/>
  <c r="F436" i="4"/>
  <c r="H436" i="4"/>
  <c r="G336" i="4"/>
  <c r="O367" i="4"/>
  <c r="N367" i="4"/>
  <c r="I367" i="4"/>
  <c r="E367" i="4"/>
  <c r="K341" i="4"/>
  <c r="I309" i="4"/>
  <c r="M271" i="4"/>
  <c r="H367" i="4"/>
  <c r="E356" i="4"/>
  <c r="M298" i="4"/>
  <c r="G436" i="4"/>
  <c r="I272" i="4"/>
  <c r="L268" i="4"/>
  <c r="F433" i="4"/>
  <c r="G292" i="4"/>
  <c r="K292" i="4"/>
  <c r="E292" i="4"/>
  <c r="I337" i="4"/>
  <c r="K337" i="4"/>
  <c r="J337" i="4"/>
  <c r="N256" i="4"/>
  <c r="N257" i="4" s="1"/>
  <c r="M256" i="4"/>
  <c r="H268" i="4"/>
  <c r="D272" i="4"/>
  <c r="M330" i="4"/>
  <c r="H336" i="4"/>
  <c r="H325" i="4"/>
  <c r="G272" i="4"/>
  <c r="O341" i="4"/>
  <c r="H267" i="4"/>
  <c r="D267" i="4"/>
  <c r="K311" i="4"/>
  <c r="N309" i="4"/>
  <c r="J309" i="4"/>
  <c r="O266" i="4"/>
  <c r="D279" i="4"/>
  <c r="F342" i="4"/>
  <c r="D363" i="4"/>
  <c r="I307" i="4"/>
  <c r="K248" i="4"/>
  <c r="J307" i="4"/>
  <c r="H362" i="4"/>
  <c r="G362" i="4"/>
  <c r="E362" i="4"/>
  <c r="H364" i="4"/>
  <c r="F362" i="4"/>
  <c r="O330" i="4"/>
  <c r="L330" i="4"/>
  <c r="K330" i="4"/>
  <c r="M343" i="4"/>
  <c r="E363" i="4"/>
  <c r="N363" i="4"/>
  <c r="G249" i="4"/>
  <c r="H292" i="4"/>
  <c r="O309" i="4"/>
  <c r="I268" i="4"/>
  <c r="I341" i="4"/>
  <c r="D245" i="4"/>
  <c r="G356" i="4"/>
  <c r="I275" i="4"/>
  <c r="H249" i="4"/>
  <c r="I356" i="4"/>
  <c r="H341" i="4"/>
  <c r="H298" i="4"/>
  <c r="J367" i="4"/>
  <c r="M364" i="4"/>
  <c r="O272" i="4"/>
  <c r="O325" i="4"/>
  <c r="O364" i="4"/>
  <c r="F286" i="4"/>
  <c r="M268" i="4"/>
  <c r="N272" i="4"/>
  <c r="H433" i="4"/>
  <c r="F292" i="4"/>
  <c r="N292" i="4"/>
  <c r="F337" i="4"/>
  <c r="M337" i="4"/>
  <c r="E256" i="4"/>
  <c r="K256" i="4"/>
  <c r="F364" i="4"/>
  <c r="F336" i="4"/>
  <c r="J325" i="4"/>
  <c r="H272" i="4"/>
  <c r="D336" i="4"/>
  <c r="M341" i="4"/>
  <c r="H330" i="4"/>
  <c r="J341" i="4"/>
  <c r="N267" i="4"/>
  <c r="E271" i="4"/>
  <c r="H266" i="4"/>
  <c r="L266" i="4"/>
  <c r="G309" i="4"/>
  <c r="D342" i="4"/>
  <c r="K342" i="4"/>
  <c r="D309" i="4"/>
  <c r="E433" i="4"/>
  <c r="N307" i="4"/>
  <c r="J248" i="4"/>
  <c r="G433" i="4"/>
  <c r="E266" i="4"/>
  <c r="L362" i="4"/>
  <c r="K362" i="4"/>
  <c r="I362" i="4"/>
  <c r="L336" i="4"/>
  <c r="J355" i="4"/>
  <c r="G330" i="4"/>
  <c r="J330" i="4"/>
  <c r="I330" i="4"/>
  <c r="K363" i="4"/>
  <c r="L363" i="4"/>
  <c r="J363" i="4"/>
  <c r="I242" i="4"/>
  <c r="E272" i="4"/>
  <c r="K336" i="4"/>
  <c r="M266" i="4"/>
  <c r="E336" i="4"/>
  <c r="F367" i="4"/>
  <c r="D268" i="4"/>
  <c r="D433" i="4"/>
  <c r="M292" i="4"/>
  <c r="J292" i="4"/>
  <c r="H337" i="4"/>
  <c r="G337" i="4"/>
  <c r="D337" i="4"/>
  <c r="L256" i="4"/>
  <c r="G256" i="4"/>
  <c r="I364" i="4"/>
  <c r="E267" i="4"/>
  <c r="F341" i="4"/>
  <c r="F272" i="4"/>
  <c r="N356" i="4"/>
  <c r="E364" i="4"/>
  <c r="F268" i="4"/>
  <c r="G341" i="4"/>
  <c r="D364" i="4"/>
  <c r="N341" i="4"/>
  <c r="L267" i="4"/>
  <c r="J267" i="4"/>
  <c r="K271" i="4"/>
  <c r="F309" i="4"/>
  <c r="M309" i="4"/>
  <c r="F266" i="4"/>
  <c r="J266" i="4"/>
  <c r="K266" i="4"/>
  <c r="I342" i="4"/>
  <c r="J279" i="4"/>
  <c r="M336" i="4"/>
  <c r="L367" i="4"/>
  <c r="L364" i="4"/>
  <c r="O292" i="4"/>
  <c r="O336" i="4"/>
  <c r="O286" i="4"/>
  <c r="N364" i="4"/>
  <c r="M311" i="4"/>
  <c r="H309" i="4"/>
  <c r="M279" i="4"/>
  <c r="H248" i="4"/>
  <c r="N362" i="4"/>
  <c r="K364" i="4"/>
  <c r="G355" i="4"/>
  <c r="N330" i="4"/>
  <c r="F363" i="4"/>
  <c r="L292" i="4"/>
  <c r="G267" i="4"/>
  <c r="O331" i="4"/>
  <c r="J272" i="4"/>
  <c r="F378" i="4"/>
  <c r="N351" i="4"/>
  <c r="J242" i="4"/>
  <c r="G298" i="4"/>
  <c r="O242" i="4"/>
  <c r="D252" i="4"/>
  <c r="F425" i="4"/>
  <c r="N298" i="4"/>
  <c r="E242" i="4"/>
  <c r="E425" i="4"/>
  <c r="N279" i="4"/>
  <c r="F279" i="4"/>
  <c r="O248" i="4"/>
  <c r="I248" i="4"/>
  <c r="E436" i="4"/>
  <c r="J342" i="4"/>
  <c r="G342" i="4"/>
  <c r="J298" i="4"/>
  <c r="F271" i="4"/>
  <c r="F307" i="4"/>
  <c r="D307" i="4"/>
  <c r="F249" i="4"/>
  <c r="I249" i="4"/>
  <c r="I355" i="4"/>
  <c r="L355" i="4"/>
  <c r="K275" i="4"/>
  <c r="F275" i="4"/>
  <c r="J356" i="4"/>
  <c r="J256" i="4"/>
  <c r="J257" i="4" s="1"/>
  <c r="K356" i="4"/>
  <c r="M356" i="4"/>
  <c r="K272" i="4"/>
  <c r="I256" i="4"/>
  <c r="J336" i="4"/>
  <c r="F355" i="4"/>
  <c r="D330" i="4"/>
  <c r="O256" i="4"/>
  <c r="E378" i="4"/>
  <c r="H242" i="4"/>
  <c r="N242" i="4"/>
  <c r="O251" i="4"/>
  <c r="K279" i="4"/>
  <c r="D248" i="4"/>
  <c r="N271" i="4"/>
  <c r="L249" i="4"/>
  <c r="D249" i="4"/>
  <c r="D275" i="4"/>
  <c r="I255" i="4"/>
  <c r="F256" i="4"/>
  <c r="O356" i="4"/>
  <c r="J362" i="4"/>
  <c r="K367" i="4"/>
  <c r="D292" i="4"/>
  <c r="O337" i="4"/>
  <c r="E268" i="4"/>
  <c r="G266" i="4"/>
  <c r="O342" i="4"/>
  <c r="N337" i="4"/>
  <c r="O363" i="4"/>
  <c r="O362" i="4"/>
  <c r="G364" i="4"/>
  <c r="J343" i="4"/>
  <c r="F330" i="4"/>
  <c r="M363" i="4"/>
  <c r="K249" i="4"/>
  <c r="E309" i="4"/>
  <c r="G328" i="4"/>
  <c r="D341" i="4"/>
  <c r="L272" i="4"/>
  <c r="H378" i="4"/>
  <c r="K298" i="4"/>
  <c r="H271" i="4"/>
  <c r="M242" i="4"/>
  <c r="L242" i="4"/>
  <c r="F298" i="4"/>
  <c r="J271" i="4"/>
  <c r="L351" i="4"/>
  <c r="I262" i="4"/>
  <c r="D425" i="4"/>
  <c r="O298" i="4"/>
  <c r="O271" i="4"/>
  <c r="D242" i="4"/>
  <c r="G425" i="4"/>
  <c r="E279" i="4"/>
  <c r="I279" i="4"/>
  <c r="L248" i="4"/>
  <c r="E248" i="4"/>
  <c r="L342" i="4"/>
  <c r="K242" i="4"/>
  <c r="G307" i="4"/>
  <c r="O249" i="4"/>
  <c r="N249" i="4"/>
  <c r="E355" i="4"/>
  <c r="H355" i="4"/>
  <c r="H275" i="4"/>
  <c r="N275" i="4"/>
  <c r="O268" i="4"/>
  <c r="I292" i="4"/>
  <c r="K267" i="4"/>
  <c r="I266" i="4"/>
  <c r="G280" i="4"/>
  <c r="F267" i="4"/>
  <c r="H356" i="4"/>
  <c r="L271" i="4"/>
  <c r="H425" i="4"/>
  <c r="L307" i="4"/>
  <c r="M355" i="4"/>
  <c r="M275" i="4"/>
  <c r="E298" i="4"/>
  <c r="I298" i="4"/>
  <c r="L341" i="4"/>
  <c r="I336" i="4"/>
  <c r="N262" i="4"/>
  <c r="L337" i="4"/>
  <c r="D256" i="4"/>
  <c r="N268" i="4"/>
  <c r="M272" i="4"/>
  <c r="I267" i="4"/>
  <c r="L309" i="4"/>
  <c r="N266" i="4"/>
  <c r="G363" i="4"/>
  <c r="D343" i="4"/>
  <c r="D266" i="4"/>
  <c r="D362" i="4"/>
  <c r="N336" i="4"/>
  <c r="G248" i="4"/>
  <c r="H363" i="4"/>
  <c r="K309" i="4"/>
  <c r="G268" i="4"/>
  <c r="H256" i="4"/>
  <c r="J275" i="4"/>
  <c r="G378" i="4"/>
  <c r="G271" i="4"/>
  <c r="F242" i="4"/>
  <c r="G242" i="4"/>
  <c r="D271" i="4"/>
  <c r="H262" i="4"/>
  <c r="I271" i="4"/>
  <c r="K280" i="4"/>
  <c r="O279" i="4"/>
  <c r="L279" i="4"/>
  <c r="N248" i="4"/>
  <c r="M248" i="4"/>
  <c r="N342" i="4"/>
  <c r="M342" i="4"/>
  <c r="L298" i="4"/>
  <c r="E307" i="4"/>
  <c r="O307" i="4"/>
  <c r="K307" i="4"/>
  <c r="E249" i="4"/>
  <c r="M249" i="4"/>
  <c r="O355" i="4"/>
  <c r="D355" i="4"/>
  <c r="L275" i="4"/>
  <c r="G275" i="4"/>
  <c r="E275" i="4"/>
  <c r="L356" i="4"/>
  <c r="J268" i="4"/>
  <c r="D356" i="4"/>
  <c r="E337" i="4"/>
  <c r="E341" i="4"/>
  <c r="J364" i="4"/>
  <c r="H307" i="4"/>
  <c r="M362" i="4"/>
  <c r="I363" i="4"/>
  <c r="G331" i="4"/>
  <c r="J274" i="4"/>
  <c r="O262" i="4"/>
  <c r="H279" i="4"/>
  <c r="G279" i="4"/>
  <c r="F248" i="4"/>
  <c r="E342" i="4"/>
  <c r="M307" i="4"/>
  <c r="J249" i="4"/>
  <c r="N355" i="4"/>
  <c r="O275" i="4"/>
  <c r="F356" i="4"/>
  <c r="E255" i="4"/>
  <c r="E325" i="4"/>
  <c r="I240" i="4"/>
  <c r="D25" i="17"/>
  <c r="G12" i="17" s="1"/>
  <c r="Q33" i="14"/>
  <c r="E101" i="14" s="1"/>
  <c r="I360" i="4"/>
  <c r="J328" i="4"/>
  <c r="N320" i="4"/>
  <c r="N251" i="4"/>
  <c r="H383" i="4"/>
  <c r="H380" i="4"/>
  <c r="M281" i="4"/>
  <c r="L281" i="4"/>
  <c r="CF66" i="4"/>
  <c r="N281" i="4"/>
  <c r="O281" i="4"/>
  <c r="F281" i="4"/>
  <c r="O12" i="17"/>
  <c r="D60" i="17"/>
  <c r="P60" i="17" s="1"/>
  <c r="E95" i="17" s="1"/>
  <c r="Q66" i="14"/>
  <c r="F100" i="14" s="1"/>
  <c r="N12" i="17"/>
  <c r="CU233" i="4"/>
  <c r="B233" i="4" s="1"/>
  <c r="CU235" i="4"/>
  <c r="CU302" i="4"/>
  <c r="B302" i="4" s="1"/>
  <c r="CU371" i="4"/>
  <c r="B371" i="4" s="1"/>
  <c r="F314" i="4"/>
  <c r="D26" i="17"/>
  <c r="P26" i="17" s="1"/>
  <c r="D95" i="17" s="1"/>
  <c r="Q32" i="14"/>
  <c r="E100" i="14" s="1"/>
  <c r="L295" i="4"/>
  <c r="F280" i="4"/>
  <c r="G350" i="4"/>
  <c r="N350" i="4"/>
  <c r="F350" i="4"/>
  <c r="H350" i="4"/>
  <c r="L350" i="4"/>
  <c r="A419" i="4"/>
  <c r="O350" i="4"/>
  <c r="I350" i="4"/>
  <c r="J350" i="4"/>
  <c r="M350" i="4"/>
  <c r="D350" i="4"/>
  <c r="E350" i="4"/>
  <c r="K350" i="4"/>
  <c r="N334" i="4"/>
  <c r="L251" i="4"/>
  <c r="F81" i="17"/>
  <c r="G46" i="17"/>
  <c r="F252" i="4"/>
  <c r="E431" i="4"/>
  <c r="N280" i="4"/>
  <c r="M280" i="4"/>
  <c r="D251" i="4"/>
  <c r="D255" i="4"/>
  <c r="B34" i="16"/>
  <c r="E120" i="18"/>
  <c r="CF101" i="4"/>
  <c r="BT177" i="4" s="1"/>
  <c r="CF39" i="4"/>
  <c r="M289" i="4"/>
  <c r="BO187" i="4"/>
  <c r="BO214" i="4"/>
  <c r="BG202" i="4"/>
  <c r="CE67" i="4"/>
  <c r="O74" i="4" s="1"/>
  <c r="O24" i="17" s="1"/>
  <c r="E383" i="4"/>
  <c r="F383" i="4"/>
  <c r="J120" i="18"/>
  <c r="BF202" i="4"/>
  <c r="AG41" i="4"/>
  <c r="BU202" i="4"/>
  <c r="BC67" i="4"/>
  <c r="D73" i="4" s="1"/>
  <c r="D23" i="17" s="1"/>
  <c r="BD171" i="4"/>
  <c r="CB67" i="4"/>
  <c r="L74" i="4" s="1"/>
  <c r="L24" i="17" s="1"/>
  <c r="G119" i="18"/>
  <c r="E380" i="4"/>
  <c r="G380" i="4"/>
  <c r="D380" i="4"/>
  <c r="BW67" i="4"/>
  <c r="G74" i="4" s="1"/>
  <c r="G24" i="17" s="1"/>
  <c r="CF33" i="4"/>
  <c r="BY67" i="4"/>
  <c r="I74" i="4" s="1"/>
  <c r="I24" i="17" s="1"/>
  <c r="BO194" i="4"/>
  <c r="BE67" i="4"/>
  <c r="F73" i="4" s="1"/>
  <c r="F23" i="17" s="1"/>
  <c r="H394" i="4"/>
  <c r="G394" i="4"/>
  <c r="D394" i="4"/>
  <c r="F394" i="4"/>
  <c r="E394" i="4"/>
  <c r="BX67" i="4"/>
  <c r="H74" i="4" s="1"/>
  <c r="H24" i="17" s="1"/>
  <c r="BV67" i="4"/>
  <c r="F74" i="4" s="1"/>
  <c r="F24" i="17" s="1"/>
  <c r="BI67" i="4"/>
  <c r="J73" i="4" s="1"/>
  <c r="J23" i="17" s="1"/>
  <c r="BW171" i="4"/>
  <c r="CF214" i="4"/>
  <c r="BG67" i="4"/>
  <c r="H73" i="4" s="1"/>
  <c r="H23" i="17" s="1"/>
  <c r="BH67" i="4"/>
  <c r="I73" i="4" s="1"/>
  <c r="I23" i="17" s="1"/>
  <c r="BN67" i="4"/>
  <c r="O73" i="4" s="1"/>
  <c r="O23" i="17" s="1"/>
  <c r="BU171" i="4"/>
  <c r="BM67" i="4"/>
  <c r="N73" i="4" s="1"/>
  <c r="N23" i="17" s="1"/>
  <c r="CF194" i="4"/>
  <c r="CF175" i="4"/>
  <c r="BO54" i="4"/>
  <c r="BO101" i="4"/>
  <c r="BC177" i="4" s="1"/>
  <c r="BO23" i="4"/>
  <c r="BE87" i="4"/>
  <c r="BE141" i="4" s="1"/>
  <c r="F147" i="4" s="1"/>
  <c r="F57" i="17" s="1"/>
  <c r="CB87" i="4"/>
  <c r="CB141" i="4" s="1"/>
  <c r="L148" i="4" s="1"/>
  <c r="BO39" i="4"/>
  <c r="BO59" i="4"/>
  <c r="AZ59" i="4" s="1"/>
  <c r="BO46" i="4"/>
  <c r="AZ46" i="4" s="1"/>
  <c r="BO133" i="4"/>
  <c r="BC209" i="4" s="1"/>
  <c r="CF54" i="4"/>
  <c r="BX87" i="4"/>
  <c r="BX141" i="4" s="1"/>
  <c r="H148" i="4" s="1"/>
  <c r="CF133" i="4"/>
  <c r="BT209" i="4" s="1"/>
  <c r="CA87" i="4"/>
  <c r="CA141" i="4" s="1"/>
  <c r="K148" i="4" s="1"/>
  <c r="CE87" i="4"/>
  <c r="CE141" i="4" s="1"/>
  <c r="O148" i="4" s="1"/>
  <c r="E400" i="4"/>
  <c r="H400" i="4"/>
  <c r="G400" i="4"/>
  <c r="D400" i="4"/>
  <c r="F400" i="4"/>
  <c r="P328" i="4"/>
  <c r="BZ87" i="4"/>
  <c r="BZ141" i="4" s="1"/>
  <c r="J148" i="4" s="1"/>
  <c r="BL67" i="4"/>
  <c r="M73" i="4" s="1"/>
  <c r="M23" i="17" s="1"/>
  <c r="L289" i="4"/>
  <c r="BD67" i="4"/>
  <c r="E73" i="4" s="1"/>
  <c r="E23" i="17" s="1"/>
  <c r="CC67" i="4"/>
  <c r="M74" i="4" s="1"/>
  <c r="M24" i="17" s="1"/>
  <c r="BD87" i="4"/>
  <c r="BD141" i="4" s="1"/>
  <c r="E147" i="4" s="1"/>
  <c r="E57" i="17" s="1"/>
  <c r="BE171" i="4"/>
  <c r="BX202" i="4"/>
  <c r="BJ67" i="4"/>
  <c r="K73" i="4" s="1"/>
  <c r="K23" i="17" s="1"/>
  <c r="BN87" i="4"/>
  <c r="BN141" i="4" s="1"/>
  <c r="O147" i="4" s="1"/>
  <c r="O57" i="17" s="1"/>
  <c r="BT87" i="4"/>
  <c r="BY87" i="4"/>
  <c r="BY141" i="4" s="1"/>
  <c r="I148" i="4" s="1"/>
  <c r="BK67" i="4"/>
  <c r="L73" i="4" s="1"/>
  <c r="L23" i="17" s="1"/>
  <c r="AG53" i="4"/>
  <c r="AG29" i="4"/>
  <c r="BO33" i="4"/>
  <c r="BK87" i="4"/>
  <c r="BK141" i="4" s="1"/>
  <c r="L147" i="4" s="1"/>
  <c r="L57" i="17" s="1"/>
  <c r="BV87" i="4"/>
  <c r="BV141" i="4" s="1"/>
  <c r="F148" i="4" s="1"/>
  <c r="BW87" i="4"/>
  <c r="BW141" i="4" s="1"/>
  <c r="G148" i="4" s="1"/>
  <c r="BU67" i="4"/>
  <c r="E74" i="4" s="1"/>
  <c r="E24" i="17" s="1"/>
  <c r="BO140" i="4"/>
  <c r="BG87" i="4"/>
  <c r="BG141" i="4" s="1"/>
  <c r="H147" i="4" s="1"/>
  <c r="H57" i="17" s="1"/>
  <c r="BF67" i="4"/>
  <c r="G73" i="4" s="1"/>
  <c r="G23" i="17" s="1"/>
  <c r="G430" i="4"/>
  <c r="H430" i="4"/>
  <c r="F430" i="4"/>
  <c r="D430" i="4"/>
  <c r="E430" i="4"/>
  <c r="BE202" i="4"/>
  <c r="BO113" i="4"/>
  <c r="BC189" i="4" s="1"/>
  <c r="CF81" i="4"/>
  <c r="BT157" i="4" s="1"/>
  <c r="BO81" i="4"/>
  <c r="BC157" i="4" s="1"/>
  <c r="BZ67" i="4"/>
  <c r="J74" i="4" s="1"/>
  <c r="J24" i="17" s="1"/>
  <c r="CF113" i="4"/>
  <c r="BT189" i="4" s="1"/>
  <c r="Q141" i="4"/>
  <c r="H404" i="4"/>
  <c r="G404" i="4"/>
  <c r="D404" i="4"/>
  <c r="F404" i="4"/>
  <c r="E404" i="4"/>
  <c r="CF181" i="4"/>
  <c r="CD87" i="4"/>
  <c r="CD141" i="4" s="1"/>
  <c r="N148" i="4" s="1"/>
  <c r="G418" i="4"/>
  <c r="E418" i="4"/>
  <c r="F418" i="4"/>
  <c r="H418" i="4"/>
  <c r="D418" i="4"/>
  <c r="BO110" i="4"/>
  <c r="BC186" i="4" s="1"/>
  <c r="CF110" i="4"/>
  <c r="BT186" i="4" s="1"/>
  <c r="F417" i="4"/>
  <c r="G417" i="4"/>
  <c r="D417" i="4"/>
  <c r="E417" i="4"/>
  <c r="H417" i="4"/>
  <c r="M119" i="18"/>
  <c r="M120" i="18"/>
  <c r="BM87" i="4"/>
  <c r="BM141" i="4" s="1"/>
  <c r="N147" i="4" s="1"/>
  <c r="N57" i="17" s="1"/>
  <c r="BF87" i="4"/>
  <c r="BF141" i="4" s="1"/>
  <c r="G147" i="4" s="1"/>
  <c r="G57" i="17" s="1"/>
  <c r="G387" i="4"/>
  <c r="F387" i="4"/>
  <c r="E387" i="4"/>
  <c r="H387" i="4"/>
  <c r="D387" i="4"/>
  <c r="E393" i="4"/>
  <c r="H393" i="4"/>
  <c r="D393" i="4"/>
  <c r="G393" i="4"/>
  <c r="F393" i="4"/>
  <c r="D403" i="4"/>
  <c r="F403" i="4"/>
  <c r="H403" i="4"/>
  <c r="E403" i="4"/>
  <c r="G403" i="4"/>
  <c r="BO128" i="4"/>
  <c r="BC204" i="4" s="1"/>
  <c r="BO120" i="4"/>
  <c r="BC196" i="4" s="1"/>
  <c r="BJ87" i="4"/>
  <c r="BJ141" i="4" s="1"/>
  <c r="K147" i="4" s="1"/>
  <c r="K57" i="17" s="1"/>
  <c r="BU87" i="4"/>
  <c r="BU141" i="4" s="1"/>
  <c r="E148" i="4" s="1"/>
  <c r="CF128" i="4"/>
  <c r="BT204" i="4" s="1"/>
  <c r="CF120" i="4"/>
  <c r="BT196" i="4" s="1"/>
  <c r="CF187" i="4"/>
  <c r="G389" i="4"/>
  <c r="E389" i="4"/>
  <c r="H389" i="4"/>
  <c r="D389" i="4"/>
  <c r="F389" i="4"/>
  <c r="H421" i="4"/>
  <c r="D421" i="4"/>
  <c r="F421" i="4"/>
  <c r="G421" i="4"/>
  <c r="E421" i="4"/>
  <c r="D385" i="4"/>
  <c r="G385" i="4"/>
  <c r="E385" i="4"/>
  <c r="H385" i="4"/>
  <c r="F385" i="4"/>
  <c r="K119" i="18"/>
  <c r="K120" i="18"/>
  <c r="AC53" i="4"/>
  <c r="AC29" i="4"/>
  <c r="O120" i="18"/>
  <c r="O119" i="18"/>
  <c r="G386" i="4"/>
  <c r="E386" i="4"/>
  <c r="H386" i="4"/>
  <c r="F386" i="4"/>
  <c r="D386" i="4"/>
  <c r="F409" i="4"/>
  <c r="E409" i="4"/>
  <c r="G409" i="4"/>
  <c r="H409" i="4"/>
  <c r="D409" i="4"/>
  <c r="V53" i="4"/>
  <c r="V29" i="4"/>
  <c r="H390" i="4"/>
  <c r="F390" i="4"/>
  <c r="D390" i="4"/>
  <c r="E390" i="4"/>
  <c r="G390" i="4"/>
  <c r="CD67" i="4"/>
  <c r="N74" i="4" s="1"/>
  <c r="N24" i="17" s="1"/>
  <c r="G426" i="4"/>
  <c r="E426" i="4"/>
  <c r="H426" i="4"/>
  <c r="F426" i="4"/>
  <c r="D426" i="4"/>
  <c r="I120" i="18"/>
  <c r="I119" i="18"/>
  <c r="E384" i="4"/>
  <c r="G384" i="4"/>
  <c r="F384" i="4"/>
  <c r="H384" i="4"/>
  <c r="D384" i="4"/>
  <c r="CC87" i="4"/>
  <c r="W29" i="4"/>
  <c r="W53" i="4"/>
  <c r="BO181" i="4"/>
  <c r="BO13" i="4"/>
  <c r="D215" i="4"/>
  <c r="P69" i="4"/>
  <c r="D217" i="4" s="1"/>
  <c r="Q67" i="4"/>
  <c r="CF13" i="4"/>
  <c r="BD161" i="4"/>
  <c r="BW161" i="4"/>
  <c r="BC87" i="4"/>
  <c r="BO83" i="4"/>
  <c r="BO85" i="4"/>
  <c r="BC161" i="4" s="1"/>
  <c r="L306" i="4"/>
  <c r="O306" i="4"/>
  <c r="E306" i="4"/>
  <c r="H306" i="4"/>
  <c r="A375" i="4"/>
  <c r="G306" i="4"/>
  <c r="D306" i="4"/>
  <c r="N306" i="4"/>
  <c r="I306" i="4"/>
  <c r="F306" i="4"/>
  <c r="M306" i="4"/>
  <c r="K306" i="4"/>
  <c r="J306" i="4"/>
  <c r="L239" i="4"/>
  <c r="M239" i="4"/>
  <c r="N239" i="4"/>
  <c r="K239" i="4"/>
  <c r="J239" i="4"/>
  <c r="O239" i="4"/>
  <c r="E239" i="4"/>
  <c r="I239" i="4"/>
  <c r="F239" i="4"/>
  <c r="D239" i="4"/>
  <c r="H239" i="4"/>
  <c r="G239" i="4"/>
  <c r="CF94" i="4"/>
  <c r="BT170" i="4" s="1"/>
  <c r="Z53" i="4"/>
  <c r="Z29" i="4"/>
  <c r="AF41" i="4"/>
  <c r="AF17" i="4"/>
  <c r="P22" i="17"/>
  <c r="BT107" i="4"/>
  <c r="CF107" i="4" s="1"/>
  <c r="BT183" i="4" s="1"/>
  <c r="CF104" i="4"/>
  <c r="BT180" i="4" s="1"/>
  <c r="CF23" i="4"/>
  <c r="BX161" i="4"/>
  <c r="BX215" i="4" s="1"/>
  <c r="H222" i="4" s="1"/>
  <c r="BE161" i="4"/>
  <c r="BH87" i="4"/>
  <c r="BH141" i="4" s="1"/>
  <c r="I147" i="4" s="1"/>
  <c r="I57" i="17" s="1"/>
  <c r="BI87" i="4"/>
  <c r="BI141" i="4" s="1"/>
  <c r="J147" i="4" s="1"/>
  <c r="J57" i="17" s="1"/>
  <c r="CF85" i="4"/>
  <c r="BT161" i="4" s="1"/>
  <c r="F120" i="18"/>
  <c r="F119" i="18"/>
  <c r="I308" i="4"/>
  <c r="O308" i="4"/>
  <c r="M308" i="4"/>
  <c r="H308" i="4"/>
  <c r="F308" i="4"/>
  <c r="A377" i="4"/>
  <c r="K308" i="4"/>
  <c r="G308" i="4"/>
  <c r="J308" i="4"/>
  <c r="D308" i="4"/>
  <c r="N308" i="4"/>
  <c r="L308" i="4"/>
  <c r="E308" i="4"/>
  <c r="G319" i="4"/>
  <c r="F319" i="4"/>
  <c r="N319" i="4"/>
  <c r="J319" i="4"/>
  <c r="L319" i="4"/>
  <c r="H319" i="4"/>
  <c r="A388" i="4"/>
  <c r="O319" i="4"/>
  <c r="K319" i="4"/>
  <c r="D319" i="4"/>
  <c r="M319" i="4"/>
  <c r="I319" i="4"/>
  <c r="E319" i="4"/>
  <c r="F260" i="4"/>
  <c r="H260" i="4"/>
  <c r="M260" i="4"/>
  <c r="L260" i="4"/>
  <c r="G260" i="4"/>
  <c r="J260" i="4"/>
  <c r="O260" i="4"/>
  <c r="K260" i="4"/>
  <c r="N260" i="4"/>
  <c r="I260" i="4"/>
  <c r="E260" i="4"/>
  <c r="E263" i="4" s="1"/>
  <c r="D260" i="4"/>
  <c r="X53" i="4"/>
  <c r="X29" i="4"/>
  <c r="H429" i="4"/>
  <c r="G429" i="4"/>
  <c r="F429" i="4"/>
  <c r="D429" i="4"/>
  <c r="BO104" i="4"/>
  <c r="BC180" i="4" s="1"/>
  <c r="BC107" i="4"/>
  <c r="BO107" i="4" s="1"/>
  <c r="BG161" i="4"/>
  <c r="BU161" i="4"/>
  <c r="CF83" i="4"/>
  <c r="G310" i="4"/>
  <c r="H310" i="4"/>
  <c r="M310" i="4"/>
  <c r="N310" i="4"/>
  <c r="J310" i="4"/>
  <c r="F310" i="4"/>
  <c r="K310" i="4"/>
  <c r="E310" i="4"/>
  <c r="O310" i="4"/>
  <c r="I310" i="4"/>
  <c r="A379" i="4"/>
  <c r="D310" i="4"/>
  <c r="L310" i="4"/>
  <c r="N237" i="4"/>
  <c r="K237" i="4"/>
  <c r="D237" i="4"/>
  <c r="F237" i="4"/>
  <c r="O237" i="4"/>
  <c r="G237" i="4"/>
  <c r="L237" i="4"/>
  <c r="M237" i="4"/>
  <c r="H237" i="4"/>
  <c r="E237" i="4"/>
  <c r="J237" i="4"/>
  <c r="I237" i="4"/>
  <c r="BC97" i="4"/>
  <c r="BO97" i="4" s="1"/>
  <c r="BO94" i="4"/>
  <c r="BC170" i="4" s="1"/>
  <c r="H250" i="4"/>
  <c r="G250" i="4"/>
  <c r="L250" i="4"/>
  <c r="F250" i="4"/>
  <c r="E250" i="4"/>
  <c r="J250" i="4"/>
  <c r="I250" i="4"/>
  <c r="N250" i="4"/>
  <c r="K250" i="4"/>
  <c r="M250" i="4"/>
  <c r="D250" i="4"/>
  <c r="O250" i="4"/>
  <c r="A398" i="4"/>
  <c r="N329" i="4"/>
  <c r="D329" i="4"/>
  <c r="J329" i="4"/>
  <c r="O329" i="4"/>
  <c r="K329" i="4"/>
  <c r="F329" i="4"/>
  <c r="G329" i="4"/>
  <c r="M329" i="4"/>
  <c r="E329" i="4"/>
  <c r="I329" i="4"/>
  <c r="L329" i="4"/>
  <c r="H329" i="4"/>
  <c r="Y41" i="4"/>
  <c r="Y17" i="4"/>
  <c r="D12" i="18"/>
  <c r="P10" i="18"/>
  <c r="AE41" i="4"/>
  <c r="AE17" i="4"/>
  <c r="BT67" i="4"/>
  <c r="D74" i="4" s="1"/>
  <c r="BF161" i="4"/>
  <c r="BV161" i="4"/>
  <c r="H241" i="4"/>
  <c r="M241" i="4"/>
  <c r="F241" i="4"/>
  <c r="L241" i="4"/>
  <c r="G241" i="4"/>
  <c r="J241" i="4"/>
  <c r="K241" i="4"/>
  <c r="N241" i="4"/>
  <c r="O241" i="4"/>
  <c r="E241" i="4"/>
  <c r="D241" i="4"/>
  <c r="I241" i="4"/>
  <c r="AB41" i="4"/>
  <c r="AB17" i="4"/>
  <c r="AA53" i="4"/>
  <c r="AA29" i="4"/>
  <c r="BL87" i="4"/>
  <c r="BL141" i="4" s="1"/>
  <c r="M147" i="4" s="1"/>
  <c r="M57" i="17" s="1"/>
  <c r="CF140" i="4"/>
  <c r="BT97" i="4"/>
  <c r="D162" i="6"/>
  <c r="F153" i="4"/>
  <c r="G153" i="4" s="1"/>
  <c r="E159" i="6"/>
  <c r="E163" i="6" s="1"/>
  <c r="D165" i="6"/>
  <c r="D161" i="6"/>
  <c r="B174" i="16"/>
  <c r="B186" i="16"/>
  <c r="B197" i="16"/>
  <c r="B181" i="16"/>
  <c r="B166" i="16"/>
  <c r="B196" i="16"/>
  <c r="B155" i="16"/>
  <c r="B191" i="16"/>
  <c r="B150" i="16"/>
  <c r="E130" i="16"/>
  <c r="M130" i="16" s="1"/>
  <c r="B178" i="16"/>
  <c r="B160" i="16"/>
  <c r="B149" i="16"/>
  <c r="B195" i="16"/>
  <c r="B165" i="16"/>
  <c r="B159" i="16"/>
  <c r="B188" i="16"/>
  <c r="B170" i="16"/>
  <c r="B193" i="16"/>
  <c r="B180" i="16"/>
  <c r="B162" i="16"/>
  <c r="AM137" i="16"/>
  <c r="B158" i="16"/>
  <c r="B143" i="16"/>
  <c r="B152" i="16"/>
  <c r="B173" i="16"/>
  <c r="B151" i="16"/>
  <c r="B168" i="16"/>
  <c r="B185" i="16"/>
  <c r="B172" i="16"/>
  <c r="AP137" i="16"/>
  <c r="B177" i="16"/>
  <c r="B164" i="16"/>
  <c r="B167" i="16"/>
  <c r="B157" i="16"/>
  <c r="B190" i="16"/>
  <c r="B182" i="16"/>
  <c r="B176" i="16"/>
  <c r="B201" i="16"/>
  <c r="B198" i="16"/>
  <c r="B169" i="16"/>
  <c r="B202" i="16"/>
  <c r="B199" i="16"/>
  <c r="B161" i="16"/>
  <c r="B194" i="16"/>
  <c r="B179" i="16"/>
  <c r="B192" i="16"/>
  <c r="B189" i="16"/>
  <c r="B184" i="16"/>
  <c r="B183" i="16"/>
  <c r="B144" i="16"/>
  <c r="B163" i="16"/>
  <c r="B200" i="16"/>
  <c r="B187" i="16"/>
  <c r="B153" i="16"/>
  <c r="B156" i="16"/>
  <c r="B154" i="16"/>
  <c r="B175" i="16"/>
  <c r="B145" i="16"/>
  <c r="B148" i="16"/>
  <c r="B146" i="16"/>
  <c r="B147" i="16"/>
  <c r="U348" i="6"/>
  <c r="D166" i="6"/>
  <c r="D163" i="6"/>
  <c r="D167" i="6"/>
  <c r="D135" i="6"/>
  <c r="D139" i="6"/>
  <c r="D141" i="6"/>
  <c r="D137" i="6"/>
  <c r="D168" i="6"/>
  <c r="D138" i="6"/>
  <c r="E133" i="6"/>
  <c r="E137" i="6" s="1"/>
  <c r="D140" i="6"/>
  <c r="D142" i="6"/>
  <c r="E130" i="6"/>
  <c r="D116" i="6"/>
  <c r="E104" i="6"/>
  <c r="E107" i="6"/>
  <c r="E116" i="6" s="1"/>
  <c r="E117" i="6" s="1"/>
  <c r="D109" i="6"/>
  <c r="D113" i="6"/>
  <c r="D114" i="6"/>
  <c r="D111" i="6"/>
  <c r="D115" i="6"/>
  <c r="D110" i="6"/>
  <c r="D112" i="6"/>
  <c r="E123" i="18"/>
  <c r="F54" i="18"/>
  <c r="E185" i="6"/>
  <c r="D188" i="6"/>
  <c r="D189" i="6"/>
  <c r="D192" i="6"/>
  <c r="D187" i="6"/>
  <c r="D191" i="6"/>
  <c r="D193" i="6"/>
  <c r="D190" i="6"/>
  <c r="C20" i="14" l="1"/>
  <c r="C46" i="14"/>
  <c r="C32" i="14"/>
  <c r="C80" i="14"/>
  <c r="C33" i="14"/>
  <c r="AZ214" i="4"/>
  <c r="N263" i="4"/>
  <c r="K289" i="4"/>
  <c r="D257" i="4"/>
  <c r="D296" i="4"/>
  <c r="CC141" i="4"/>
  <c r="M148" i="4" s="1"/>
  <c r="M58" i="17" s="1"/>
  <c r="M48" i="17" s="1"/>
  <c r="M52" i="17" s="1"/>
  <c r="M69" i="17" s="1"/>
  <c r="E276" i="4"/>
  <c r="K332" i="4"/>
  <c r="F326" i="4"/>
  <c r="L353" i="4"/>
  <c r="E358" i="4"/>
  <c r="H338" i="4"/>
  <c r="P360" i="4"/>
  <c r="P283" i="4"/>
  <c r="J32" i="17"/>
  <c r="J36" i="17" s="1"/>
  <c r="F322" i="4"/>
  <c r="I276" i="4"/>
  <c r="H257" i="4"/>
  <c r="J338" i="4"/>
  <c r="BW215" i="4"/>
  <c r="G222" i="4" s="1"/>
  <c r="G93" i="17" s="1"/>
  <c r="H284" i="4"/>
  <c r="G345" i="4"/>
  <c r="AZ23" i="4"/>
  <c r="AZ133" i="4"/>
  <c r="AZ187" i="4"/>
  <c r="O289" i="4"/>
  <c r="H365" i="4"/>
  <c r="M358" i="4"/>
  <c r="J353" i="4"/>
  <c r="E289" i="4"/>
  <c r="G257" i="4"/>
  <c r="O263" i="4"/>
  <c r="L257" i="4"/>
  <c r="N289" i="4"/>
  <c r="D326" i="4"/>
  <c r="AZ39" i="4"/>
  <c r="L284" i="4"/>
  <c r="P315" i="4"/>
  <c r="E257" i="4"/>
  <c r="L358" i="4"/>
  <c r="H269" i="4"/>
  <c r="M276" i="4"/>
  <c r="L345" i="4"/>
  <c r="O358" i="4"/>
  <c r="J284" i="4"/>
  <c r="J326" i="4"/>
  <c r="E284" i="4"/>
  <c r="P352" i="4"/>
  <c r="G289" i="4"/>
  <c r="O284" i="4"/>
  <c r="H326" i="4"/>
  <c r="M365" i="4"/>
  <c r="E345" i="4"/>
  <c r="F289" i="4"/>
  <c r="M257" i="4"/>
  <c r="D289" i="4"/>
  <c r="I345" i="4"/>
  <c r="M326" i="4"/>
  <c r="H296" i="4"/>
  <c r="P349" i="4"/>
  <c r="O257" i="4"/>
  <c r="G414" i="4"/>
  <c r="D395" i="4"/>
  <c r="I358" i="4"/>
  <c r="BV215" i="4"/>
  <c r="F222" i="4" s="1"/>
  <c r="F93" i="17" s="1"/>
  <c r="J332" i="4"/>
  <c r="M263" i="4"/>
  <c r="I322" i="4"/>
  <c r="O322" i="4"/>
  <c r="J322" i="4"/>
  <c r="P340" i="4"/>
  <c r="E414" i="4"/>
  <c r="O353" i="4"/>
  <c r="F353" i="4"/>
  <c r="L296" i="4"/>
  <c r="E326" i="4"/>
  <c r="O365" i="4"/>
  <c r="H427" i="4"/>
  <c r="CF202" i="4"/>
  <c r="G284" i="4"/>
  <c r="J365" i="4"/>
  <c r="L276" i="4"/>
  <c r="P343" i="4"/>
  <c r="I296" i="4"/>
  <c r="P262" i="4"/>
  <c r="J345" i="4"/>
  <c r="O338" i="4"/>
  <c r="K358" i="4"/>
  <c r="K276" i="4"/>
  <c r="P351" i="4"/>
  <c r="G358" i="4"/>
  <c r="N345" i="4"/>
  <c r="M296" i="4"/>
  <c r="E338" i="4"/>
  <c r="N269" i="4"/>
  <c r="N276" i="4"/>
  <c r="O326" i="4"/>
  <c r="D284" i="4"/>
  <c r="K296" i="4"/>
  <c r="G338" i="4"/>
  <c r="P282" i="4"/>
  <c r="P317" i="4"/>
  <c r="P316" i="4"/>
  <c r="P361" i="4"/>
  <c r="P357" i="4"/>
  <c r="P261" i="4"/>
  <c r="M345" i="4"/>
  <c r="P320" i="4"/>
  <c r="P247" i="4"/>
  <c r="I326" i="4"/>
  <c r="P245" i="4"/>
  <c r="P273" i="4"/>
  <c r="P311" i="4"/>
  <c r="G365" i="4"/>
  <c r="P238" i="4"/>
  <c r="P344" i="4"/>
  <c r="P321" i="4"/>
  <c r="P288" i="4"/>
  <c r="P246" i="4"/>
  <c r="P318" i="4"/>
  <c r="P278" i="4"/>
  <c r="P294" i="4"/>
  <c r="G353" i="4"/>
  <c r="M353" i="4"/>
  <c r="P348" i="4"/>
  <c r="G326" i="4"/>
  <c r="P347" i="4"/>
  <c r="P335" i="4"/>
  <c r="P240" i="4"/>
  <c r="K338" i="4"/>
  <c r="I353" i="4"/>
  <c r="K353" i="4"/>
  <c r="P334" i="4"/>
  <c r="P265" i="4"/>
  <c r="M269" i="4"/>
  <c r="J263" i="4"/>
  <c r="H263" i="4"/>
  <c r="N322" i="4"/>
  <c r="L75" i="4"/>
  <c r="D365" i="4"/>
  <c r="D414" i="4"/>
  <c r="P324" i="4"/>
  <c r="I338" i="4"/>
  <c r="E397" i="4"/>
  <c r="I284" i="4"/>
  <c r="F257" i="4"/>
  <c r="K257" i="4"/>
  <c r="I289" i="4"/>
  <c r="N326" i="4"/>
  <c r="P252" i="4"/>
  <c r="M322" i="4"/>
  <c r="N332" i="4"/>
  <c r="M253" i="4"/>
  <c r="F434" i="4"/>
  <c r="G263" i="4"/>
  <c r="F263" i="4"/>
  <c r="H322" i="4"/>
  <c r="H414" i="4"/>
  <c r="D397" i="4"/>
  <c r="G397" i="4"/>
  <c r="F397" i="4"/>
  <c r="BU215" i="4"/>
  <c r="E222" i="4" s="1"/>
  <c r="H332" i="4"/>
  <c r="K263" i="4"/>
  <c r="L263" i="4"/>
  <c r="E322" i="4"/>
  <c r="K322" i="4"/>
  <c r="L322" i="4"/>
  <c r="G322" i="4"/>
  <c r="BO202" i="4"/>
  <c r="E353" i="4"/>
  <c r="H353" i="4"/>
  <c r="P314" i="4"/>
  <c r="I365" i="4"/>
  <c r="N358" i="4"/>
  <c r="P274" i="4"/>
  <c r="H276" i="4"/>
  <c r="F345" i="4"/>
  <c r="J296" i="4"/>
  <c r="E296" i="4"/>
  <c r="G296" i="4"/>
  <c r="N296" i="4"/>
  <c r="P287" i="4"/>
  <c r="F296" i="4"/>
  <c r="P259" i="4"/>
  <c r="M284" i="4"/>
  <c r="E269" i="4"/>
  <c r="D338" i="4"/>
  <c r="E365" i="4"/>
  <c r="P291" i="4"/>
  <c r="O276" i="4"/>
  <c r="O269" i="4"/>
  <c r="H345" i="4"/>
  <c r="O296" i="4"/>
  <c r="P293" i="4"/>
  <c r="E332" i="4"/>
  <c r="J253" i="4"/>
  <c r="G253" i="4"/>
  <c r="BG215" i="4"/>
  <c r="F414" i="4"/>
  <c r="P295" i="4"/>
  <c r="N353" i="4"/>
  <c r="K253" i="4"/>
  <c r="G434" i="4"/>
  <c r="AD53" i="4"/>
  <c r="AZ33" i="4"/>
  <c r="P280" i="4"/>
  <c r="L332" i="4"/>
  <c r="N253" i="4"/>
  <c r="BD215" i="4"/>
  <c r="E221" i="4" s="1"/>
  <c r="E407" i="4"/>
  <c r="P251" i="4"/>
  <c r="P350" i="4"/>
  <c r="F284" i="4"/>
  <c r="J269" i="4"/>
  <c r="L269" i="4"/>
  <c r="L338" i="4"/>
  <c r="I332" i="4"/>
  <c r="I263" i="4"/>
  <c r="E427" i="4"/>
  <c r="N338" i="4"/>
  <c r="D276" i="4"/>
  <c r="I269" i="4"/>
  <c r="F365" i="4"/>
  <c r="AZ175" i="4"/>
  <c r="P286" i="4"/>
  <c r="P356" i="4"/>
  <c r="K284" i="4"/>
  <c r="P266" i="4"/>
  <c r="P256" i="4"/>
  <c r="H358" i="4"/>
  <c r="K269" i="4"/>
  <c r="F358" i="4"/>
  <c r="F276" i="4"/>
  <c r="N284" i="4"/>
  <c r="P331" i="4"/>
  <c r="N365" i="4"/>
  <c r="F269" i="4"/>
  <c r="K365" i="4"/>
  <c r="J358" i="4"/>
  <c r="L365" i="4"/>
  <c r="F338" i="4"/>
  <c r="M338" i="4"/>
  <c r="O345" i="4"/>
  <c r="K345" i="4"/>
  <c r="P248" i="4"/>
  <c r="P342" i="4"/>
  <c r="D358" i="4"/>
  <c r="M332" i="4"/>
  <c r="O332" i="4"/>
  <c r="E253" i="4"/>
  <c r="H253" i="4"/>
  <c r="P281" i="4"/>
  <c r="D419" i="4"/>
  <c r="D422" i="4" s="1"/>
  <c r="F419" i="4"/>
  <c r="F422" i="4" s="1"/>
  <c r="E419" i="4"/>
  <c r="H419" i="4"/>
  <c r="H422" i="4" s="1"/>
  <c r="G419" i="4"/>
  <c r="G422" i="4" s="1"/>
  <c r="P242" i="4"/>
  <c r="P249" i="4"/>
  <c r="P337" i="4"/>
  <c r="P336" i="4"/>
  <c r="P279" i="4"/>
  <c r="P272" i="4"/>
  <c r="P275" i="4"/>
  <c r="P267" i="4"/>
  <c r="BF215" i="4"/>
  <c r="G221" i="4" s="1"/>
  <c r="G332" i="4"/>
  <c r="O253" i="4"/>
  <c r="F253" i="4"/>
  <c r="H434" i="4"/>
  <c r="D345" i="4"/>
  <c r="D427" i="4"/>
  <c r="G427" i="4"/>
  <c r="D353" i="4"/>
  <c r="E434" i="4"/>
  <c r="P255" i="4"/>
  <c r="D12" i="17"/>
  <c r="P12" i="17" s="1"/>
  <c r="D81" i="17" s="1"/>
  <c r="P25" i="17"/>
  <c r="D94" i="17" s="1"/>
  <c r="P355" i="4"/>
  <c r="G276" i="4"/>
  <c r="P292" i="4"/>
  <c r="P307" i="4"/>
  <c r="P364" i="4"/>
  <c r="P309" i="4"/>
  <c r="F332" i="4"/>
  <c r="I253" i="4"/>
  <c r="L253" i="4"/>
  <c r="F427" i="4"/>
  <c r="P325" i="4"/>
  <c r="D269" i="4"/>
  <c r="P271" i="4"/>
  <c r="P362" i="4"/>
  <c r="J276" i="4"/>
  <c r="P341" i="4"/>
  <c r="G269" i="4"/>
  <c r="I257" i="4"/>
  <c r="P330" i="4"/>
  <c r="P268" i="4"/>
  <c r="P363" i="4"/>
  <c r="P46" i="17"/>
  <c r="E81" i="17" s="1"/>
  <c r="P59" i="17"/>
  <c r="E94" i="17" s="1"/>
  <c r="H221" i="4"/>
  <c r="H92" i="17" s="1"/>
  <c r="E395" i="4"/>
  <c r="AZ194" i="4"/>
  <c r="O14" i="17"/>
  <c r="O18" i="17" s="1"/>
  <c r="O35" i="17" s="1"/>
  <c r="G75" i="4"/>
  <c r="J75" i="4"/>
  <c r="M75" i="4"/>
  <c r="H407" i="4"/>
  <c r="G395" i="4"/>
  <c r="AZ101" i="4"/>
  <c r="O75" i="4"/>
  <c r="AZ140" i="4"/>
  <c r="K75" i="4"/>
  <c r="D434" i="4"/>
  <c r="H395" i="4"/>
  <c r="L32" i="17"/>
  <c r="L36" i="17" s="1"/>
  <c r="H32" i="17"/>
  <c r="H36" i="17" s="1"/>
  <c r="F395" i="4"/>
  <c r="H75" i="4"/>
  <c r="F14" i="17"/>
  <c r="F18" i="17" s="1"/>
  <c r="F35" i="17" s="1"/>
  <c r="M32" i="17"/>
  <c r="M36" i="17" s="1"/>
  <c r="I14" i="17"/>
  <c r="I18" i="17" s="1"/>
  <c r="I35" i="17" s="1"/>
  <c r="E75" i="4"/>
  <c r="BE215" i="4"/>
  <c r="F75" i="4"/>
  <c r="AZ54" i="4"/>
  <c r="P73" i="4"/>
  <c r="I75" i="4"/>
  <c r="K14" i="17"/>
  <c r="K18" i="17" s="1"/>
  <c r="K35" i="17" s="1"/>
  <c r="G32" i="17"/>
  <c r="G36" i="17" s="1"/>
  <c r="E14" i="17"/>
  <c r="E18" i="17" s="1"/>
  <c r="E35" i="17" s="1"/>
  <c r="M14" i="17"/>
  <c r="M18" i="17" s="1"/>
  <c r="M35" i="17" s="1"/>
  <c r="BO67" i="4"/>
  <c r="AZ181" i="4"/>
  <c r="G407" i="4"/>
  <c r="D407" i="4"/>
  <c r="AZ113" i="4"/>
  <c r="J14" i="17"/>
  <c r="J18" i="17" s="1"/>
  <c r="J35" i="17" s="1"/>
  <c r="AZ128" i="4"/>
  <c r="F407" i="4"/>
  <c r="O32" i="17"/>
  <c r="O36" i="17" s="1"/>
  <c r="E422" i="4"/>
  <c r="AZ120" i="4"/>
  <c r="E32" i="17"/>
  <c r="E36" i="17" s="1"/>
  <c r="CF87" i="4"/>
  <c r="BT163" i="4" s="1"/>
  <c r="L14" i="17"/>
  <c r="L18" i="17" s="1"/>
  <c r="L35" i="17" s="1"/>
  <c r="F32" i="17"/>
  <c r="F36" i="17" s="1"/>
  <c r="N14" i="17"/>
  <c r="N18" i="17" s="1"/>
  <c r="N35" i="17" s="1"/>
  <c r="N32" i="17"/>
  <c r="N36" i="17" s="1"/>
  <c r="CF67" i="4"/>
  <c r="P239" i="4"/>
  <c r="N75" i="4"/>
  <c r="AL146" i="16"/>
  <c r="P310" i="4"/>
  <c r="AO183" i="16"/>
  <c r="D120" i="18"/>
  <c r="D119" i="18"/>
  <c r="D13" i="18"/>
  <c r="G398" i="4"/>
  <c r="D398" i="4"/>
  <c r="H398" i="4"/>
  <c r="H401" i="4" s="1"/>
  <c r="F398" i="4"/>
  <c r="E398" i="4"/>
  <c r="J243" i="4"/>
  <c r="L243" i="4"/>
  <c r="D243" i="4"/>
  <c r="P237" i="4"/>
  <c r="G379" i="4"/>
  <c r="E379" i="4"/>
  <c r="H379" i="4"/>
  <c r="F379" i="4"/>
  <c r="D379" i="4"/>
  <c r="BT159" i="4"/>
  <c r="P319" i="4"/>
  <c r="D322" i="4"/>
  <c r="P23" i="17"/>
  <c r="D92" i="17" s="1"/>
  <c r="CF161" i="4"/>
  <c r="H93" i="17"/>
  <c r="D91" i="17"/>
  <c r="AF29" i="4"/>
  <c r="AF53" i="4"/>
  <c r="F312" i="4"/>
  <c r="G312" i="4"/>
  <c r="O312" i="4"/>
  <c r="BO161" i="4"/>
  <c r="L58" i="17"/>
  <c r="L149" i="4"/>
  <c r="CF97" i="4"/>
  <c r="BT173" i="4" s="1"/>
  <c r="BT141" i="4"/>
  <c r="D148" i="4" s="1"/>
  <c r="F58" i="17"/>
  <c r="F48" i="17" s="1"/>
  <c r="F52" i="17" s="1"/>
  <c r="F69" i="17" s="1"/>
  <c r="F149" i="4"/>
  <c r="Y29" i="4"/>
  <c r="Y53" i="4"/>
  <c r="E243" i="4"/>
  <c r="G243" i="4"/>
  <c r="K243" i="4"/>
  <c r="O149" i="4"/>
  <c r="O58" i="17"/>
  <c r="P260" i="4"/>
  <c r="D263" i="4"/>
  <c r="P308" i="4"/>
  <c r="H377" i="4"/>
  <c r="G377" i="4"/>
  <c r="F377" i="4"/>
  <c r="D377" i="4"/>
  <c r="E377" i="4"/>
  <c r="G14" i="17"/>
  <c r="G18" i="17" s="1"/>
  <c r="G35" i="17" s="1"/>
  <c r="J312" i="4"/>
  <c r="I312" i="4"/>
  <c r="F375" i="4"/>
  <c r="H375" i="4"/>
  <c r="G375" i="4"/>
  <c r="E375" i="4"/>
  <c r="D375" i="4"/>
  <c r="L312" i="4"/>
  <c r="BC159" i="4"/>
  <c r="P241" i="4"/>
  <c r="J58" i="17"/>
  <c r="J149" i="4"/>
  <c r="D24" i="17"/>
  <c r="P24" i="17" s="1"/>
  <c r="D93" i="17" s="1"/>
  <c r="P74" i="4"/>
  <c r="D75" i="4"/>
  <c r="N149" i="4"/>
  <c r="N58" i="17"/>
  <c r="P329" i="4"/>
  <c r="D253" i="4"/>
  <c r="P250" i="4"/>
  <c r="BC173" i="4"/>
  <c r="H243" i="4"/>
  <c r="O243" i="4"/>
  <c r="N243" i="4"/>
  <c r="I149" i="4"/>
  <c r="I58" i="17"/>
  <c r="I66" i="17" s="1"/>
  <c r="I70" i="17" s="1"/>
  <c r="K32" i="17"/>
  <c r="K36" i="17" s="1"/>
  <c r="K312" i="4"/>
  <c r="N312" i="4"/>
  <c r="H312" i="4"/>
  <c r="BO87" i="4"/>
  <c r="BO141" i="4" s="1"/>
  <c r="BC141" i="4"/>
  <c r="D147" i="4" s="1"/>
  <c r="AZ13" i="4"/>
  <c r="I32" i="17"/>
  <c r="I36" i="17" s="1"/>
  <c r="AB53" i="4"/>
  <c r="AB29" i="4"/>
  <c r="AE29" i="4"/>
  <c r="AE53" i="4"/>
  <c r="G58" i="17"/>
  <c r="G66" i="17" s="1"/>
  <c r="G70" i="17" s="1"/>
  <c r="G149" i="4"/>
  <c r="D45" i="18"/>
  <c r="D47" i="18" s="1"/>
  <c r="P12" i="18"/>
  <c r="I243" i="4"/>
  <c r="M243" i="4"/>
  <c r="F243" i="4"/>
  <c r="K58" i="17"/>
  <c r="K149" i="4"/>
  <c r="BC183" i="4"/>
  <c r="AZ107" i="4"/>
  <c r="F388" i="4"/>
  <c r="F391" i="4" s="1"/>
  <c r="H388" i="4"/>
  <c r="H391" i="4" s="1"/>
  <c r="G388" i="4"/>
  <c r="G391" i="4" s="1"/>
  <c r="E388" i="4"/>
  <c r="E391" i="4" s="1"/>
  <c r="D388" i="4"/>
  <c r="D391" i="4" s="1"/>
  <c r="H14" i="17"/>
  <c r="H18" i="17" s="1"/>
  <c r="H35" i="17" s="1"/>
  <c r="M312" i="4"/>
  <c r="P306" i="4"/>
  <c r="D312" i="4"/>
  <c r="E312" i="4"/>
  <c r="E58" i="17"/>
  <c r="E149" i="4"/>
  <c r="H58" i="17"/>
  <c r="H149" i="4"/>
  <c r="AL195" i="16"/>
  <c r="U29" i="4"/>
  <c r="E164" i="6"/>
  <c r="E162" i="6"/>
  <c r="E161" i="6"/>
  <c r="E165" i="6"/>
  <c r="E168" i="6"/>
  <c r="E167" i="6"/>
  <c r="F159" i="6"/>
  <c r="G159" i="6" s="1"/>
  <c r="E139" i="6"/>
  <c r="AO198" i="16"/>
  <c r="E166" i="6"/>
  <c r="AO196" i="16"/>
  <c r="AO143" i="16"/>
  <c r="AL164" i="16"/>
  <c r="Y130" i="16"/>
  <c r="J130" i="16"/>
  <c r="AL144" i="16"/>
  <c r="AL168" i="16"/>
  <c r="AL159" i="16"/>
  <c r="AL176" i="16"/>
  <c r="L130" i="16"/>
  <c r="AL191" i="16"/>
  <c r="AL161" i="16"/>
  <c r="AO199" i="16"/>
  <c r="AO160" i="16"/>
  <c r="AL194" i="16"/>
  <c r="AO167" i="16"/>
  <c r="T130" i="16"/>
  <c r="AO180" i="16"/>
  <c r="AO190" i="16"/>
  <c r="AO177" i="16"/>
  <c r="AL160" i="16"/>
  <c r="AO195" i="16"/>
  <c r="AL197" i="16"/>
  <c r="AL189" i="16"/>
  <c r="AL166" i="16"/>
  <c r="AL177" i="16"/>
  <c r="AO201" i="16"/>
  <c r="F130" i="16"/>
  <c r="Z130" i="16"/>
  <c r="AO188" i="16"/>
  <c r="AO166" i="16"/>
  <c r="AL154" i="16"/>
  <c r="AL181" i="16"/>
  <c r="AL169" i="16"/>
  <c r="AL167" i="16"/>
  <c r="N130" i="16"/>
  <c r="K130" i="16"/>
  <c r="AL200" i="16"/>
  <c r="AL180" i="16"/>
  <c r="AL198" i="16"/>
  <c r="AL162" i="16"/>
  <c r="AL150" i="16"/>
  <c r="AL156" i="16"/>
  <c r="AL192" i="16"/>
  <c r="AL174" i="16"/>
  <c r="AL185" i="16"/>
  <c r="AL172" i="16"/>
  <c r="AL155" i="16"/>
  <c r="AL188" i="16"/>
  <c r="AA130" i="16"/>
  <c r="AD130" i="16"/>
  <c r="X130" i="16"/>
  <c r="O130" i="16"/>
  <c r="G130" i="16"/>
  <c r="U130" i="16"/>
  <c r="AL182" i="16"/>
  <c r="AL148" i="16"/>
  <c r="AL199" i="16"/>
  <c r="AL186" i="16"/>
  <c r="AL196" i="16"/>
  <c r="AL202" i="16"/>
  <c r="AL163" i="16"/>
  <c r="AL143" i="16"/>
  <c r="H130" i="16"/>
  <c r="I130" i="16"/>
  <c r="Q130" i="16"/>
  <c r="S130" i="16"/>
  <c r="AL149" i="16"/>
  <c r="AL147" i="16"/>
  <c r="AL173" i="16"/>
  <c r="AL153" i="16"/>
  <c r="AL170" i="16"/>
  <c r="AL152" i="16"/>
  <c r="AL171" i="16"/>
  <c r="AL179" i="16"/>
  <c r="AL145" i="16"/>
  <c r="AL201" i="16"/>
  <c r="AL178" i="16"/>
  <c r="AL190" i="16"/>
  <c r="P130" i="16"/>
  <c r="V130" i="16"/>
  <c r="AB130" i="16"/>
  <c r="AC130" i="16"/>
  <c r="W130" i="16"/>
  <c r="AL175" i="16"/>
  <c r="AL187" i="16"/>
  <c r="AL157" i="16"/>
  <c r="AO163" i="16"/>
  <c r="AL151" i="16"/>
  <c r="AL158" i="16"/>
  <c r="AL193" i="16"/>
  <c r="AL165" i="16"/>
  <c r="AO179" i="16"/>
  <c r="AO148" i="16"/>
  <c r="AO185" i="16"/>
  <c r="AO156" i="16"/>
  <c r="AO182" i="16"/>
  <c r="AO149" i="16"/>
  <c r="AO153" i="16"/>
  <c r="AO162" i="16"/>
  <c r="AO164" i="16"/>
  <c r="AO171" i="16"/>
  <c r="AO157" i="16"/>
  <c r="AO197" i="16"/>
  <c r="AO176" i="16"/>
  <c r="AO187" i="16"/>
  <c r="AO154" i="16"/>
  <c r="AO200" i="16"/>
  <c r="AO184" i="16"/>
  <c r="AL183" i="16"/>
  <c r="AO172" i="16"/>
  <c r="AO150" i="16"/>
  <c r="AO152" i="16"/>
  <c r="AO155" i="16"/>
  <c r="AO169" i="16"/>
  <c r="AO159" i="16"/>
  <c r="AO168" i="16"/>
  <c r="AO181" i="16"/>
  <c r="AO165" i="16"/>
  <c r="AO158" i="16"/>
  <c r="AO147" i="16"/>
  <c r="AO146" i="16"/>
  <c r="AO193" i="16"/>
  <c r="AO202" i="16"/>
  <c r="AO192" i="16"/>
  <c r="AO186" i="16"/>
  <c r="AO173" i="16"/>
  <c r="AO161" i="16"/>
  <c r="AO189" i="16"/>
  <c r="AO151" i="16"/>
  <c r="AO170" i="16"/>
  <c r="AO144" i="16"/>
  <c r="AO174" i="16"/>
  <c r="AO145" i="16"/>
  <c r="AO178" i="16"/>
  <c r="AO191" i="16"/>
  <c r="AO194" i="16"/>
  <c r="AL184" i="16"/>
  <c r="AO175" i="16"/>
  <c r="E136" i="6"/>
  <c r="E138" i="6"/>
  <c r="E142" i="6"/>
  <c r="E143" i="6" s="1"/>
  <c r="E135" i="6"/>
  <c r="E141" i="6"/>
  <c r="F133" i="6"/>
  <c r="F142" i="6" s="1"/>
  <c r="E140" i="6"/>
  <c r="D117" i="6"/>
  <c r="D143" i="6" s="1"/>
  <c r="F107" i="6"/>
  <c r="E110" i="6"/>
  <c r="E109" i="6"/>
  <c r="E111" i="6"/>
  <c r="E112" i="6"/>
  <c r="E114" i="6"/>
  <c r="E113" i="6"/>
  <c r="E115" i="6"/>
  <c r="F185" i="6"/>
  <c r="E193" i="6"/>
  <c r="E188" i="6"/>
  <c r="E189" i="6"/>
  <c r="E191" i="6"/>
  <c r="E187" i="6"/>
  <c r="E190" i="6"/>
  <c r="E192" i="6"/>
  <c r="G54" i="18"/>
  <c r="F123" i="18"/>
  <c r="H153" i="4"/>
  <c r="U53" i="4" s="1"/>
  <c r="U41" i="4"/>
  <c r="C66" i="14" l="1"/>
  <c r="D32" i="14"/>
  <c r="C100" i="14"/>
  <c r="C101" i="14"/>
  <c r="D33" i="14"/>
  <c r="C67" i="14"/>
  <c r="C25" i="14"/>
  <c r="C88" i="14"/>
  <c r="C54" i="14"/>
  <c r="M149" i="4"/>
  <c r="E401" i="4"/>
  <c r="G401" i="4"/>
  <c r="D401" i="4"/>
  <c r="AZ202" i="4"/>
  <c r="E223" i="4"/>
  <c r="P289" i="4"/>
  <c r="F297" i="4"/>
  <c r="F299" i="4" s="1"/>
  <c r="P296" i="4"/>
  <c r="P326" i="4"/>
  <c r="M297" i="4"/>
  <c r="M299" i="4" s="1"/>
  <c r="L366" i="4"/>
  <c r="L368" i="4" s="1"/>
  <c r="G297" i="4"/>
  <c r="G299" i="4" s="1"/>
  <c r="P353" i="4"/>
  <c r="F401" i="4"/>
  <c r="H223" i="4"/>
  <c r="P322" i="4"/>
  <c r="I366" i="4"/>
  <c r="I368" i="4" s="1"/>
  <c r="P257" i="4"/>
  <c r="P263" i="4"/>
  <c r="O297" i="4"/>
  <c r="O299" i="4" s="1"/>
  <c r="F366" i="4"/>
  <c r="F368" i="4" s="1"/>
  <c r="P345" i="4"/>
  <c r="P269" i="4"/>
  <c r="P338" i="4"/>
  <c r="P365" i="4"/>
  <c r="P284" i="4"/>
  <c r="E366" i="4"/>
  <c r="E368" i="4" s="1"/>
  <c r="N366" i="4"/>
  <c r="N368" i="4" s="1"/>
  <c r="J366" i="4"/>
  <c r="J368" i="4" s="1"/>
  <c r="K297" i="4"/>
  <c r="K299" i="4" s="1"/>
  <c r="O366" i="4"/>
  <c r="O368" i="4" s="1"/>
  <c r="L297" i="4"/>
  <c r="L299" i="4" s="1"/>
  <c r="P276" i="4"/>
  <c r="G92" i="17"/>
  <c r="G83" i="17" s="1"/>
  <c r="G87" i="17" s="1"/>
  <c r="G104" i="17" s="1"/>
  <c r="G223" i="4"/>
  <c r="K366" i="4"/>
  <c r="K368" i="4" s="1"/>
  <c r="N297" i="4"/>
  <c r="N299" i="4" s="1"/>
  <c r="J297" i="4"/>
  <c r="J299" i="4" s="1"/>
  <c r="I297" i="4"/>
  <c r="I299" i="4" s="1"/>
  <c r="P253" i="4"/>
  <c r="E297" i="4"/>
  <c r="E299" i="4" s="1"/>
  <c r="M366" i="4"/>
  <c r="M368" i="4" s="1"/>
  <c r="H366" i="4"/>
  <c r="H368" i="4" s="1"/>
  <c r="P358" i="4"/>
  <c r="H297" i="4"/>
  <c r="H299" i="4" s="1"/>
  <c r="H83" i="17"/>
  <c r="H87" i="17" s="1"/>
  <c r="H104" i="17" s="1"/>
  <c r="G366" i="4"/>
  <c r="G368" i="4" s="1"/>
  <c r="F221" i="4"/>
  <c r="F223" i="4" s="1"/>
  <c r="P75" i="4"/>
  <c r="D366" i="4"/>
  <c r="D368" i="4" s="1"/>
  <c r="F66" i="17"/>
  <c r="F70" i="17" s="1"/>
  <c r="AZ97" i="4"/>
  <c r="D32" i="17"/>
  <c r="D36" i="17" s="1"/>
  <c r="CF141" i="4"/>
  <c r="D101" i="17"/>
  <c r="I48" i="17"/>
  <c r="I52" i="17" s="1"/>
  <c r="I69" i="17" s="1"/>
  <c r="G48" i="17"/>
  <c r="G52" i="17" s="1"/>
  <c r="G69" i="17" s="1"/>
  <c r="G381" i="4"/>
  <c r="G435" i="4" s="1"/>
  <c r="G437" i="4" s="1"/>
  <c r="N48" i="17"/>
  <c r="N52" i="17" s="1"/>
  <c r="N69" i="17" s="1"/>
  <c r="N66" i="17"/>
  <c r="N70" i="17" s="1"/>
  <c r="D381" i="4"/>
  <c r="D435" i="4" s="1"/>
  <c r="D437" i="4" s="1"/>
  <c r="F381" i="4"/>
  <c r="F435" i="4" s="1"/>
  <c r="F437" i="4" s="1"/>
  <c r="P148" i="4"/>
  <c r="D58" i="17"/>
  <c r="P58" i="17" s="1"/>
  <c r="E93" i="17" s="1"/>
  <c r="D149" i="4"/>
  <c r="P149" i="4" s="1"/>
  <c r="AZ161" i="4"/>
  <c r="D14" i="17"/>
  <c r="P243" i="4"/>
  <c r="H101" i="17"/>
  <c r="H105" i="17" s="1"/>
  <c r="G101" i="17"/>
  <c r="G105" i="17" s="1"/>
  <c r="K48" i="17"/>
  <c r="K52" i="17" s="1"/>
  <c r="K69" i="17" s="1"/>
  <c r="K66" i="17"/>
  <c r="K70" i="17" s="1"/>
  <c r="P147" i="4"/>
  <c r="D57" i="17"/>
  <c r="E381" i="4"/>
  <c r="E435" i="4" s="1"/>
  <c r="E437" i="4" s="1"/>
  <c r="D125" i="18"/>
  <c r="D48" i="18"/>
  <c r="D126" i="18" s="1"/>
  <c r="D49" i="18"/>
  <c r="D50" i="18"/>
  <c r="D124" i="18"/>
  <c r="D55" i="18"/>
  <c r="D61" i="18" s="1"/>
  <c r="AZ87" i="4"/>
  <c r="BC163" i="4"/>
  <c r="J48" i="17"/>
  <c r="J52" i="17" s="1"/>
  <c r="J69" i="17" s="1"/>
  <c r="J66" i="17"/>
  <c r="J70" i="17" s="1"/>
  <c r="O66" i="17"/>
  <c r="O70" i="17" s="1"/>
  <c r="O48" i="17"/>
  <c r="O52" i="17" s="1"/>
  <c r="O69" i="17" s="1"/>
  <c r="H48" i="17"/>
  <c r="H52" i="17" s="1"/>
  <c r="H69" i="17" s="1"/>
  <c r="H66" i="17"/>
  <c r="H70" i="17" s="1"/>
  <c r="E48" i="17"/>
  <c r="E52" i="17" s="1"/>
  <c r="E69" i="17" s="1"/>
  <c r="E66" i="17"/>
  <c r="E70" i="17" s="1"/>
  <c r="P312" i="4"/>
  <c r="H381" i="4"/>
  <c r="H435" i="4" s="1"/>
  <c r="H437" i="4" s="1"/>
  <c r="L48" i="17"/>
  <c r="L52" i="17" s="1"/>
  <c r="L69" i="17" s="1"/>
  <c r="L66" i="17"/>
  <c r="L70" i="17" s="1"/>
  <c r="P32" i="17"/>
  <c r="D105" i="17" s="1"/>
  <c r="D297" i="4"/>
  <c r="D299" i="4" s="1"/>
  <c r="D121" i="18"/>
  <c r="E13" i="18"/>
  <c r="M66" i="17"/>
  <c r="M70" i="17" s="1"/>
  <c r="F163" i="6"/>
  <c r="F166" i="6"/>
  <c r="F167" i="6"/>
  <c r="F165" i="6"/>
  <c r="F164" i="6"/>
  <c r="F161" i="6"/>
  <c r="F168" i="6"/>
  <c r="F162" i="6"/>
  <c r="F136" i="6"/>
  <c r="F135" i="6"/>
  <c r="F141" i="6"/>
  <c r="F138" i="6"/>
  <c r="F139" i="6"/>
  <c r="F137" i="6"/>
  <c r="G133" i="6"/>
  <c r="G138" i="6" s="1"/>
  <c r="F140" i="6"/>
  <c r="E144" i="6"/>
  <c r="E118" i="6"/>
  <c r="F37" i="6" s="1"/>
  <c r="E142" i="4" s="1"/>
  <c r="E143" i="4" s="1"/>
  <c r="E22" i="18" s="1"/>
  <c r="E24" i="18" s="1"/>
  <c r="Q120" i="18" s="1"/>
  <c r="E169" i="6"/>
  <c r="E195" i="6" s="1"/>
  <c r="E196" i="6" s="1"/>
  <c r="H159" i="6"/>
  <c r="G166" i="6"/>
  <c r="G167" i="6"/>
  <c r="G161" i="6"/>
  <c r="G162" i="6"/>
  <c r="G165" i="6"/>
  <c r="G163" i="6"/>
  <c r="G164" i="6"/>
  <c r="G168" i="6"/>
  <c r="D118" i="6"/>
  <c r="D144" i="6"/>
  <c r="D169" i="6"/>
  <c r="G123" i="18"/>
  <c r="H54" i="18"/>
  <c r="H123" i="18" s="1"/>
  <c r="F190" i="6"/>
  <c r="F192" i="6"/>
  <c r="F193" i="6"/>
  <c r="G185" i="6"/>
  <c r="F187" i="6"/>
  <c r="F189" i="6"/>
  <c r="F191" i="6"/>
  <c r="F188" i="6"/>
  <c r="F111" i="6"/>
  <c r="F113" i="6"/>
  <c r="F114" i="6"/>
  <c r="G107" i="6"/>
  <c r="F112" i="6"/>
  <c r="F115" i="6"/>
  <c r="F109" i="6"/>
  <c r="F110" i="6"/>
  <c r="F116" i="6"/>
  <c r="C93" i="14" l="1"/>
  <c r="C30" i="14"/>
  <c r="C59" i="14"/>
  <c r="D66" i="14"/>
  <c r="D100" i="14"/>
  <c r="D101" i="14"/>
  <c r="D67" i="14"/>
  <c r="P366" i="4"/>
  <c r="P368" i="4" s="1"/>
  <c r="P297" i="4"/>
  <c r="P299" i="4" s="1"/>
  <c r="F92" i="17"/>
  <c r="F13" i="18"/>
  <c r="E121" i="18"/>
  <c r="P57" i="17"/>
  <c r="D66" i="17"/>
  <c r="D70" i="17" s="1"/>
  <c r="D48" i="17"/>
  <c r="D18" i="17"/>
  <c r="D35" i="17" s="1"/>
  <c r="D37" i="17" s="1"/>
  <c r="P14" i="17"/>
  <c r="G140" i="6"/>
  <c r="G141" i="6"/>
  <c r="G137" i="6"/>
  <c r="G136" i="6"/>
  <c r="G142" i="6"/>
  <c r="G139" i="6"/>
  <c r="H133" i="6"/>
  <c r="H138" i="6" s="1"/>
  <c r="G135" i="6"/>
  <c r="E170" i="6"/>
  <c r="Q119" i="18"/>
  <c r="H107" i="6"/>
  <c r="G112" i="6"/>
  <c r="G113" i="6"/>
  <c r="G114" i="6"/>
  <c r="G110" i="6"/>
  <c r="G109" i="6"/>
  <c r="G115" i="6"/>
  <c r="G111" i="6"/>
  <c r="G116" i="6"/>
  <c r="G117" i="6" s="1"/>
  <c r="G189" i="6"/>
  <c r="G187" i="6"/>
  <c r="H185" i="6"/>
  <c r="G190" i="6"/>
  <c r="G192" i="6"/>
  <c r="G191" i="6"/>
  <c r="G188" i="6"/>
  <c r="G193" i="6"/>
  <c r="E37" i="6"/>
  <c r="D195" i="6"/>
  <c r="D170" i="6"/>
  <c r="I159" i="6"/>
  <c r="H163" i="6"/>
  <c r="H166" i="6"/>
  <c r="H164" i="6"/>
  <c r="H167" i="6"/>
  <c r="H162" i="6"/>
  <c r="H161" i="6"/>
  <c r="H165" i="6"/>
  <c r="H168" i="6"/>
  <c r="F117" i="6"/>
  <c r="C64" i="14" l="1"/>
  <c r="C98" i="14"/>
  <c r="F83" i="17"/>
  <c r="F87" i="17" s="1"/>
  <c r="F104" i="17" s="1"/>
  <c r="F101" i="17"/>
  <c r="F105" i="17" s="1"/>
  <c r="P18" i="17"/>
  <c r="D104" i="17" s="1"/>
  <c r="D106" i="17" s="1"/>
  <c r="D83" i="17"/>
  <c r="D87" i="17" s="1"/>
  <c r="E92" i="17"/>
  <c r="E101" i="17" s="1"/>
  <c r="E105" i="17" s="1"/>
  <c r="P66" i="17"/>
  <c r="D202" i="17"/>
  <c r="D203" i="17"/>
  <c r="E8" i="17"/>
  <c r="E34" i="17" s="1"/>
  <c r="E37" i="17" s="1"/>
  <c r="D52" i="17"/>
  <c r="D69" i="17" s="1"/>
  <c r="P48" i="17"/>
  <c r="F121" i="18"/>
  <c r="G13" i="18"/>
  <c r="G143" i="6"/>
  <c r="G144" i="6" s="1"/>
  <c r="H140" i="6"/>
  <c r="H135" i="6"/>
  <c r="H137" i="6"/>
  <c r="H142" i="6"/>
  <c r="I133" i="6"/>
  <c r="I138" i="6" s="1"/>
  <c r="H139" i="6"/>
  <c r="H136" i="6"/>
  <c r="H141" i="6"/>
  <c r="D196" i="6"/>
  <c r="G118" i="6"/>
  <c r="H37" i="6" s="1"/>
  <c r="G142" i="4" s="1"/>
  <c r="G143" i="4" s="1"/>
  <c r="G22" i="18" s="1"/>
  <c r="G24" i="18" s="1"/>
  <c r="I107" i="6"/>
  <c r="H111" i="6"/>
  <c r="H113" i="6"/>
  <c r="H115" i="6"/>
  <c r="H112" i="6"/>
  <c r="H109" i="6"/>
  <c r="H114" i="6"/>
  <c r="H110" i="6"/>
  <c r="H116" i="6"/>
  <c r="F118" i="6"/>
  <c r="F143" i="6"/>
  <c r="H191" i="6"/>
  <c r="H190" i="6"/>
  <c r="H192" i="6"/>
  <c r="I185" i="6"/>
  <c r="H188" i="6"/>
  <c r="H187" i="6"/>
  <c r="H193" i="6"/>
  <c r="H189" i="6"/>
  <c r="J159" i="6"/>
  <c r="I163" i="6"/>
  <c r="I162" i="6"/>
  <c r="I161" i="6"/>
  <c r="I166" i="6"/>
  <c r="I167" i="6"/>
  <c r="I164" i="6"/>
  <c r="I165" i="6"/>
  <c r="I168" i="6"/>
  <c r="D142" i="4"/>
  <c r="E77" i="17" l="1"/>
  <c r="E103" i="17" s="1"/>
  <c r="D211" i="17"/>
  <c r="D212" i="17"/>
  <c r="G121" i="18"/>
  <c r="H13" i="18"/>
  <c r="F8" i="17"/>
  <c r="F34" i="17" s="1"/>
  <c r="F37" i="17" s="1"/>
  <c r="E203" i="17"/>
  <c r="E202" i="17"/>
  <c r="P52" i="17"/>
  <c r="E83" i="17"/>
  <c r="E87" i="17" s="1"/>
  <c r="E104" i="17" s="1"/>
  <c r="I136" i="6"/>
  <c r="G169" i="6"/>
  <c r="G195" i="6" s="1"/>
  <c r="G196" i="6" s="1"/>
  <c r="J133" i="6"/>
  <c r="J137" i="6" s="1"/>
  <c r="I142" i="6"/>
  <c r="I139" i="6"/>
  <c r="I140" i="6"/>
  <c r="I135" i="6"/>
  <c r="I137" i="6"/>
  <c r="I141" i="6"/>
  <c r="D143" i="4"/>
  <c r="D22" i="18" s="1"/>
  <c r="K159" i="6"/>
  <c r="J163" i="6"/>
  <c r="J166" i="6"/>
  <c r="J164" i="6"/>
  <c r="J161" i="6"/>
  <c r="J165" i="6"/>
  <c r="J162" i="6"/>
  <c r="J167" i="6"/>
  <c r="J168" i="6"/>
  <c r="I187" i="6"/>
  <c r="J185" i="6"/>
  <c r="I188" i="6"/>
  <c r="I191" i="6"/>
  <c r="I189" i="6"/>
  <c r="I190" i="6"/>
  <c r="I193" i="6"/>
  <c r="I192" i="6"/>
  <c r="F144" i="6"/>
  <c r="F169" i="6"/>
  <c r="H117" i="6"/>
  <c r="J107" i="6"/>
  <c r="I112" i="6"/>
  <c r="I111" i="6"/>
  <c r="I115" i="6"/>
  <c r="I110" i="6"/>
  <c r="I113" i="6"/>
  <c r="I114" i="6"/>
  <c r="I109" i="6"/>
  <c r="I116" i="6"/>
  <c r="I117" i="6" s="1"/>
  <c r="G37" i="6"/>
  <c r="S120" i="18"/>
  <c r="S119" i="18"/>
  <c r="I143" i="6" l="1"/>
  <c r="I144" i="6" s="1"/>
  <c r="E106" i="17"/>
  <c r="F77" i="17" s="1"/>
  <c r="F103" i="17" s="1"/>
  <c r="F106" i="17" s="1"/>
  <c r="G8" i="17"/>
  <c r="G34" i="17" s="1"/>
  <c r="G37" i="17" s="1"/>
  <c r="F203" i="17"/>
  <c r="F202" i="17"/>
  <c r="H121" i="18"/>
  <c r="I13" i="18"/>
  <c r="G170" i="6"/>
  <c r="J141" i="6"/>
  <c r="J139" i="6"/>
  <c r="J142" i="6"/>
  <c r="J136" i="6"/>
  <c r="K133" i="6"/>
  <c r="K138" i="6" s="1"/>
  <c r="J135" i="6"/>
  <c r="J140" i="6"/>
  <c r="J138" i="6"/>
  <c r="L159" i="6"/>
  <c r="K164" i="6"/>
  <c r="K165" i="6"/>
  <c r="K166" i="6"/>
  <c r="K161" i="6"/>
  <c r="K167" i="6"/>
  <c r="K163" i="6"/>
  <c r="K162" i="6"/>
  <c r="K168" i="6"/>
  <c r="J190" i="6"/>
  <c r="J191" i="6"/>
  <c r="J189" i="6"/>
  <c r="J187" i="6"/>
  <c r="K185" i="6"/>
  <c r="J188" i="6"/>
  <c r="J193" i="6"/>
  <c r="J192" i="6"/>
  <c r="K107" i="6"/>
  <c r="J110" i="6"/>
  <c r="J114" i="6"/>
  <c r="J109" i="6"/>
  <c r="J113" i="6"/>
  <c r="J115" i="6"/>
  <c r="J111" i="6"/>
  <c r="J112" i="6"/>
  <c r="J116" i="6"/>
  <c r="D24" i="18"/>
  <c r="H118" i="6"/>
  <c r="H143" i="6"/>
  <c r="I118" i="6"/>
  <c r="J37" i="6" s="1"/>
  <c r="I142" i="4" s="1"/>
  <c r="I143" i="4" s="1"/>
  <c r="I22" i="18" s="1"/>
  <c r="I24" i="18" s="1"/>
  <c r="F142" i="4"/>
  <c r="F195" i="6"/>
  <c r="F170" i="6"/>
  <c r="L133" i="6"/>
  <c r="I169" i="6" l="1"/>
  <c r="E212" i="17"/>
  <c r="E211" i="17"/>
  <c r="I121" i="18"/>
  <c r="J13" i="18"/>
  <c r="H8" i="17"/>
  <c r="H34" i="17" s="1"/>
  <c r="H37" i="17" s="1"/>
  <c r="G203" i="17"/>
  <c r="G202" i="17"/>
  <c r="F212" i="17"/>
  <c r="F211" i="17"/>
  <c r="G77" i="17"/>
  <c r="G103" i="17" s="1"/>
  <c r="G106" i="17" s="1"/>
  <c r="K142" i="6"/>
  <c r="K135" i="6"/>
  <c r="K136" i="6"/>
  <c r="K141" i="6"/>
  <c r="K139" i="6"/>
  <c r="K140" i="6"/>
  <c r="K137" i="6"/>
  <c r="U119" i="18"/>
  <c r="U120" i="18"/>
  <c r="M133" i="6"/>
  <c r="L137" i="6"/>
  <c r="L135" i="6"/>
  <c r="L136" i="6"/>
  <c r="L141" i="6"/>
  <c r="L138" i="6"/>
  <c r="L139" i="6"/>
  <c r="L140" i="6"/>
  <c r="L142" i="6"/>
  <c r="F196" i="6"/>
  <c r="H144" i="6"/>
  <c r="H169" i="6"/>
  <c r="P119" i="18"/>
  <c r="P120" i="18"/>
  <c r="J117" i="6"/>
  <c r="L107" i="6"/>
  <c r="K111" i="6"/>
  <c r="K115" i="6"/>
  <c r="K110" i="6"/>
  <c r="K114" i="6"/>
  <c r="K112" i="6"/>
  <c r="K109" i="6"/>
  <c r="K113" i="6"/>
  <c r="K116" i="6"/>
  <c r="K117" i="6" s="1"/>
  <c r="K191" i="6"/>
  <c r="K190" i="6"/>
  <c r="K193" i="6"/>
  <c r="K188" i="6"/>
  <c r="K189" i="6"/>
  <c r="K187" i="6"/>
  <c r="L185" i="6"/>
  <c r="K192" i="6"/>
  <c r="I170" i="6"/>
  <c r="I195" i="6"/>
  <c r="I196" i="6" s="1"/>
  <c r="F143" i="4"/>
  <c r="F22" i="18" s="1"/>
  <c r="I37" i="6"/>
  <c r="M159" i="6"/>
  <c r="L167" i="6"/>
  <c r="L162" i="6"/>
  <c r="L165" i="6"/>
  <c r="L164" i="6"/>
  <c r="L161" i="6"/>
  <c r="L166" i="6"/>
  <c r="L163" i="6"/>
  <c r="L168" i="6"/>
  <c r="G212" i="17" l="1"/>
  <c r="G211" i="17"/>
  <c r="H77" i="17"/>
  <c r="H103" i="17" s="1"/>
  <c r="H106" i="17" s="1"/>
  <c r="I8" i="17"/>
  <c r="I34" i="17" s="1"/>
  <c r="I37" i="17" s="1"/>
  <c r="H202" i="17"/>
  <c r="H203" i="17"/>
  <c r="K13" i="18"/>
  <c r="J121" i="18"/>
  <c r="K143" i="6"/>
  <c r="K144" i="6" s="1"/>
  <c r="H142" i="4"/>
  <c r="N133" i="6"/>
  <c r="M137" i="6"/>
  <c r="M140" i="6"/>
  <c r="M138" i="6"/>
  <c r="M139" i="6"/>
  <c r="M141" i="6"/>
  <c r="M135" i="6"/>
  <c r="M136" i="6"/>
  <c r="M142" i="6"/>
  <c r="L190" i="6"/>
  <c r="L193" i="6"/>
  <c r="L191" i="6"/>
  <c r="L192" i="6"/>
  <c r="L189" i="6"/>
  <c r="M185" i="6"/>
  <c r="L188" i="6"/>
  <c r="L187" i="6"/>
  <c r="J118" i="6"/>
  <c r="J143" i="6"/>
  <c r="N159" i="6"/>
  <c r="M161" i="6"/>
  <c r="M162" i="6"/>
  <c r="M166" i="6"/>
  <c r="M167" i="6"/>
  <c r="M164" i="6"/>
  <c r="M163" i="6"/>
  <c r="M165" i="6"/>
  <c r="M168" i="6"/>
  <c r="H195" i="6"/>
  <c r="H170" i="6"/>
  <c r="F24" i="18"/>
  <c r="K118" i="6"/>
  <c r="L37" i="6" s="1"/>
  <c r="K142" i="4" s="1"/>
  <c r="K143" i="4" s="1"/>
  <c r="K22" i="18" s="1"/>
  <c r="K24" i="18" s="1"/>
  <c r="M107" i="6"/>
  <c r="L111" i="6"/>
  <c r="L115" i="6"/>
  <c r="L112" i="6"/>
  <c r="L114" i="6"/>
  <c r="L110" i="6"/>
  <c r="L109" i="6"/>
  <c r="L113" i="6"/>
  <c r="L116" i="6"/>
  <c r="J8" i="17" l="1"/>
  <c r="J34" i="17" s="1"/>
  <c r="J37" i="17" s="1"/>
  <c r="I203" i="17"/>
  <c r="I202" i="17"/>
  <c r="K121" i="18"/>
  <c r="L13" i="18"/>
  <c r="H211" i="17"/>
  <c r="H212" i="17"/>
  <c r="K169" i="6"/>
  <c r="K195" i="6" s="1"/>
  <c r="K196" i="6" s="1"/>
  <c r="K37" i="6"/>
  <c r="O133" i="6"/>
  <c r="N136" i="6"/>
  <c r="N135" i="6"/>
  <c r="N138" i="6"/>
  <c r="N141" i="6"/>
  <c r="N140" i="6"/>
  <c r="N137" i="6"/>
  <c r="N139" i="6"/>
  <c r="N142" i="6"/>
  <c r="O159" i="6"/>
  <c r="N166" i="6"/>
  <c r="N162" i="6"/>
  <c r="N167" i="6"/>
  <c r="N163" i="6"/>
  <c r="N164" i="6"/>
  <c r="N161" i="6"/>
  <c r="N165" i="6"/>
  <c r="N168" i="6"/>
  <c r="W119" i="18"/>
  <c r="W120" i="18"/>
  <c r="J144" i="6"/>
  <c r="J169" i="6"/>
  <c r="L117" i="6"/>
  <c r="N107" i="6"/>
  <c r="M110" i="6"/>
  <c r="M109" i="6"/>
  <c r="M111" i="6"/>
  <c r="M114" i="6"/>
  <c r="M112" i="6"/>
  <c r="M115" i="6"/>
  <c r="M113" i="6"/>
  <c r="M116" i="6"/>
  <c r="M117" i="6" s="1"/>
  <c r="R119" i="18"/>
  <c r="R120" i="18"/>
  <c r="H196" i="6"/>
  <c r="M190" i="6"/>
  <c r="M187" i="6"/>
  <c r="M191" i="6"/>
  <c r="M188" i="6"/>
  <c r="M192" i="6"/>
  <c r="N185" i="6"/>
  <c r="M189" i="6"/>
  <c r="M193" i="6"/>
  <c r="H143" i="4"/>
  <c r="H22" i="18" s="1"/>
  <c r="M13" i="18" l="1"/>
  <c r="L121" i="18"/>
  <c r="K8" i="17"/>
  <c r="K34" i="17" s="1"/>
  <c r="K37" i="17" s="1"/>
  <c r="J202" i="17"/>
  <c r="J203" i="17"/>
  <c r="K170" i="6"/>
  <c r="O167" i="6"/>
  <c r="P167" i="6" s="1"/>
  <c r="H49" i="6" s="1"/>
  <c r="O163" i="6"/>
  <c r="P163" i="6" s="1"/>
  <c r="H45" i="6" s="1"/>
  <c r="O166" i="6"/>
  <c r="P166" i="6" s="1"/>
  <c r="H48" i="6" s="1"/>
  <c r="O161" i="6"/>
  <c r="P161" i="6" s="1"/>
  <c r="H43" i="6" s="1"/>
  <c r="O164" i="6"/>
  <c r="P164" i="6" s="1"/>
  <c r="H46" i="6" s="1"/>
  <c r="O165" i="6"/>
  <c r="P165" i="6" s="1"/>
  <c r="H47" i="6" s="1"/>
  <c r="O162" i="6"/>
  <c r="P162" i="6" s="1"/>
  <c r="H44" i="6" s="1"/>
  <c r="O168" i="6"/>
  <c r="H24" i="18"/>
  <c r="J142" i="4"/>
  <c r="L118" i="6"/>
  <c r="L143" i="6"/>
  <c r="O107" i="6"/>
  <c r="N110" i="6"/>
  <c r="N115" i="6"/>
  <c r="N111" i="6"/>
  <c r="N113" i="6"/>
  <c r="N114" i="6"/>
  <c r="N112" i="6"/>
  <c r="N109" i="6"/>
  <c r="N116" i="6"/>
  <c r="N117" i="6" s="1"/>
  <c r="J195" i="6"/>
  <c r="J170" i="6"/>
  <c r="O136" i="6"/>
  <c r="P136" i="6" s="1"/>
  <c r="G44" i="6" s="1"/>
  <c r="O137" i="6"/>
  <c r="P137" i="6" s="1"/>
  <c r="G45" i="6" s="1"/>
  <c r="O135" i="6"/>
  <c r="P135" i="6" s="1"/>
  <c r="G43" i="6" s="1"/>
  <c r="O141" i="6"/>
  <c r="P141" i="6" s="1"/>
  <c r="G49" i="6" s="1"/>
  <c r="O138" i="6"/>
  <c r="P138" i="6" s="1"/>
  <c r="G46" i="6" s="1"/>
  <c r="O139" i="6"/>
  <c r="P139" i="6" s="1"/>
  <c r="G47" i="6" s="1"/>
  <c r="O140" i="6"/>
  <c r="P140" i="6" s="1"/>
  <c r="G48" i="6" s="1"/>
  <c r="O142" i="6"/>
  <c r="M118" i="6"/>
  <c r="N37" i="6" s="1"/>
  <c r="M142" i="4" s="1"/>
  <c r="M143" i="4" s="1"/>
  <c r="M22" i="18" s="1"/>
  <c r="M24" i="18" s="1"/>
  <c r="N188" i="6"/>
  <c r="N193" i="6"/>
  <c r="N191" i="6"/>
  <c r="O185" i="6"/>
  <c r="N190" i="6"/>
  <c r="N187" i="6"/>
  <c r="N192" i="6"/>
  <c r="N189" i="6"/>
  <c r="M143" i="6"/>
  <c r="K202" i="17" l="1"/>
  <c r="L8" i="17"/>
  <c r="L34" i="17" s="1"/>
  <c r="L37" i="17" s="1"/>
  <c r="K203" i="17"/>
  <c r="M121" i="18"/>
  <c r="N13" i="18"/>
  <c r="N118" i="6"/>
  <c r="O37" i="6" s="1"/>
  <c r="N142" i="4" s="1"/>
  <c r="N143" i="4" s="1"/>
  <c r="N22" i="18" s="1"/>
  <c r="N24" i="18" s="1"/>
  <c r="Z120" i="18" s="1"/>
  <c r="N143" i="6"/>
  <c r="N144" i="6" s="1"/>
  <c r="O113" i="6"/>
  <c r="P113" i="6" s="1"/>
  <c r="F47" i="6" s="1"/>
  <c r="O111" i="6"/>
  <c r="P111" i="6" s="1"/>
  <c r="F45" i="6" s="1"/>
  <c r="O112" i="6"/>
  <c r="P112" i="6" s="1"/>
  <c r="F46" i="6" s="1"/>
  <c r="O115" i="6"/>
  <c r="P115" i="6" s="1"/>
  <c r="F49" i="6" s="1"/>
  <c r="O114" i="6"/>
  <c r="P114" i="6" s="1"/>
  <c r="F48" i="6" s="1"/>
  <c r="O110" i="6"/>
  <c r="P110" i="6" s="1"/>
  <c r="F44" i="6" s="1"/>
  <c r="O109" i="6"/>
  <c r="P109" i="6" s="1"/>
  <c r="F43" i="6" s="1"/>
  <c r="O116" i="6"/>
  <c r="M37" i="6"/>
  <c r="P142" i="6"/>
  <c r="G52" i="6" s="1"/>
  <c r="H52" i="6" s="1"/>
  <c r="I52" i="6" s="1"/>
  <c r="M144" i="6"/>
  <c r="M169" i="6"/>
  <c r="L144" i="6"/>
  <c r="L169" i="6"/>
  <c r="J143" i="4"/>
  <c r="J22" i="18" s="1"/>
  <c r="T120" i="18"/>
  <c r="T119" i="18"/>
  <c r="O193" i="6"/>
  <c r="P193" i="6" s="1"/>
  <c r="I49" i="6" s="1"/>
  <c r="O188" i="6"/>
  <c r="P188" i="6" s="1"/>
  <c r="I44" i="6" s="1"/>
  <c r="O191" i="6"/>
  <c r="P191" i="6" s="1"/>
  <c r="I47" i="6" s="1"/>
  <c r="O189" i="6"/>
  <c r="P189" i="6" s="1"/>
  <c r="I45" i="6" s="1"/>
  <c r="O192" i="6"/>
  <c r="P192" i="6" s="1"/>
  <c r="I48" i="6" s="1"/>
  <c r="O187" i="6"/>
  <c r="P187" i="6" s="1"/>
  <c r="I43" i="6" s="1"/>
  <c r="O190" i="6"/>
  <c r="P190" i="6" s="1"/>
  <c r="I46" i="6" s="1"/>
  <c r="Y120" i="18"/>
  <c r="Y119" i="18"/>
  <c r="J196" i="6"/>
  <c r="P168" i="6"/>
  <c r="H53" i="6" s="1"/>
  <c r="I53" i="6" s="1"/>
  <c r="M8" i="17" l="1"/>
  <c r="M34" i="17" s="1"/>
  <c r="M37" i="17" s="1"/>
  <c r="L202" i="17"/>
  <c r="L203" i="17"/>
  <c r="O13" i="18"/>
  <c r="N121" i="18"/>
  <c r="N169" i="6"/>
  <c r="N195" i="6" s="1"/>
  <c r="N196" i="6" s="1"/>
  <c r="Z119" i="18"/>
  <c r="F55" i="6"/>
  <c r="G55" i="6"/>
  <c r="F216" i="4" s="1"/>
  <c r="F217" i="4" s="1"/>
  <c r="F45" i="18" s="1"/>
  <c r="F47" i="18" s="1"/>
  <c r="F49" i="18" s="1"/>
  <c r="L195" i="6"/>
  <c r="L170" i="6"/>
  <c r="L142" i="4"/>
  <c r="I55" i="6"/>
  <c r="H216" i="4" s="1"/>
  <c r="H217" i="4" s="1"/>
  <c r="H45" i="18" s="1"/>
  <c r="H47" i="18" s="1"/>
  <c r="O117" i="6"/>
  <c r="P116" i="6"/>
  <c r="M195" i="6"/>
  <c r="M196" i="6" s="1"/>
  <c r="M170" i="6"/>
  <c r="J24" i="18"/>
  <c r="H55" i="6"/>
  <c r="G216" i="4" s="1"/>
  <c r="G217" i="4" s="1"/>
  <c r="G45" i="18" s="1"/>
  <c r="G47" i="18" s="1"/>
  <c r="D25" i="18" l="1"/>
  <c r="O121" i="18"/>
  <c r="M203" i="17"/>
  <c r="M202" i="17"/>
  <c r="N8" i="17"/>
  <c r="N34" i="17" s="1"/>
  <c r="N37" i="17" s="1"/>
  <c r="N170" i="6"/>
  <c r="F124" i="18"/>
  <c r="F55" i="18"/>
  <c r="F61" i="18" s="1"/>
  <c r="F50" i="18"/>
  <c r="F125" i="18"/>
  <c r="L143" i="4"/>
  <c r="L22" i="18" s="1"/>
  <c r="G124" i="18"/>
  <c r="G49" i="18"/>
  <c r="G50" i="18"/>
  <c r="G125" i="18"/>
  <c r="G55" i="18"/>
  <c r="G61" i="18" s="1"/>
  <c r="V119" i="18"/>
  <c r="V120" i="18"/>
  <c r="O118" i="6"/>
  <c r="P117" i="6"/>
  <c r="O143" i="6"/>
  <c r="H124" i="18"/>
  <c r="H49" i="18"/>
  <c r="H125" i="18"/>
  <c r="H50" i="18"/>
  <c r="H55" i="18"/>
  <c r="H61" i="18" s="1"/>
  <c r="L196" i="6"/>
  <c r="O8" i="17" l="1"/>
  <c r="O34" i="17" s="1"/>
  <c r="O37" i="17" s="1"/>
  <c r="N203" i="17"/>
  <c r="N202" i="17"/>
  <c r="P121" i="18"/>
  <c r="E25" i="18"/>
  <c r="P37" i="6"/>
  <c r="P118" i="6"/>
  <c r="G203" i="6" s="1"/>
  <c r="O144" i="6"/>
  <c r="P144" i="6" s="1"/>
  <c r="I203" i="6" s="1"/>
  <c r="P143" i="6"/>
  <c r="O169" i="6"/>
  <c r="L24" i="18"/>
  <c r="Q121" i="18" l="1"/>
  <c r="F25" i="18"/>
  <c r="O203" i="17"/>
  <c r="O202" i="17"/>
  <c r="D42" i="17"/>
  <c r="D68" i="17" s="1"/>
  <c r="D71" i="17" s="1"/>
  <c r="X119" i="18"/>
  <c r="X120" i="18"/>
  <c r="O170" i="6"/>
  <c r="P170" i="6" s="1"/>
  <c r="K203" i="6" s="1"/>
  <c r="O195" i="6"/>
  <c r="P169" i="6"/>
  <c r="O142" i="4"/>
  <c r="P38" i="6"/>
  <c r="G25" i="18" l="1"/>
  <c r="R121" i="18"/>
  <c r="E42" i="17"/>
  <c r="E68" i="17" s="1"/>
  <c r="E71" i="17" s="1"/>
  <c r="D206" i="17"/>
  <c r="D207" i="17"/>
  <c r="O143" i="4"/>
  <c r="O22" i="18" s="1"/>
  <c r="P142" i="4"/>
  <c r="O196" i="6"/>
  <c r="P196" i="6" s="1"/>
  <c r="M203" i="6" s="1"/>
  <c r="P195" i="6"/>
  <c r="E206" i="17" l="1"/>
  <c r="F42" i="17"/>
  <c r="F68" i="17" s="1"/>
  <c r="F71" i="17" s="1"/>
  <c r="E207" i="17"/>
  <c r="H25" i="18"/>
  <c r="S121" i="18"/>
  <c r="P143" i="4"/>
  <c r="E217" i="4" s="1"/>
  <c r="E216" i="4"/>
  <c r="O24" i="18"/>
  <c r="P22" i="18"/>
  <c r="T121" i="18" l="1"/>
  <c r="I25" i="18"/>
  <c r="F206" i="17"/>
  <c r="G42" i="17"/>
  <c r="G68" i="17" s="1"/>
  <c r="G71" i="17" s="1"/>
  <c r="F207" i="17"/>
  <c r="P24" i="18"/>
  <c r="E45" i="18"/>
  <c r="E47" i="18" s="1"/>
  <c r="AA120" i="18"/>
  <c r="AA119" i="18"/>
  <c r="G207" i="17" l="1"/>
  <c r="G206" i="17"/>
  <c r="H42" i="17"/>
  <c r="H68" i="17" s="1"/>
  <c r="H71" i="17" s="1"/>
  <c r="J25" i="18"/>
  <c r="U121" i="18"/>
  <c r="E49" i="18"/>
  <c r="E55" i="18"/>
  <c r="E61" i="18" s="1"/>
  <c r="E124" i="18"/>
  <c r="E48" i="18"/>
  <c r="E50" i="18"/>
  <c r="E125" i="18"/>
  <c r="V121" i="18" l="1"/>
  <c r="K25" i="18"/>
  <c r="H206" i="17"/>
  <c r="I42" i="17"/>
  <c r="I68" i="17" s="1"/>
  <c r="I71" i="17" s="1"/>
  <c r="H207" i="17"/>
  <c r="E126" i="18"/>
  <c r="F48" i="18"/>
  <c r="I206" i="17" l="1"/>
  <c r="J42" i="17"/>
  <c r="J68" i="17" s="1"/>
  <c r="J71" i="17" s="1"/>
  <c r="I207" i="17"/>
  <c r="W121" i="18"/>
  <c r="L25" i="18"/>
  <c r="F126" i="18"/>
  <c r="G48" i="18"/>
  <c r="J206" i="17" l="1"/>
  <c r="J207" i="17"/>
  <c r="K42" i="17"/>
  <c r="K68" i="17" s="1"/>
  <c r="K71" i="17" s="1"/>
  <c r="M25" i="18"/>
  <c r="X121" i="18"/>
  <c r="G126" i="18"/>
  <c r="H48" i="18"/>
  <c r="H126" i="18" s="1"/>
  <c r="Y121" i="18" l="1"/>
  <c r="N25" i="18"/>
  <c r="L42" i="17"/>
  <c r="L68" i="17" s="1"/>
  <c r="L71" i="17" s="1"/>
  <c r="K206" i="17"/>
  <c r="K207" i="17"/>
  <c r="Z121" i="18" l="1"/>
  <c r="O25" i="18"/>
  <c r="AA121" i="18" s="1"/>
  <c r="L206" i="17"/>
  <c r="M42" i="17"/>
  <c r="M68" i="17" s="1"/>
  <c r="M71" i="17" s="1"/>
  <c r="L207" i="17"/>
  <c r="N42" i="17" l="1"/>
  <c r="N68" i="17" s="1"/>
  <c r="N71" i="17" s="1"/>
  <c r="M207" i="17"/>
  <c r="M206" i="17"/>
  <c r="O42" i="17" l="1"/>
  <c r="O68" i="17" s="1"/>
  <c r="O71" i="17" s="1"/>
  <c r="N207" i="17"/>
  <c r="N206" i="17"/>
  <c r="O207" i="17" l="1"/>
  <c r="O206" i="17"/>
</calcChain>
</file>

<file path=xl/sharedStrings.xml><?xml version="1.0" encoding="utf-8"?>
<sst xmlns="http://schemas.openxmlformats.org/spreadsheetml/2006/main" count="2025" uniqueCount="801">
  <si>
    <t>Kostenart</t>
  </si>
  <si>
    <t>Jan.</t>
  </si>
  <si>
    <t>Febr.</t>
  </si>
  <si>
    <t>März</t>
  </si>
  <si>
    <t>April</t>
  </si>
  <si>
    <t>Mai</t>
  </si>
  <si>
    <t>Juni</t>
  </si>
  <si>
    <t>Juli</t>
  </si>
  <si>
    <t>Aug.</t>
  </si>
  <si>
    <t>Sept.</t>
  </si>
  <si>
    <t>Okt.</t>
  </si>
  <si>
    <t>Nov.</t>
  </si>
  <si>
    <t>Dez.</t>
  </si>
  <si>
    <t>Miete (oder vergleichbare Belastung)</t>
  </si>
  <si>
    <t xml:space="preserve">Heizung, Schornsteinfeger, Emission </t>
  </si>
  <si>
    <t>Strom, Wasser, Abwasser, Müll</t>
  </si>
  <si>
    <t>Telefon, Mobil, Fax, Internet</t>
  </si>
  <si>
    <t>Rundfunk / Fernsehen usw.</t>
  </si>
  <si>
    <t>Kredit (Zins u. Tilgung)</t>
  </si>
  <si>
    <t>Wohnungsreparaturen</t>
  </si>
  <si>
    <t>Sonstiges (z.B. Grundsteuern)</t>
  </si>
  <si>
    <t>Lebensunterhalt / Haushaltsgeld</t>
  </si>
  <si>
    <t>Lebensmittel , auswärts Essen</t>
  </si>
  <si>
    <t>Kleidung, kosmetika, Sonstiges</t>
  </si>
  <si>
    <t>Kredit (Zins u. Tilgung) / Leasing</t>
  </si>
  <si>
    <t>Versicherung, Steuern, Reparaturen</t>
  </si>
  <si>
    <t>Benzin / Diesel / Reparaturen</t>
  </si>
  <si>
    <t>Versicherungen</t>
  </si>
  <si>
    <t>Unfallversicherung, Berufsunfähigkeit</t>
  </si>
  <si>
    <t>Hausratsversicherung, Haftpflicht</t>
  </si>
  <si>
    <t>Sonstige.Versicherungen.</t>
  </si>
  <si>
    <t>Freizeit / Unterhaltung</t>
  </si>
  <si>
    <t xml:space="preserve">Hobby, Bücher, Geschenke </t>
  </si>
  <si>
    <t>Urlaub, Reisen, Sonstiges</t>
  </si>
  <si>
    <t>Verschiedenes</t>
  </si>
  <si>
    <t>Vereinsbeiträge, Spenden, Bausparen</t>
  </si>
  <si>
    <t>Beratung (Steuer, Recht usw.)</t>
  </si>
  <si>
    <t>Zahlungsverpflichtungen</t>
  </si>
  <si>
    <t>Unterhalt, Kredittilgung, Weiterbildung</t>
  </si>
  <si>
    <t>Sonstige private Kredite (Zins + Tilg.)</t>
  </si>
  <si>
    <t>Wohnen</t>
  </si>
  <si>
    <t>PKW</t>
  </si>
  <si>
    <t>Summe</t>
  </si>
  <si>
    <t>Personalkosten (nur Angestellte)</t>
  </si>
  <si>
    <t>Marktforschung</t>
  </si>
  <si>
    <t>Summe Betriebskosten I</t>
  </si>
  <si>
    <t>Bürokosten</t>
  </si>
  <si>
    <t>Briefpapier, Visitenkarte, Stempel</t>
  </si>
  <si>
    <t>Produktionskosten</t>
  </si>
  <si>
    <t>Haftpflicht</t>
  </si>
  <si>
    <t>Rechtschutzversicherung</t>
  </si>
  <si>
    <t>Einnahmeart</t>
  </si>
  <si>
    <t>Einnahmen / Einzahlungen</t>
  </si>
  <si>
    <t>Summe Liquiditätszugang</t>
  </si>
  <si>
    <t>Ausgaben / Auszahlungen</t>
  </si>
  <si>
    <t xml:space="preserve">Sonstige Auszahlungen </t>
  </si>
  <si>
    <t>Summe Liquiditätsabgang</t>
  </si>
  <si>
    <t>Liquiditätssaldo</t>
  </si>
  <si>
    <t>(+) Summe Liquiditätszugang</t>
  </si>
  <si>
    <t>(-) Summe Liquiditätsabgang</t>
  </si>
  <si>
    <t>Forderungsausgleich</t>
  </si>
  <si>
    <t>Kapitalquellen</t>
  </si>
  <si>
    <t>Zinssatz</t>
  </si>
  <si>
    <t>Eigenkapital</t>
  </si>
  <si>
    <t xml:space="preserve">Kontokorrent Kredit </t>
  </si>
  <si>
    <t>Kurzfristige Darlehen</t>
  </si>
  <si>
    <t>Öffentliche Förderdarlehen</t>
  </si>
  <si>
    <t>L - Bank-Darlehen</t>
  </si>
  <si>
    <t xml:space="preserve">Bürgschaftsbank- Darlehen </t>
  </si>
  <si>
    <t>Haus -  Bank-Darlehen</t>
  </si>
  <si>
    <t>Privat -  Darlehen</t>
  </si>
  <si>
    <t>Konto / flüss. Mittel / Liquiditätssaldo</t>
  </si>
  <si>
    <t xml:space="preserve">Konto/flüss. Mittel/ Liquiditätssaldo/Startg. 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</si>
  <si>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</si>
  <si>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</si>
  <si>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</si>
  <si>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</si>
  <si>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</si>
  <si>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</si>
  <si>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</si>
  <si>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</si>
  <si>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</si>
  <si>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</si>
  <si>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</si>
  <si>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August</t>
  </si>
  <si>
    <t>Monate</t>
  </si>
  <si>
    <t>Beteiligung</t>
  </si>
  <si>
    <t>Eigenleistung</t>
  </si>
  <si>
    <t>Eigenkaptial und -leistung</t>
  </si>
  <si>
    <t>Fremdfinanzierung</t>
  </si>
  <si>
    <t>Zins</t>
  </si>
  <si>
    <t>Januar</t>
  </si>
  <si>
    <t>Februar</t>
  </si>
  <si>
    <t>September</t>
  </si>
  <si>
    <t>Oktober</t>
  </si>
  <si>
    <t>November</t>
  </si>
  <si>
    <t>Dezember</t>
  </si>
  <si>
    <t>Zins Fremdkapital</t>
  </si>
  <si>
    <t>Tilgung Fremdkapital</t>
  </si>
  <si>
    <t>Belastung gesamt</t>
  </si>
  <si>
    <t>durchschn. Jahresbeträge</t>
  </si>
  <si>
    <t>Finanzplan zum Businessplan</t>
  </si>
  <si>
    <t>Investitionsgut 5</t>
  </si>
  <si>
    <t>Investitionsgut 6</t>
  </si>
  <si>
    <t>Investitionsgut 7</t>
  </si>
  <si>
    <t>Telefon:</t>
  </si>
  <si>
    <t>Mail:</t>
  </si>
  <si>
    <t xml:space="preserve">Mobil: </t>
  </si>
  <si>
    <t>Finanzbedingungen</t>
  </si>
  <si>
    <t>Nr.</t>
  </si>
  <si>
    <t>6.1</t>
  </si>
  <si>
    <t>6.2</t>
  </si>
  <si>
    <t>6.3</t>
  </si>
  <si>
    <t>6.4</t>
  </si>
  <si>
    <t>6.5</t>
  </si>
  <si>
    <t>6.6</t>
  </si>
  <si>
    <t>6.7</t>
  </si>
  <si>
    <t>Kapitalgesellschaft</t>
  </si>
  <si>
    <t>Reisekostenpauschalen</t>
  </si>
  <si>
    <t>Anmerkungen</t>
  </si>
  <si>
    <t>Löhne, Gehälter mit Nebenkosten (s. Nebenrechnung)</t>
  </si>
  <si>
    <t>Reisekosten</t>
  </si>
  <si>
    <t>Übernachtungen</t>
  </si>
  <si>
    <t>Fachliteratur, Bücher</t>
  </si>
  <si>
    <t>Fahrtkosten</t>
  </si>
  <si>
    <t>Marketing  u. Werbung</t>
  </si>
  <si>
    <t>Flyer, Prospekte, Broschüren, Anzeigen</t>
  </si>
  <si>
    <t>Sonstiges, Messen, ...</t>
  </si>
  <si>
    <t>Anschaffungen Eingabetabelle</t>
  </si>
  <si>
    <t>Errechnen Monatswerte Abschreibungen</t>
  </si>
  <si>
    <t>Abschreibungen Jahreswerte</t>
  </si>
  <si>
    <t>Anschaffungsjahr</t>
  </si>
  <si>
    <t>Zählreihe</t>
  </si>
  <si>
    <t>Abschreibungen verteilt über Kalenderjahre</t>
  </si>
  <si>
    <t>Abschreibungen über Kalenderjahre</t>
  </si>
  <si>
    <t>Beschaffung des erforderlichen Kapitals</t>
  </si>
  <si>
    <t>Leasingraten für Produktionsanlagen, -maschinen</t>
  </si>
  <si>
    <t>Abrechenbare Kilometerkosten</t>
  </si>
  <si>
    <t>Produktionsbedarf, geringwertige Wirtschaftsgüter</t>
  </si>
  <si>
    <t>Leasingraten Kfz</t>
  </si>
  <si>
    <t>KFZ Kosten / Betriebliche Nutzung</t>
  </si>
  <si>
    <t>Gesamtsumme angefallener MwSt</t>
  </si>
  <si>
    <t>FreiberuflerIn</t>
  </si>
  <si>
    <t>umsatzsteuerpflichtig</t>
  </si>
  <si>
    <t>Kleinunternehmerregelung</t>
  </si>
  <si>
    <t>Einzahlungen/Auszahlungen (MwSt-Satz s. Tab.2 und Tab.4)</t>
  </si>
  <si>
    <t>Sammelposten 1</t>
  </si>
  <si>
    <t>Sammelposten 2</t>
  </si>
  <si>
    <t>Sammelposten 3</t>
  </si>
  <si>
    <t>Weitergehende Erläuterung zu Abschreibung</t>
  </si>
  <si>
    <t>Summe Anschaffungen</t>
  </si>
  <si>
    <t>Sammelposten 4</t>
  </si>
  <si>
    <t>Sammelposten (aus 3c)</t>
  </si>
  <si>
    <t>Investjahr</t>
  </si>
  <si>
    <t>Ausgefüllt</t>
  </si>
  <si>
    <t>Abschreibungen</t>
  </si>
  <si>
    <t>Sammelposten 5</t>
  </si>
  <si>
    <t>Sammelposten 6</t>
  </si>
  <si>
    <t>Sammelposten 7</t>
  </si>
  <si>
    <t>Sammelposten 8</t>
  </si>
  <si>
    <t>Summe Sammelposten</t>
  </si>
  <si>
    <t>Wert</t>
  </si>
  <si>
    <t>Ergebnis nach Steuern</t>
  </si>
  <si>
    <t>Vorläufiges Ergebnis / Gewinn vor Steuern (Übernahme aus Tab 5b)</t>
  </si>
  <si>
    <t>Gewerbesteuer (Übernahme aus Tab. 5c)</t>
  </si>
  <si>
    <t>Auswahl</t>
  </si>
  <si>
    <t>Wikipedia</t>
  </si>
  <si>
    <t>Einzelunternehmen</t>
  </si>
  <si>
    <t>Personengesellschaft</t>
  </si>
  <si>
    <t>Akkumuliert: Vorläufiges Ergebnis / Gewinn vor St. oder Verlust</t>
  </si>
  <si>
    <t>Vorläufiges Ergebnis / Gewinn vor St. oder Verlust</t>
  </si>
  <si>
    <t xml:space="preserve">*) Tool zur Gewerbesteuerermittlung </t>
  </si>
  <si>
    <t>Hebesätze Gemeinden um Stuttgart</t>
  </si>
  <si>
    <t xml:space="preserve"> </t>
  </si>
  <si>
    <t>Investitionsgut 2</t>
  </si>
  <si>
    <t>Investitionsgut 3</t>
  </si>
  <si>
    <t>Investitionsgut 4</t>
  </si>
  <si>
    <t xml:space="preserve"> Anzahl Mitarbeiter</t>
  </si>
  <si>
    <t>Gehalt1</t>
  </si>
  <si>
    <t>Gehalt2</t>
  </si>
  <si>
    <t>Gehalt3</t>
  </si>
  <si>
    <t>Nebenkosten (%)</t>
  </si>
  <si>
    <t>Gehaltssumme</t>
  </si>
  <si>
    <t>Startjahr</t>
  </si>
  <si>
    <t>2.Jahr</t>
  </si>
  <si>
    <t xml:space="preserve">Betrag </t>
  </si>
  <si>
    <t>tilgungsfreie Monate</t>
  </si>
  <si>
    <t>Tilgungsstart</t>
  </si>
  <si>
    <t>Tilgungsende</t>
  </si>
  <si>
    <t>Planungsjahr</t>
  </si>
  <si>
    <t>Tilgung pro Monat</t>
  </si>
  <si>
    <t>Auszahlungsmonat</t>
  </si>
  <si>
    <t>Zins pro Monat</t>
  </si>
  <si>
    <t>Betrag</t>
  </si>
  <si>
    <t>Auszahlungsjahr</t>
  </si>
  <si>
    <t>Laufzeit Tilgung</t>
  </si>
  <si>
    <t>lfndr Monat</t>
  </si>
  <si>
    <t>monatl. Abschreibungen</t>
  </si>
  <si>
    <t>Akkumuliertes vorläufiges Ergebnis / Gewinn vor St. oder Verlust</t>
  </si>
  <si>
    <t>8.1</t>
  </si>
  <si>
    <t>8.2</t>
  </si>
  <si>
    <t>8.3</t>
  </si>
  <si>
    <t>8.4</t>
  </si>
  <si>
    <t>8.5</t>
  </si>
  <si>
    <t>8.6</t>
  </si>
  <si>
    <t>8.7</t>
  </si>
  <si>
    <t>8.8</t>
  </si>
  <si>
    <t>7a  Finanzierungsplan (Beträge in EURO)</t>
  </si>
  <si>
    <t>Summe Personalkosten</t>
  </si>
  <si>
    <t>negativ</t>
  </si>
  <si>
    <t>positiv</t>
  </si>
  <si>
    <t>Kapital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</si>
  <si>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</si>
  <si>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</si>
  <si>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</si>
  <si>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</si>
  <si>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</si>
  <si>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</si>
  <si>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</si>
  <si>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</si>
  <si>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</si>
  <si>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</si>
  <si>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</si>
  <si>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</si>
  <si>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Startguthaben (= Eigenkapital und -leistung aus Tab. 7a)</t>
  </si>
  <si>
    <t>Aufgaben und/oder Kommentar</t>
  </si>
  <si>
    <t>Webseite, lfd. Webseitenpflege</t>
  </si>
  <si>
    <t>Honorareinnahmen</t>
  </si>
  <si>
    <t>Sonstige Einzahlungen, z.B. Gutscheine, Zuschüsse, ...</t>
  </si>
  <si>
    <t>Gründungsmonat:</t>
  </si>
  <si>
    <t>*)  und **)  AOK-Gehaltsrechner</t>
  </si>
  <si>
    <t>Langfristige Darlehen z.B.</t>
  </si>
  <si>
    <t>Sonstige</t>
  </si>
  <si>
    <t>Total
Tilgung pro Monat</t>
  </si>
  <si>
    <t>Total
Zins pro Monat</t>
  </si>
  <si>
    <t>Total
Kapital</t>
  </si>
  <si>
    <t>Planungs-jahr</t>
  </si>
  <si>
    <t>laufender Monat</t>
  </si>
  <si>
    <t>Namen der GründerInnen</t>
  </si>
  <si>
    <t>Gesamtentnahmen aller GründerInnen</t>
  </si>
  <si>
    <t xml:space="preserve">      - Bei mehreren Gründern kann über Tabelle 1c eine Gesamtschau entwickelt und daraus eine "Aufteilung der Privatentnahmen" erzeugt werden</t>
  </si>
  <si>
    <t>Anhang zu Tab 1b</t>
  </si>
  <si>
    <t>Unternehmensform:</t>
  </si>
  <si>
    <t>Steuerpflicht:</t>
  </si>
  <si>
    <t xml:space="preserve">Gründungsjahr: </t>
  </si>
  <si>
    <t>aktuelles Jahr</t>
  </si>
  <si>
    <t>Keine Kapitalgesellschaft</t>
  </si>
  <si>
    <t>Ende</t>
  </si>
  <si>
    <t>Um die Tabellen zu erhalten müssen Sie</t>
  </si>
  <si>
    <t>die Anzahl der Jahre mit monatlichen Planung</t>
  </si>
  <si>
    <t>Zahlungseingang</t>
  </si>
  <si>
    <t>Gründer</t>
  </si>
  <si>
    <t>Investitionsgut 1</t>
  </si>
  <si>
    <t>4)  Die EkSt. im Angestelltenverhältnis erhöht die Privatausgaben</t>
  </si>
  <si>
    <t>Kapitaldienst Tilgung (aus Tab. 7b-1)</t>
  </si>
  <si>
    <t>Summe der angefallenen MwSt</t>
  </si>
  <si>
    <t>Sprache auswählen:</t>
  </si>
  <si>
    <t>Deutsch</t>
  </si>
  <si>
    <t>Sum</t>
  </si>
  <si>
    <t>Letter paper, business card, stamp</t>
  </si>
  <si>
    <t>Office expences</t>
  </si>
  <si>
    <t>Travel expenses</t>
  </si>
  <si>
    <t>Financial costs /  interest *)</t>
  </si>
  <si>
    <t>Leisure, entertainement</t>
  </si>
  <si>
    <t xml:space="preserve">Insurance </t>
  </si>
  <si>
    <t>Vehicle costs (operational use)</t>
  </si>
  <si>
    <t xml:space="preserve">Credit (interest &amp; repayment) </t>
  </si>
  <si>
    <t>Credit (interest &amp; repayment) / leasing</t>
  </si>
  <si>
    <t>Vehicle leasing rates</t>
  </si>
  <si>
    <t>Wages, salaries with additional costs (s. accillary account)</t>
  </si>
  <si>
    <t xml:space="preserve">Marketing &amp; advertising </t>
  </si>
  <si>
    <t>Market research</t>
  </si>
  <si>
    <t>Passenger car</t>
  </si>
  <si>
    <t>Production need, inferior assets</t>
  </si>
  <si>
    <t>Production costs</t>
  </si>
  <si>
    <t>Legal costs insurance</t>
  </si>
  <si>
    <t xml:space="preserve">Travelling allowances </t>
  </si>
  <si>
    <t>Other private credits (interest + anortization)</t>
  </si>
  <si>
    <t xml:space="preserve">Other insurances </t>
  </si>
  <si>
    <t>Miscellaneous (f.e. property tax)</t>
  </si>
  <si>
    <t>Electricity, water, waste water, garbage</t>
  </si>
  <si>
    <t>Sum operating costs I</t>
  </si>
  <si>
    <t>Sum office expences</t>
  </si>
  <si>
    <t xml:space="preserve">Sum personal costs </t>
  </si>
  <si>
    <t xml:space="preserve">Sum production costs </t>
  </si>
  <si>
    <t>Sum travel expenses</t>
  </si>
  <si>
    <t>Sum miscellaneous</t>
  </si>
  <si>
    <t>Sum insurances (operational)</t>
  </si>
  <si>
    <t>Phone, fax, internet, porto</t>
  </si>
  <si>
    <t>Accomodations</t>
  </si>
  <si>
    <t>Accident insurance, incapacity to work</t>
  </si>
  <si>
    <t>Association contributions, donations, building-savings</t>
  </si>
  <si>
    <t>Miscellaneous</t>
  </si>
  <si>
    <t>Insurances, taxes, repairs</t>
  </si>
  <si>
    <t>Insurances</t>
  </si>
  <si>
    <t>Website, current website maintenance</t>
  </si>
  <si>
    <t xml:space="preserve">Payment obligations </t>
  </si>
  <si>
    <t>Personnel cost (only salary earners)</t>
  </si>
  <si>
    <t>Costs deductibles per kilometre</t>
  </si>
  <si>
    <t>Sum vehical costs / operational use)</t>
  </si>
  <si>
    <t xml:space="preserve">Sum marketing &amp; advertising </t>
  </si>
  <si>
    <t>Flyers, leaflets, booklets, ads</t>
  </si>
  <si>
    <t>Specialist literature, books</t>
  </si>
  <si>
    <t>Others, fairs ...</t>
  </si>
  <si>
    <t>Cost Type</t>
  </si>
  <si>
    <t>Telefon, Fax, Internet, Porto</t>
  </si>
  <si>
    <t>English</t>
  </si>
  <si>
    <t>Sum VAT</t>
  </si>
  <si>
    <t>Total sum VAT</t>
  </si>
  <si>
    <t>No.</t>
  </si>
  <si>
    <t>May</t>
  </si>
  <si>
    <t>June</t>
  </si>
  <si>
    <t>July</t>
  </si>
  <si>
    <t>Mar</t>
  </si>
  <si>
    <t>Sept</t>
  </si>
  <si>
    <t>Oct</t>
  </si>
  <si>
    <t>Dec</t>
  </si>
  <si>
    <t>To Do list / Comments</t>
  </si>
  <si>
    <t>4b Addendum: Disclosure of VAT (Difference between Tab. 4b and 4d)</t>
  </si>
  <si>
    <t>Salary1</t>
  </si>
  <si>
    <t>Salary2</t>
  </si>
  <si>
    <t>Salery3</t>
  </si>
  <si>
    <t>No of Employees</t>
  </si>
  <si>
    <t>Additional Expenses (%)</t>
  </si>
  <si>
    <t>Payroll</t>
  </si>
  <si>
    <t>Nebenrechung Personalkosten</t>
  </si>
  <si>
    <t>Ancillary Account for Personal Costs</t>
  </si>
  <si>
    <t>4a-1  Anhang: Ausweis der MwSt in EURO aus der Differenz zwischen den Tabellen 4a-1 und 4c-1</t>
  </si>
  <si>
    <t>4b-2  Anhang: Ausweis der MwSt in EURO aus der Differenz zwischen den Tabellen 4b-2 und 4d-2</t>
  </si>
  <si>
    <t>4b-2 Addendum: Disclosure of VAT (Difference between Tab. 4b-2 and 4d-2)</t>
  </si>
  <si>
    <t>Grün hinterlegte Felder bitte ausfüllen</t>
  </si>
  <si>
    <t>Voreingestellter Inhalt der roten Felder</t>
  </si>
  <si>
    <t>Select your language:</t>
  </si>
  <si>
    <t>Name of enterprise *):</t>
  </si>
  <si>
    <t>Form of enterprise*):</t>
  </si>
  <si>
    <t>Adress*):</t>
  </si>
  <si>
    <t>Name(s) of founder*):</t>
  </si>
  <si>
    <t>Individual enterprise</t>
  </si>
  <si>
    <t>Partnership</t>
  </si>
  <si>
    <t xml:space="preserve">Capital company </t>
  </si>
  <si>
    <t>Smal business regulation</t>
  </si>
  <si>
    <t>liable to tax on sales</t>
  </si>
  <si>
    <t>Financial plan to the businessplan</t>
  </si>
  <si>
    <t>please fill in the green fields</t>
  </si>
  <si>
    <t>No</t>
  </si>
  <si>
    <t>current year</t>
  </si>
  <si>
    <t>Sum compound items</t>
  </si>
  <si>
    <t>Compound item 1</t>
  </si>
  <si>
    <t xml:space="preserve">Months </t>
  </si>
  <si>
    <t xml:space="preserve">monthly write offs </t>
  </si>
  <si>
    <t>Priliminary  result / earnings bevor taxes or loss</t>
  </si>
  <si>
    <t>Founding year*):</t>
  </si>
  <si>
    <t>Acc. priliminary  result / earnings bevor taxes or loss</t>
  </si>
  <si>
    <t>Priliminary  result / earnings bevor taxes for loss (from tab. 5b)</t>
  </si>
  <si>
    <t>Earnings after tax</t>
  </si>
  <si>
    <t>Hebesätze Gemeinden um Stuttgart (tax factors of communities round Stuttgart)</t>
  </si>
  <si>
    <t>*) Tool zur Gewerbesteuerermittlung  (Tool for assertainement of business tax)</t>
  </si>
  <si>
    <t>(Rough estimation  of the inome tax with the fee-calculator of the Federal Ministery of Finances</t>
  </si>
  <si>
    <t xml:space="preserve">Payment receipt </t>
  </si>
  <si>
    <t>Account / liquid resources / liquidity balance / opening balance</t>
  </si>
  <si>
    <t>Receipts / payments-in</t>
  </si>
  <si>
    <t>Payments of outstanding bills</t>
  </si>
  <si>
    <t>Other pay offs</t>
  </si>
  <si>
    <t>Sum liquidity outflow</t>
  </si>
  <si>
    <t xml:space="preserve">Liquidity balance </t>
  </si>
  <si>
    <t>(-)Sum liquidity outflow</t>
  </si>
  <si>
    <t>7a Financing plan (amount in EURO)</t>
  </si>
  <si>
    <t>Pay off in month</t>
  </si>
  <si>
    <t>Amount</t>
  </si>
  <si>
    <t>Capital resources</t>
  </si>
  <si>
    <t>Own capital</t>
  </si>
  <si>
    <t>Public loans</t>
  </si>
  <si>
    <t>L - Bank credit</t>
  </si>
  <si>
    <t>Quarantee bank credit</t>
  </si>
  <si>
    <t>House bank credit</t>
  </si>
  <si>
    <t>Privat loan</t>
  </si>
  <si>
    <t>Other</t>
  </si>
  <si>
    <t>External financing</t>
  </si>
  <si>
    <t>Interest outside capital</t>
  </si>
  <si>
    <t>Average annual amount</t>
  </si>
  <si>
    <t>Compound item 2</t>
  </si>
  <si>
    <t>Compound item 3</t>
  </si>
  <si>
    <t>Compound item 4</t>
  </si>
  <si>
    <t>Compound item 5</t>
  </si>
  <si>
    <t>Compound item 6</t>
  </si>
  <si>
    <t>Compound item 7</t>
  </si>
  <si>
    <t>Compound item 8</t>
  </si>
  <si>
    <t>January</t>
  </si>
  <si>
    <t>February</t>
  </si>
  <si>
    <t>March</t>
  </si>
  <si>
    <t>October</t>
  </si>
  <si>
    <t>December</t>
  </si>
  <si>
    <t>Tilgungsjahre</t>
  </si>
  <si>
    <t>Value</t>
  </si>
  <si>
    <t>Cost Category</t>
  </si>
  <si>
    <t xml:space="preserve">1c  Privatentnahmen (in EUR) der aufgeführten GründerInnen für die Jahre </t>
  </si>
  <si>
    <t>Annex to Tab 1b</t>
  </si>
  <si>
    <t>Grundlage dafür sind Gesamtausgaben</t>
  </si>
  <si>
    <t xml:space="preserve">Basis therefor are Total Expenses </t>
  </si>
  <si>
    <t>Founder/s</t>
  </si>
  <si>
    <t>Names of the Founder/s</t>
  </si>
  <si>
    <t>Terms for Financing</t>
  </si>
  <si>
    <t>Rate of 
Interest</t>
  </si>
  <si>
    <t>Comments</t>
  </si>
  <si>
    <t>Gesamtumsätze</t>
  </si>
  <si>
    <t>Gesamtumsätze akkumuliert</t>
  </si>
  <si>
    <t>Total Sales</t>
  </si>
  <si>
    <t>Total Sales accumulated</t>
  </si>
  <si>
    <t>Type of Income</t>
  </si>
  <si>
    <t>Selection</t>
  </si>
  <si>
    <t>Sonstige Einnahmen</t>
  </si>
  <si>
    <t>Other Income</t>
  </si>
  <si>
    <t>No incorporated enterprise</t>
  </si>
  <si>
    <t>To open the spreadsheets select</t>
  </si>
  <si>
    <t>the number of years with monthly sceduling</t>
  </si>
  <si>
    <t>by click in the appropriate circle</t>
  </si>
  <si>
    <t>Default content of the red fields</t>
  </si>
  <si>
    <t xml:space="preserve">Tax liability: </t>
  </si>
  <si>
    <t xml:space="preserve">Founding year: </t>
  </si>
  <si>
    <t xml:space="preserve">Type of enterprise: </t>
  </si>
  <si>
    <t xml:space="preserve">Founding month: </t>
  </si>
  <si>
    <t xml:space="preserve">Phon: </t>
  </si>
  <si>
    <t xml:space="preserve">Mail: </t>
  </si>
  <si>
    <t xml:space="preserve">Date of issue: </t>
  </si>
  <si>
    <t>Not an Incorporated Enterprise</t>
  </si>
  <si>
    <t>Professional Person</t>
  </si>
  <si>
    <t>Ferbruary</t>
  </si>
  <si>
    <t>Sepember</t>
  </si>
  <si>
    <t>Month of Investment</t>
  </si>
  <si>
    <t>Gewinn/Verlust vor Steuer</t>
  </si>
  <si>
    <t xml:space="preserve">Finanzplanungstabellen; Download unter www.Kindermanns.de) zu zahlen. Die Höhe der Gewerbesteuer ist abhängig vom </t>
  </si>
  <si>
    <t>Finanzplanung für Gründer und Gründerinnen leicht gemacht!</t>
  </si>
  <si>
    <t>Vorwort</t>
  </si>
  <si>
    <t xml:space="preserve">Tabellen sind miteinander verknüpft, so dass jederzeit die Auswirkung einer Planänderung auf das Ergebnis erkennbar ist.  Außerdem wird jetzt sofort </t>
  </si>
  <si>
    <t>aus den eingebenen Zahlen eine anschauliche Grafik über den jeweiligen Zeithorizont erzeugt. Zusätzlich sind dann alle Grafiken nochmals zusammen</t>
  </si>
  <si>
    <t xml:space="preserve">Probieren Sie es! Mit den Tabellen ist die Finanzplanung für Ihr Unternehmen relativ einfach. </t>
  </si>
  <si>
    <t>Eine Bedienungsanleitung mit Tipps zum Ausfüllen der Tabellen kann aus dem Internet (www.kindermanns.de) unter Downloads heruntergeladen werden.</t>
  </si>
  <si>
    <t xml:space="preserve">Wir hoffen, dass die überarbeiten Tabellen die Finanzplanung erleichtern. Anregungen und Verbesserungsvorschläge sind herzlich willkommen. </t>
  </si>
  <si>
    <t>Jegliche Haftung für die Richtigkeit der berechneten Werte ist ausgeschlossen.</t>
  </si>
  <si>
    <t>Finance planning for business founders made easy!</t>
  </si>
  <si>
    <t>Preface</t>
  </si>
  <si>
    <r>
      <t xml:space="preserve">We hope, the revised tables will facilitate your finance planning. </t>
    </r>
    <r>
      <rPr>
        <sz val="10"/>
        <rFont val="Arial"/>
        <family val="2"/>
      </rPr>
      <t>Feedback and suggestions are always welcome.</t>
    </r>
  </si>
  <si>
    <t>Any liability for the correctness of the calculated results is excluded.</t>
  </si>
  <si>
    <t>Try it out! With this excel sheet the financial planning for your business is quite simple</t>
  </si>
  <si>
    <t>or for the JobCenter a financial plan is required to prove the business concept.</t>
  </si>
  <si>
    <t xml:space="preserve">This excel sheet facilitates the finance planning for the business founder. It is recommended to fill in the sheets one after the other. </t>
  </si>
  <si>
    <t xml:space="preserve">The sheets are linked so that each plan amendment is visible in the result. In addition a graphic is generated from the entered data. Furthermore </t>
  </si>
  <si>
    <t>für das Jahr</t>
  </si>
  <si>
    <t>for the year</t>
  </si>
  <si>
    <t xml:space="preserve">Many business founders and foundresses have an aversion to financial planning. For them the finance planning is a closed book, an unknown terrain. </t>
  </si>
  <si>
    <t xml:space="preserve">This finance planning spreadsheet is useful for freelancers, sole proprietors or VAT-liable companies such as  private companies </t>
  </si>
  <si>
    <t xml:space="preserve">No bank will grant a loan for a startup without a description of the expected financial circumstances. Also for the Agency of Employment </t>
  </si>
  <si>
    <t>A User Guide (inGerman) with tips for filling in the sheets can be downloaded from the internet (www.kindermanns.de).</t>
  </si>
  <si>
    <t>Tab 4</t>
  </si>
  <si>
    <t>Tab 3</t>
  </si>
  <si>
    <t>Tab 2</t>
  </si>
  <si>
    <t>Tab 7</t>
  </si>
  <si>
    <t>Tab 6</t>
  </si>
  <si>
    <t>Tab 5</t>
  </si>
  <si>
    <t>Leasing rate for production facityties , -machines</t>
  </si>
  <si>
    <t>Einzelhandel</t>
  </si>
  <si>
    <t>Retail</t>
  </si>
  <si>
    <t>Monate nach Rechnungsstellung (≡ Planumsatz)</t>
  </si>
  <si>
    <t>Sum operating costs II</t>
  </si>
  <si>
    <t xml:space="preserve">Einzelhandel und Kapitalgesellschaften (wie GmbH) verwendbar.   </t>
  </si>
  <si>
    <t xml:space="preserve">(e.g. GbR=civil law association, KG=limited partnership), retrail sale, partnerships or corporations. </t>
  </si>
  <si>
    <r>
      <t>Finanzplanungstabellen</t>
    </r>
    <r>
      <rPr>
        <sz val="10"/>
        <rFont val="Verdana"/>
        <family val="2"/>
      </rPr>
      <t xml:space="preserve"> </t>
    </r>
    <r>
      <rPr>
        <sz val="10"/>
        <color rgb="FF000000"/>
        <rFont val="Verdana"/>
        <family val="2"/>
      </rPr>
      <t>sind für Freiberufler,  Einzelunternehmer, umsatzsteuerpflichtigen Unternehmen, wie Personengesellschaften (z.B. GbR, KG),</t>
    </r>
  </si>
  <si>
    <t>Raummiete</t>
  </si>
  <si>
    <t>Strom, Wasser, Heizung, sonst. Nebenkosten</t>
  </si>
  <si>
    <t>IT (Lizenzen, Windows, Office, Wartung)</t>
  </si>
  <si>
    <t>Sonstiges</t>
  </si>
  <si>
    <t>Geringw. Wirtschaftsgüter (Büromöbel, Einrichtungen,...)</t>
  </si>
  <si>
    <t>Inferior assets (office furniture,  facilities, ...)</t>
  </si>
  <si>
    <t>Others</t>
  </si>
  <si>
    <t>IT (licenses, windows, office, maintenace, ...)</t>
  </si>
  <si>
    <t>Space rent</t>
  </si>
  <si>
    <t>Instandhaltung und Reparaturen</t>
  </si>
  <si>
    <t>Electricity, water, heating, other costs</t>
  </si>
  <si>
    <t>Maintenace and repairs</t>
  </si>
  <si>
    <t>Beiträge (IHK, Berufsverbände, ...)</t>
  </si>
  <si>
    <t>Conributions (IHK,  trade organizations, ...)</t>
  </si>
  <si>
    <t>Versicherungen/Kfz-Steuer</t>
  </si>
  <si>
    <t>Fahrzeugkosten (Tanken und Reparatur)</t>
  </si>
  <si>
    <t>Insurance/tax on cars</t>
  </si>
  <si>
    <t xml:space="preserve">vehicle's costs (fuel and repairs) </t>
  </si>
  <si>
    <t>Bewirtungskosten</t>
  </si>
  <si>
    <t>entertainment expenses</t>
  </si>
  <si>
    <t>Rechts- und Beratungskosten</t>
  </si>
  <si>
    <t>Buchhaltung</t>
  </si>
  <si>
    <t>Steuerberatung, Abschluss, Prüfung</t>
  </si>
  <si>
    <t>Summe Rechts- und Beratungskosten</t>
  </si>
  <si>
    <t xml:space="preserve">Bookkeeping </t>
  </si>
  <si>
    <t>Tax consultancy, accounts, annual audit</t>
  </si>
  <si>
    <t>Legislation and consultancy fees</t>
  </si>
  <si>
    <t>Sum legislation and consultancy fees</t>
  </si>
  <si>
    <t>Finanzaufwand / Zinsen *)</t>
  </si>
  <si>
    <t>Schulungen</t>
  </si>
  <si>
    <t>Profesional training</t>
  </si>
  <si>
    <t>Summe Verschiedenes</t>
  </si>
  <si>
    <t>Versicherungen und Beiträge (betrieblich!)</t>
  </si>
  <si>
    <t>Insurances and Contributions</t>
  </si>
  <si>
    <t>Depreciation</t>
  </si>
  <si>
    <t>Amortization (years)</t>
  </si>
  <si>
    <t>Interest-only (months)</t>
  </si>
  <si>
    <t xml:space="preserve">months after invoicing ( = planed sales) </t>
  </si>
  <si>
    <t>1.1</t>
  </si>
  <si>
    <t>1.2</t>
  </si>
  <si>
    <t>1.3</t>
  </si>
  <si>
    <t>1.4</t>
  </si>
  <si>
    <t>1.6</t>
  </si>
  <si>
    <t>2.1</t>
  </si>
  <si>
    <t>2.2</t>
  </si>
  <si>
    <t>2.3</t>
  </si>
  <si>
    <t>2.4</t>
  </si>
  <si>
    <t>2.6</t>
  </si>
  <si>
    <t>3.1</t>
  </si>
  <si>
    <t>3.2</t>
  </si>
  <si>
    <t>4.1</t>
  </si>
  <si>
    <t>4.2</t>
  </si>
  <si>
    <t>Bitte die Zusammensetzung der Umsätze in der Nebenrechnung (ab Spalte U) angeben</t>
  </si>
  <si>
    <t>Zeilen</t>
  </si>
  <si>
    <t>Original</t>
  </si>
  <si>
    <t>DATEV</t>
  </si>
  <si>
    <t>Steuersatz</t>
  </si>
  <si>
    <t>Please show the structure of sales in auxiliary calculation (Choose column "U")</t>
  </si>
  <si>
    <t>Ancillary: Account for Personal Costs</t>
  </si>
  <si>
    <t xml:space="preserve">Vor der Finanzplanung haben Existenzgründer und Existenzgründerinnen in der Regel eine große Scheu. Für Viele ist die Finanzplanung ein Buch </t>
  </si>
  <si>
    <t>mit sieben Siegeln,ein bisher unbekanntes Terrain. Aber zu jeder Existenzgründung und zu jedem  Business-Plan gehört nun einmal auch eine grobe</t>
  </si>
  <si>
    <t>Finanzplanung mit Umsatzvorausschau, Rentabilitätsberechnung und Liquiditätsbetrachtung. Erst diese Daten – auch wenn es nur Prognosewerte sind -</t>
  </si>
  <si>
    <t>zeigen, ob das geplante Unternehmen voraussichtlich auch Gewinn abwirft und sich in den nächsten Jahren auch auf dem Markt durchsetzen kann.</t>
  </si>
  <si>
    <t>Die Tabellen sollen dem Gründer/der Gründerin die Finanzplanung erleichtern. Es wird empfohlen, die Tabellen, eine nach der anderen, auszufüllen.</t>
  </si>
  <si>
    <t>Nevertheless every business startup and every business plan must include a rough finance planning with sales projection, profitability calculation and</t>
  </si>
  <si>
    <t>liquidity assessment. These data show– even if there are only forecast values - , whether your planned project will produce a profit and will succeed</t>
  </si>
  <si>
    <t xml:space="preserve">in the market. </t>
  </si>
  <si>
    <t>durch Klick in den entsprechenden Kreis</t>
  </si>
  <si>
    <t>auswählen</t>
  </si>
  <si>
    <t>Danach auf Schaltfläche "Weiter/Go" klicken</t>
  </si>
  <si>
    <t>Thereafter click the button "Weiter/Go"</t>
  </si>
  <si>
    <t>Umsatz Produktgruppe 1</t>
  </si>
  <si>
    <t>Sales Product Line 1</t>
  </si>
  <si>
    <t>Umsatz Produktgruppe 2</t>
  </si>
  <si>
    <t>Sales Product Line 2</t>
  </si>
  <si>
    <t>Umsätze aus Nebenrechnung Gruppe 1</t>
  </si>
  <si>
    <t>1.6.1</t>
  </si>
  <si>
    <t>1.6.2</t>
  </si>
  <si>
    <t>1.6.3</t>
  </si>
  <si>
    <t>1.6.4</t>
  </si>
  <si>
    <t>1.6.5</t>
  </si>
  <si>
    <t>2.6.1</t>
  </si>
  <si>
    <t>2.6.2</t>
  </si>
  <si>
    <t>2.6.3</t>
  </si>
  <si>
    <t>2.6.4</t>
  </si>
  <si>
    <t>2.6.5</t>
  </si>
  <si>
    <t>Umsätze aus Nebenrechnung Gruppe 2</t>
  </si>
  <si>
    <t>Summe Nebenrechnung Gruppe1</t>
  </si>
  <si>
    <t>Sales out of Ancillary Account Line 1</t>
  </si>
  <si>
    <t>Sales out of Ancillary Account Line 2</t>
  </si>
  <si>
    <t>Sum Ancillary Account Line1</t>
  </si>
  <si>
    <t>Summe Nebenrechnung Gruppe2</t>
  </si>
  <si>
    <t>Sum Ancillary Account Line2</t>
  </si>
  <si>
    <t>Summe Umsatz Produktgrppe 2</t>
  </si>
  <si>
    <t>Sum Sales Product Line 2</t>
  </si>
  <si>
    <t>Summe Honorareinnahmen</t>
  </si>
  <si>
    <t>Summe Sonstige Einnehmen</t>
  </si>
  <si>
    <t>Sum Other Income</t>
  </si>
  <si>
    <t>Auszahlung in Monat</t>
  </si>
  <si>
    <t>Outpay in month</t>
  </si>
  <si>
    <t>Entertainment expenses</t>
  </si>
  <si>
    <t>4a-2  Anhang: Ausweis der MwSt in EURO aus der Differenz zwischen den Tabellen 4a-2 und 4c-2</t>
  </si>
  <si>
    <t>4a-2 Addendum: Disclosure of VAT (Difference between Tab. 4a-2 and 4c-2)</t>
  </si>
  <si>
    <t>für die Jahre</t>
  </si>
  <si>
    <t>for the years</t>
  </si>
  <si>
    <t>St1</t>
  </si>
  <si>
    <t>st2</t>
  </si>
  <si>
    <t>Umsatz</t>
  </si>
  <si>
    <t>Summe St</t>
  </si>
  <si>
    <t>akkumuliert</t>
  </si>
  <si>
    <t>Kapitaldienst Tilgung (aus Tab. 7b-2)</t>
  </si>
  <si>
    <t>Summe Sonstige Einnahmen</t>
  </si>
  <si>
    <t>Investmonat</t>
  </si>
  <si>
    <t>M1=3:=Kapitalgesellschaften</t>
  </si>
  <si>
    <t>M1=2:=Einzelhandel</t>
  </si>
  <si>
    <t>M1=1:=Kleinunternehmerregelung</t>
  </si>
  <si>
    <t>M1=0:=Einzelunternehmer etc Umsatzsateuer</t>
  </si>
  <si>
    <r>
      <t>Unternehmensname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</si>
  <si>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Unternehmensform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</si>
  <si>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Steuerpflicht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</si>
  <si>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t>Tax liability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 xml:space="preserve">: </t>
    </r>
  </si>
  <si>
    <r>
      <t>Gründungsjahr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</si>
  <si>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Rechtsform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>:</t>
    </r>
  </si>
  <si>
    <r>
      <t>Legal 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 xml:space="preserve">: </t>
    </r>
  </si>
  <si>
    <r>
      <t>Namen GründerIn(nen)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</si>
  <si>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Adresse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</si>
  <si>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Abgabedatum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</si>
  <si>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rPr>
        <vertAlign val="superscript"/>
        <sz val="9"/>
        <rFont val="Verdana"/>
        <family val="2"/>
      </rPr>
      <t>*)</t>
    </r>
    <r>
      <rPr>
        <sz val="9"/>
        <rFont val="Verdana"/>
        <family val="2"/>
      </rPr>
      <t xml:space="preserve"> Pflichtfelder sind Mindestangaben für einen Businessplan</t>
    </r>
  </si>
  <si>
    <r>
      <rPr>
        <vertAlign val="superscript"/>
        <sz val="9"/>
        <rFont val="Verdana"/>
        <family val="2"/>
      </rPr>
      <t xml:space="preserve">*) </t>
    </r>
    <r>
      <rPr>
        <sz val="9"/>
        <rFont val="Verdana"/>
        <family val="2"/>
      </rPr>
      <t>Mandatory fields are minimum specifications for a business plan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</si>
  <si>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Erläuterung zu Rechtsformen siehe z.B. 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</si>
  <si>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Explanation to legal forms see f.e.</t>
    </r>
  </si>
  <si>
    <t>Sonderabschreibungen</t>
  </si>
  <si>
    <r>
      <t>*)</t>
    </r>
    <r>
      <rPr>
        <sz val="12"/>
        <rFont val="Verdana"/>
        <family val="2"/>
      </rPr>
      <t xml:space="preserve"> Bis zu einem Gewinn von 24.500 € (Freibetrag) ist keine Gewerbesteuer (zur Berechnung s. auch Bedienungsanleitung </t>
    </r>
  </si>
  <si>
    <t>"Hebesatz" der jeweiligen Gemeinde.</t>
  </si>
  <si>
    <t>january</t>
  </si>
  <si>
    <t>Founding month:</t>
  </si>
  <si>
    <t>Sprache /Language</t>
  </si>
  <si>
    <t>mit Monatsplanung im 1. Planjahr</t>
  </si>
  <si>
    <t>with monthly scedule for the 1st. year</t>
  </si>
  <si>
    <t>mit Monatsplanung für die ersten beiden Planjahre</t>
  </si>
  <si>
    <t>with monthly scedule for the first two years</t>
  </si>
  <si>
    <t>Jürgen Erlewein</t>
  </si>
  <si>
    <t>Peter Kindermann</t>
  </si>
  <si>
    <t>und</t>
  </si>
  <si>
    <t>and</t>
  </si>
  <si>
    <t>juergen.erlewein@senioren-der-wirtschaft.de</t>
  </si>
  <si>
    <t>peter.kindermann@senioren-der-wirtschaft.de</t>
  </si>
  <si>
    <t>monthly values</t>
  </si>
  <si>
    <t>accumulated</t>
  </si>
  <si>
    <t>Choise</t>
  </si>
  <si>
    <t>Summe Bürokosten</t>
  </si>
  <si>
    <t>Materialaufwand zur Produktion (19%)</t>
  </si>
  <si>
    <t>Materialaufwand zur Produktion (7%)</t>
  </si>
  <si>
    <t>Summe Produktionskosten</t>
  </si>
  <si>
    <t>Summe Reisekosten</t>
  </si>
  <si>
    <t/>
  </si>
  <si>
    <t>Summe Versicherungen und Beiträge (betrieblich!)</t>
  </si>
  <si>
    <t>Summe KFZ Kosten / Betriebliche Nutzung</t>
  </si>
  <si>
    <t>Summe Marketing  u. Werbung</t>
  </si>
  <si>
    <t>im Blatt "Cockpit-Chart" zu sehen. Noch zu erledigende Arbeiten können in jeder Tabelle in die dafür vorgesehenen Kommentarzeilen geschrieben werden.</t>
  </si>
  <si>
    <t>all graphics are shown in the sheet “Cockpit Chart”. Open tasks for each table can be written in the provided field "Tasks or Comments".</t>
  </si>
  <si>
    <t>Ohne eine Darstellung der voraussichtlichen Finanzverhältnisse wird keine Bank dem Existenzgründer oder der Gründerin ein Darlehen geben oder einen</t>
  </si>
  <si>
    <t xml:space="preserve">     </t>
  </si>
  <si>
    <t xml:space="preserve">Kredit einräumen. Auch zur Erstellung der Tragfähigkeitsbescheinigung für die Agentur für Arbeit oder das Jobcenter ist eine Finanzplanung Voraussetzung.  </t>
  </si>
  <si>
    <t>{2016@Erlewein}</t>
  </si>
  <si>
    <t>4b  Anhang: Ausweis der $Q$2 in EURO aus der Differenz zwischen den Tabellen 4b und 4d</t>
  </si>
  <si>
    <t>Monatliches Ergebnis 2016: Gewinn/Verlust vor Steuer</t>
  </si>
  <si>
    <t xml:space="preserve">Monthly Result 2016: Profit/Lost before taxes </t>
  </si>
  <si>
    <t>Income Consulting Services</t>
  </si>
  <si>
    <t>Sum Income Consulting Services</t>
  </si>
  <si>
    <t>Accomodation expenses</t>
  </si>
  <si>
    <t>Rent (or comparable expenses</t>
  </si>
  <si>
    <t xml:space="preserve">Heating, chimny, sweep, emission </t>
  </si>
  <si>
    <t>Phone, mobil, fax, internet, postage</t>
  </si>
  <si>
    <t>Apartement repairs</t>
  </si>
  <si>
    <t xml:space="preserve">Living- and housekeeping expenses </t>
  </si>
  <si>
    <t>Food, eating out</t>
  </si>
  <si>
    <t>Clothing, cosmetics, miscellaneous</t>
  </si>
  <si>
    <t>Fuel, repairs</t>
  </si>
  <si>
    <t>Radio, TV etc.</t>
  </si>
  <si>
    <t>Hobby, books, gifts</t>
  </si>
  <si>
    <t>Holiday, travel, miscellaneous</t>
  </si>
  <si>
    <t>Insurance of contents</t>
  </si>
  <si>
    <t>Livelihood, credit repayment, education</t>
  </si>
  <si>
    <t>Consulting services (taxes, law etc.)</t>
  </si>
  <si>
    <r>
      <t>Gesamtausgaben ohne Einkommensteuer 1</t>
    </r>
    <r>
      <rPr>
        <vertAlign val="superscript"/>
        <sz val="11"/>
        <rFont val="Verdana"/>
        <family val="2"/>
      </rPr>
      <t>)</t>
    </r>
  </si>
  <si>
    <t xml:space="preserve">1c  Personal Drawings (in EUR) of the Founders for the Years </t>
  </si>
  <si>
    <t>Total Drawings of all Founders</t>
  </si>
  <si>
    <t>Room rental</t>
  </si>
  <si>
    <t>Phone, fax, internet, postage</t>
  </si>
  <si>
    <t>Low value assets (office furniture,  facilities, ...)</t>
  </si>
  <si>
    <t>Production need, low value assets</t>
  </si>
  <si>
    <t>Personnel costs  (salery personel only)</t>
  </si>
  <si>
    <t>Wages, saleries with additional costs (s. ancillary account)</t>
  </si>
  <si>
    <t>Vehicle expenses for operational use</t>
  </si>
  <si>
    <t>Insurances / tax on cars</t>
  </si>
  <si>
    <t>Deductible cost per kilometre</t>
  </si>
  <si>
    <t xml:space="preserve">vehicle's cost (fuel and repairs) </t>
  </si>
  <si>
    <t>Office supply, paper, business cards, stamps</t>
  </si>
  <si>
    <t>Homepage, current website maintenance</t>
  </si>
  <si>
    <t>Others, exhibitions, ...</t>
  </si>
  <si>
    <t>Legal and accountancy fees</t>
  </si>
  <si>
    <t>Tax advice, annual accounts, accounts audit</t>
  </si>
  <si>
    <t>Finance costs /  interest *)</t>
  </si>
  <si>
    <t>Business literature</t>
  </si>
  <si>
    <t>Training</t>
  </si>
  <si>
    <t>4a-1 Annex: Disclosure of VAT (Difference between Tab. 4a-1 and 4-1c)</t>
  </si>
  <si>
    <t xml:space="preserve">*) out of Table "7 Finanzierung | Financing" </t>
  </si>
  <si>
    <t>*) wird aus Tabelle "7 Finanzierung|Financing" übernommen (auf ganze Euro gerundet!)</t>
  </si>
  <si>
    <t xml:space="preserve">*) out of Table "7Finanzierung|Finanzing" </t>
  </si>
  <si>
    <t xml:space="preserve">    These data will be transferred automatically to the table "6 Liquidität|Liquidity".</t>
  </si>
  <si>
    <t>Investment 1</t>
  </si>
  <si>
    <t>Investment 2</t>
  </si>
  <si>
    <t>Investment 3</t>
  </si>
  <si>
    <t>Investment 4</t>
  </si>
  <si>
    <t>Investment 5</t>
  </si>
  <si>
    <t>Investment 6</t>
  </si>
  <si>
    <t>Investment 7</t>
  </si>
  <si>
    <t>Sum Investment</t>
  </si>
  <si>
    <t>Special depreciation</t>
  </si>
  <si>
    <t>Investitionen</t>
  </si>
  <si>
    <t>Capital Expenditures</t>
  </si>
  <si>
    <t xml:space="preserve">    Dazu müssen Sie die in Zeile 88 stehenden Werte in die Tabelle 1c händisch übertragen. In die Liquiditätstabelle wird der Wert aus Zeile 101 übernommen.</t>
  </si>
  <si>
    <t>Rentenversicherung, freiw. Versicher. 1)</t>
  </si>
  <si>
    <t>Krankenversicherung u Medikamente 2)</t>
  </si>
  <si>
    <t>3) bei EinzelunternehmerInnen werden üblicherweise die pers. Ausgaben als Entnahme aus dem Unternehmergewinn die Liquiditätsberechnung einbezogen.</t>
  </si>
  <si>
    <t xml:space="preserve">Total expenses w/o income tax </t>
  </si>
  <si>
    <t xml:space="preserve">Gesamtausgaben o. Einkommensteuer </t>
  </si>
  <si>
    <t>Pension insurance, voluntary insurance 1)</t>
  </si>
  <si>
    <t>Health insurance and medication 2)</t>
  </si>
  <si>
    <t>Total sales from tab. 2a (w/o VAT)</t>
  </si>
  <si>
    <t>Profit/Loss before taxes</t>
  </si>
  <si>
    <t xml:space="preserve">Monthly Results 2016 und 2016: Profit/Loss before taxes </t>
  </si>
  <si>
    <t xml:space="preserve">3) The founder of an Individual Enterprise can inscribe his planned personal drawings in table 1c. How much it should be is shown in line 88. </t>
  </si>
  <si>
    <t>Depreciation (from "3 Anschaffungen|Investment")</t>
  </si>
  <si>
    <t>Abschreibungen (aus "3 Anschaffungen|Investment")</t>
  </si>
  <si>
    <t>+  Monatswerte  -</t>
  </si>
  <si>
    <t>+   monthly values  -</t>
  </si>
  <si>
    <t>+  Jahreswerte  -</t>
  </si>
  <si>
    <t>+  annual values  -</t>
  </si>
  <si>
    <t>Other earnings e.g. vouchers, grants</t>
  </si>
  <si>
    <t>Sum liquidity access</t>
  </si>
  <si>
    <t>Expenses / outgoings</t>
  </si>
  <si>
    <t>(+) Sum liquidity access</t>
  </si>
  <si>
    <t>Finding of necessary capital</t>
  </si>
  <si>
    <t>Own performance</t>
  </si>
  <si>
    <t>Participation</t>
  </si>
  <si>
    <t>Current account credit</t>
  </si>
  <si>
    <t>Short term credit</t>
  </si>
  <si>
    <t>Own capital and own performance</t>
  </si>
  <si>
    <t>Repayment outside capital</t>
  </si>
  <si>
    <t>Total load</t>
  </si>
  <si>
    <t>Long term credit e.g.</t>
  </si>
  <si>
    <t>KfW programm</t>
  </si>
  <si>
    <t>KfW  Programm</t>
  </si>
  <si>
    <t>Receipts / pay offs (VAT rate s. tab 2 and tab 4)</t>
  </si>
  <si>
    <t>Opening balance (= own capital, personal contribution from tab 7a)</t>
  </si>
  <si>
    <t>Financing (from tab 7a w/o equity ratio)</t>
  </si>
  <si>
    <t>Interest and amortizement (from tab 7b-1)</t>
  </si>
  <si>
    <t>Business tax (from tab 5c)</t>
  </si>
  <si>
    <t>Interest and amortizement (from tab 7b-2)</t>
  </si>
  <si>
    <t>↑</t>
  </si>
  <si>
    <r>
      <t xml:space="preserve">b) </t>
    </r>
    <r>
      <rPr>
        <i/>
        <u/>
        <sz val="11"/>
        <color theme="1"/>
        <rFont val="Verdana"/>
        <family val="2"/>
      </rPr>
      <t>Mehrere</t>
    </r>
    <r>
      <rPr>
        <sz val="11"/>
        <color theme="1"/>
        <rFont val="Verdana"/>
        <family val="2"/>
      </rPr>
      <t xml:space="preserve"> Anschaffungen mit einem Wert größer als 150 EUR und kleiner als 1.000 EUR können in der sog. Poolabschreibung als Sammelposten zusammengefaßt werden.</t>
    </r>
  </si>
  <si>
    <t xml:space="preserve">    Dabei sind sind Anschaffungsbetrag,  Anschaffungsmonat und die Nutzungsdauer anzugeben. In jede Zeile darf nur e i n e  Investition eingetragen werden.</t>
  </si>
  <si>
    <t xml:space="preserve">    Diese Sammelposten werden in Tabelle 3b eingetragen und werden generell  über 5 Jahre abgeschrieben.</t>
  </si>
  <si>
    <t>a) Geringwertige Wirtschaftsgüter (GwG) mit einem Anschaffungswert kleiner als 410 EURO können sofort abgeschrieben werden; sie sind in Tab. 4 "Betriebskosten" aufzuführen.</t>
  </si>
  <si>
    <t>a) Assets with value below 410 EUR can be depreciated in the year of purchasing. They have to be listed in tab.4 operation ex(penses).</t>
  </si>
  <si>
    <t xml:space="preserve">   These items are listed in tab 3b "investment of compound items". The depreciation period for them is fixed to 5 years. </t>
  </si>
  <si>
    <t>Depreciation per month</t>
  </si>
  <si>
    <t>1) Anschaffungen mit einem Wert größer 400 EUR müssen entsprechend ihrer Nutzungsdauer abgeschriebenwerden. Diese Anschaffungen sind in Tabelle 3a "Geplante Anschaffungen" aufzuführen.</t>
  </si>
  <si>
    <t xml:space="preserve">1) Assets with value more than 410 EUR have to be depreciated according to their usefull life. The planned investements  </t>
  </si>
  <si>
    <t>Seit 1.1.2010 gibt es für die Abschreibung von geringwertigen Wirtschaftsgütern ein Wahlrecht ( zwei Alternativen)</t>
  </si>
  <si>
    <t>Since 2010-1-1:   2 choises exist for depreciation of so-called "low value assets"</t>
  </si>
  <si>
    <t>b) Several assets with value more than 150 EUR and less than 1.000 EUR  can be summerized as compound items.</t>
  </si>
  <si>
    <t>b)</t>
  </si>
  <si>
    <t>1)</t>
  </si>
  <si>
    <t>Erläuterungen zu geringwertige Wirtschaftsgüter/Sammelposten |  Annotation low-value Assets/Compound Item</t>
  </si>
  <si>
    <t>Erläuterung zu Abschreibung | Annotation for Depreciation</t>
  </si>
  <si>
    <t xml:space="preserve">    have to be added to tab 3a "planed capital expenditures" together with their acquisition value, purchase month and depreciation period. Per line only one investment-item is allowed!</t>
  </si>
  <si>
    <t>NEU MIT GRAPHISCHER DARSTELLUNG DER ERGEBNISSE</t>
  </si>
  <si>
    <t>NEW WITH GRAFIC REPRESENTAION OF RESULTS</t>
  </si>
  <si>
    <t>Finanzplanung für GründerInnen leicht gemacht</t>
  </si>
  <si>
    <t>Financial Planning for Founders/Foundresses easy to work with</t>
  </si>
  <si>
    <t>Für Freiberufler, Einzelunternehmen, Einzelhandel, Personen-und Kapitalgesellschaften</t>
  </si>
  <si>
    <t>For Professionals, Individual Enterprises, Partnerships, Retail, Capital Companies</t>
  </si>
  <si>
    <t>In Tabellen-Schritten</t>
  </si>
  <si>
    <t>von der Umsatzprognose</t>
  </si>
  <si>
    <t>zum Liquiditätsplan</t>
  </si>
  <si>
    <t>with sales forecast</t>
  </si>
  <si>
    <t>to cash budget</t>
  </si>
  <si>
    <t>Vielfach bewährt für Tragfähigkeitsbescheinigungen</t>
  </si>
  <si>
    <t>Approved in many cases for "Tragfaehigkeitsbescheinigung"</t>
  </si>
  <si>
    <t>Step by step through spreadsheets</t>
  </si>
  <si>
    <t>and financing</t>
  </si>
  <si>
    <t>bis zur Finanzierung</t>
  </si>
  <si>
    <t>Anschaffungen</t>
  </si>
  <si>
    <t>Investment</t>
  </si>
  <si>
    <t xml:space="preserve">*) Tool zur Gewerbesteuerermittlung | for bussiness tax </t>
  </si>
  <si>
    <t>Steuerarten |Tax types</t>
  </si>
  <si>
    <t>Hebesätze Gemeinden um Stuttgart | municipal tax rates arround Stuttgart</t>
  </si>
  <si>
    <t xml:space="preserve">*) Until a profit of 24.500 EUR (exemption) no industrial tax has to be payed. </t>
  </si>
  <si>
    <t>The industrial tax depends on the tax factor of the municipality where the company is located</t>
  </si>
  <si>
    <t>*) and **) see AOK-salary calulator</t>
  </si>
  <si>
    <t>*) &amp; **)  AOK-Gehaltsrechner | AOK salary-calculation</t>
  </si>
  <si>
    <t xml:space="preserve">     EkSt. auf die Privatentnahmen wird bei Unternehmensformen die keine Kapitalgesellschaft sind aus dem Gesamtgewinn ermittelt und in der Liquiditätsberechnung berücksichtigt.</t>
  </si>
  <si>
    <t>4)  Income tax for emploies will increase the personal expenses</t>
  </si>
  <si>
    <t xml:space="preserve">     Income tax on personal expenses for noncapital companies is calculated out of the profit. The amount is considered in the calculation of cash flow.</t>
  </si>
  <si>
    <t xml:space="preserve">      The sum of all these data will be transferred automatically to the table "6 Liquidität|Liquidity".</t>
  </si>
  <si>
    <t xml:space="preserve">    - If there are several founders they can also inscribe there planned individual personal drawings in table 1c. </t>
  </si>
  <si>
    <t>Abschätzung der Einkommensteuer  4)</t>
  </si>
  <si>
    <t>Estimation of Income Tax  4)</t>
  </si>
  <si>
    <t xml:space="preserve">        Auch bei mehreren GründerInnen werden die Werte aus Zeile 101 in die Tab. "6 Liquidität| Liquidity" übenrnommen.</t>
  </si>
  <si>
    <t>x</t>
  </si>
  <si>
    <t>Asset depreciation
range (years)</t>
  </si>
  <si>
    <t>monatliche    Abschreibung</t>
  </si>
  <si>
    <t>Jahr</t>
  </si>
  <si>
    <t>Ende Abschreibung</t>
  </si>
  <si>
    <t>Summe Abschreibungen</t>
  </si>
  <si>
    <t>Sammelposten</t>
  </si>
  <si>
    <t>Anschaffungen/Investitionen</t>
  </si>
  <si>
    <t>Anschaffungen / Lageraufbau</t>
  </si>
  <si>
    <t>Jahre der
Abschreibung</t>
  </si>
  <si>
    <t>Lageraufbau</t>
  </si>
  <si>
    <t>Depeciation</t>
  </si>
  <si>
    <t>Building up of Inventory</t>
  </si>
  <si>
    <t>Investment/Acquisition</t>
  </si>
  <si>
    <t>capital expenditure</t>
  </si>
  <si>
    <t>ja</t>
  </si>
  <si>
    <t>vorsteuerfrei</t>
  </si>
  <si>
    <t>Verschieben von Zellen
führt zu Bezugsfehlern!
Mit (Str+Z) oder 
(Undo-Symbol) rückgängig machen</t>
  </si>
  <si>
    <t>(Str+Z) or (Undo)</t>
  </si>
  <si>
    <t>Verschieben von Zellen
führt zu Bezugsfehlern!
Mit (Str+Z) oder
(Undo-Symbol) rückgängig machen</t>
  </si>
  <si>
    <t>cell-offset causes 
reference error!
undo by (Str+Z)
or Undo-symbol</t>
  </si>
  <si>
    <t>Ausgabe  3V95_(24Planmonate)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</si>
</sst>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_);_(* \(#,##0\);_(* &quot;-&quot;_);_(@_)"/>
    <numFmt numFmtId="165" formatCode="_(* #,##0.00_);_(* \(#,##0.00\);_(* &quot;-&quot;??_);_(@_)"/>
    <numFmt numFmtId="166" formatCode="dd/mm/yy;@"/>
    <numFmt numFmtId="167" formatCode="#,##0\ _€"/>
    <numFmt numFmtId="168" formatCode="_-* #,##0\ _€_-;\-* #,##0\ _€_-;_-* &quot;-&quot;??\ _€_-;_-@_-"/>
    <numFmt numFmtId="169" formatCode="#,##0_ ;[Red]\-#,##0\ "/>
    <numFmt numFmtId="170" formatCode="#,##0.0"/>
    <numFmt numFmtId="171" formatCode="#,##0.0_ ;\-#,##0.0\ "/>
    <numFmt numFmtId="172" formatCode="#,##0.0_ ;[Red]\-#,##0.0\ "/>
    <numFmt numFmtId="173" formatCode="#,##0_ ;\-#,##0\ "/>
    <numFmt numFmtId="174" formatCode="0_ ;\-0\ "/>
    <numFmt numFmtId="175" formatCode="0.0%"/>
    <numFmt numFmtId="176" formatCode="_(* #,##0_);_(* \(#,##0\);_(* &quot;-&quot;??_);_(@_)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rgb="FF381563"/>
      <name val="Verdana"/>
      <family val="2"/>
    </font>
    <font>
      <sz val="22"/>
      <name val="Verdana"/>
      <family val="2"/>
    </font>
    <font>
      <sz val="10"/>
      <color rgb="FFFF0000"/>
      <name val="Arial"/>
      <family val="2"/>
    </font>
    <font>
      <sz val="11"/>
      <name val="Verdana"/>
      <family val="2"/>
    </font>
    <font>
      <sz val="9"/>
      <color rgb="FF000000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u/>
      <sz val="12"/>
      <color indexed="12"/>
      <name val="Verdana"/>
      <family val="2"/>
    </font>
    <font>
      <sz val="14"/>
      <color rgb="FF000000"/>
      <name val="Arial"/>
      <family val="2"/>
    </font>
    <font>
      <sz val="14"/>
      <name val="Verdana"/>
      <family val="2"/>
    </font>
    <font>
      <u/>
      <sz val="10"/>
      <color indexed="12"/>
      <name val="Verdana"/>
      <family val="2"/>
    </font>
    <font>
      <sz val="16"/>
      <name val="Verdana"/>
      <family val="2"/>
    </font>
    <font>
      <sz val="20"/>
      <name val="Verdana"/>
      <family val="2"/>
    </font>
    <font>
      <sz val="8"/>
      <color theme="0"/>
      <name val="Verdana"/>
      <family val="2"/>
    </font>
    <font>
      <sz val="9"/>
      <name val="Verdana"/>
      <family val="2"/>
    </font>
    <font>
      <sz val="11"/>
      <color theme="0"/>
      <name val="Verdana"/>
      <family val="2"/>
    </font>
    <font>
      <sz val="11"/>
      <color indexed="52"/>
      <name val="Verdana"/>
      <family val="2"/>
    </font>
    <font>
      <sz val="18"/>
      <name val="Verdana"/>
      <family val="2"/>
    </font>
    <font>
      <sz val="9"/>
      <color theme="0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vertAlign val="superscript"/>
      <sz val="11"/>
      <name val="Verdana"/>
      <family val="2"/>
    </font>
    <font>
      <b/>
      <sz val="9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sz val="11"/>
      <color indexed="8"/>
      <name val="Verdana"/>
      <family val="2"/>
    </font>
    <font>
      <u/>
      <sz val="11"/>
      <color indexed="12"/>
      <name val="Verdana"/>
      <family val="2"/>
    </font>
    <font>
      <sz val="8"/>
      <color rgb="FFFF0000"/>
      <name val="Verdana"/>
      <family val="2"/>
    </font>
    <font>
      <sz val="14"/>
      <color theme="0"/>
      <name val="Verdana"/>
      <family val="2"/>
    </font>
    <font>
      <sz val="14"/>
      <color rgb="FFFF0000"/>
      <name val="Verdana"/>
      <family val="2"/>
    </font>
    <font>
      <i/>
      <sz val="11"/>
      <color theme="0"/>
      <name val="Verdana"/>
      <family val="2"/>
    </font>
    <font>
      <sz val="12"/>
      <color theme="0"/>
      <name val="Verdana"/>
      <family val="2"/>
    </font>
    <font>
      <u/>
      <sz val="9"/>
      <color indexed="12"/>
      <name val="Verdana"/>
      <family val="2"/>
    </font>
    <font>
      <sz val="11"/>
      <color indexed="9"/>
      <name val="Verdana"/>
      <family val="2"/>
    </font>
    <font>
      <b/>
      <sz val="11"/>
      <color theme="1"/>
      <name val="Verdana"/>
      <family val="2"/>
    </font>
    <font>
      <sz val="9"/>
      <color rgb="FFFF0000"/>
      <name val="Verdana"/>
      <family val="2"/>
    </font>
    <font>
      <b/>
      <sz val="11"/>
      <color rgb="FFFF0000"/>
      <name val="Verdana"/>
      <family val="2"/>
    </font>
    <font>
      <u/>
      <sz val="10"/>
      <name val="Verdana"/>
      <family val="2"/>
    </font>
    <font>
      <i/>
      <sz val="9"/>
      <name val="Verdana"/>
      <family val="2"/>
    </font>
    <font>
      <i/>
      <sz val="11"/>
      <name val="Verdana"/>
      <family val="2"/>
    </font>
    <font>
      <sz val="18"/>
      <color theme="0"/>
      <name val="Verdana"/>
      <family val="2"/>
    </font>
    <font>
      <i/>
      <u/>
      <sz val="11"/>
      <color indexed="12"/>
      <name val="Verdana"/>
      <family val="2"/>
    </font>
    <font>
      <i/>
      <sz val="11"/>
      <color indexed="57"/>
      <name val="Verdana"/>
      <family val="2"/>
    </font>
    <font>
      <u/>
      <sz val="11"/>
      <color theme="0"/>
      <name val="Verdana"/>
      <family val="2"/>
    </font>
    <font>
      <sz val="11"/>
      <color indexed="17"/>
      <name val="Verdana"/>
      <family val="2"/>
    </font>
    <font>
      <sz val="11"/>
      <color indexed="10"/>
      <name val="Verdana"/>
      <family val="2"/>
    </font>
    <font>
      <sz val="14"/>
      <color indexed="52"/>
      <name val="Verdana"/>
      <family val="2"/>
    </font>
    <font>
      <sz val="10"/>
      <color rgb="FFFF0000"/>
      <name val="Verdana"/>
      <family val="2"/>
    </font>
    <font>
      <vertAlign val="superscript"/>
      <sz val="12"/>
      <name val="Verdana"/>
      <family val="2"/>
    </font>
    <font>
      <u/>
      <sz val="11"/>
      <name val="Verdana"/>
      <family val="2"/>
    </font>
    <font>
      <sz val="12"/>
      <color rgb="FFFF0000"/>
      <name val="Verdana"/>
      <family val="2"/>
    </font>
    <font>
      <i/>
      <sz val="9"/>
      <color rgb="FFFF0000"/>
      <name val="Verdana"/>
      <family val="2"/>
    </font>
    <font>
      <i/>
      <sz val="11"/>
      <color rgb="FFFF0000"/>
      <name val="Verdana"/>
      <family val="2"/>
    </font>
    <font>
      <b/>
      <sz val="8"/>
      <name val="Verdana"/>
      <family val="2"/>
    </font>
    <font>
      <b/>
      <sz val="11"/>
      <color theme="3"/>
      <name val="Verdana"/>
      <family val="2"/>
    </font>
    <font>
      <sz val="20"/>
      <color rgb="FF000000"/>
      <name val="Verdana"/>
      <family val="2"/>
    </font>
    <font>
      <sz val="17"/>
      <name val="Verdana"/>
      <family val="2"/>
    </font>
    <font>
      <sz val="22"/>
      <color rgb="FFFF0000"/>
      <name val="Verdana"/>
      <family val="2"/>
    </font>
    <font>
      <sz val="9"/>
      <color theme="1"/>
      <name val="Verdana"/>
      <family val="2"/>
    </font>
    <font>
      <i/>
      <sz val="9"/>
      <color theme="1"/>
      <name val="Verdana"/>
      <family val="2"/>
    </font>
    <font>
      <u/>
      <sz val="9"/>
      <name val="Verdana"/>
      <family val="2"/>
    </font>
    <font>
      <vertAlign val="superscript"/>
      <sz val="9"/>
      <name val="Verdana"/>
      <family val="2"/>
    </font>
    <font>
      <sz val="10"/>
      <color theme="1"/>
      <name val="Verdana"/>
      <family val="2"/>
    </font>
    <font>
      <i/>
      <sz val="12"/>
      <name val="Lucida Calligraphy"/>
      <family val="4"/>
    </font>
    <font>
      <b/>
      <sz val="10"/>
      <color theme="0"/>
      <name val="Verdana"/>
      <family val="2"/>
    </font>
    <font>
      <sz val="8"/>
      <color theme="1"/>
      <name val="Verdana"/>
      <family val="2"/>
    </font>
    <font>
      <sz val="14"/>
      <color theme="1"/>
      <name val="Verdana"/>
      <family val="2"/>
    </font>
    <font>
      <sz val="11"/>
      <name val="Calibri"/>
      <family val="2"/>
    </font>
    <font>
      <sz val="24"/>
      <name val="Verdana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1"/>
      <color theme="1"/>
      <name val="Verdana"/>
      <family val="2"/>
    </font>
    <font>
      <vertAlign val="superscript"/>
      <sz val="20"/>
      <name val="Verdana"/>
      <family val="2"/>
    </font>
    <font>
      <sz val="10.5"/>
      <color rgb="FF000000"/>
      <name val="Verdana"/>
      <family val="2"/>
    </font>
    <font>
      <sz val="11"/>
      <color rgb="FF000000"/>
      <name val="Verdana"/>
      <family val="2"/>
    </font>
    <font>
      <sz val="11"/>
      <name val="Cambria"/>
      <family val="1"/>
    </font>
    <font>
      <sz val="12"/>
      <color theme="1"/>
      <name val="Verdana"/>
      <family val="2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rgb="FFFFEB9C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theme="0"/>
      </patternFill>
    </fill>
    <fill>
      <patternFill patternType="gray125"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65"/>
        <bgColor indexed="64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0" fillId="5" borderId="0" applyNumberFormat="0" applyBorder="0" applyAlignment="0" applyProtection="0"/>
    <xf numFmtId="9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6" fillId="18" borderId="0" applyNumberFormat="0" applyBorder="0" applyAlignment="0" applyProtection="0"/>
    <xf numFmtId="0" fontId="2" fillId="0" borderId="0"/>
  </cellStyleXfs>
  <cellXfs count="1698">
    <xf numFmtId="0" fontId="0" fillId="0" borderId="0" xfId="0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4" fontId="4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0" fillId="7" borderId="0" xfId="0" applyFill="1"/>
    <xf numFmtId="0" fontId="4" fillId="2" borderId="0" xfId="0" applyFont="1" applyFill="1" applyBorder="1" applyAlignment="1"/>
    <xf numFmtId="0" fontId="2" fillId="7" borderId="0" xfId="0" applyFont="1" applyFill="1"/>
    <xf numFmtId="14" fontId="4" fillId="2" borderId="0" xfId="0" applyNumberFormat="1" applyFont="1" applyFill="1" applyBorder="1" applyAlignment="1"/>
    <xf numFmtId="0" fontId="17" fillId="2" borderId="0" xfId="0" applyFont="1" applyFill="1" applyBorder="1" applyAlignment="1">
      <alignment horizontal="center"/>
    </xf>
    <xf numFmtId="0" fontId="2" fillId="0" borderId="0" xfId="0" applyFont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3" fillId="7" borderId="0" xfId="0" applyFont="1" applyFill="1" applyAlignment="1">
      <alignment horizontal="left" vertical="center" readingOrder="1"/>
    </xf>
    <xf numFmtId="0" fontId="24" fillId="7" borderId="0" xfId="0" applyFont="1" applyFill="1" applyAlignment="1">
      <alignment horizontal="left" vertical="center" readingOrder="1"/>
    </xf>
    <xf numFmtId="0" fontId="25" fillId="7" borderId="0" xfId="0" applyFont="1" applyFill="1"/>
    <xf numFmtId="0" fontId="4" fillId="7" borderId="0" xfId="0" applyFont="1" applyFill="1"/>
    <xf numFmtId="0" fontId="8" fillId="7" borderId="0" xfId="0" applyFont="1" applyFill="1" applyAlignment="1">
      <alignment vertical="center" readingOrder="1"/>
    </xf>
    <xf numFmtId="0" fontId="6" fillId="7" borderId="0" xfId="0" applyFont="1" applyFill="1" applyAlignment="1">
      <alignment vertical="center" readingOrder="1"/>
    </xf>
    <xf numFmtId="0" fontId="18" fillId="7" borderId="0" xfId="0" applyFont="1" applyFill="1"/>
    <xf numFmtId="0" fontId="15" fillId="7" borderId="0" xfId="0" applyFont="1" applyFill="1"/>
    <xf numFmtId="0" fontId="3" fillId="7" borderId="0" xfId="1" applyFill="1" applyAlignment="1" applyProtection="1"/>
    <xf numFmtId="0" fontId="9" fillId="7" borderId="0" xfId="0" applyFont="1" applyFill="1" applyAlignment="1">
      <alignment vertical="center" readingOrder="1"/>
    </xf>
    <xf numFmtId="0" fontId="4" fillId="7" borderId="0" xfId="0" applyFont="1" applyFill="1" applyAlignment="1">
      <alignment vertical="center" readingOrder="1"/>
    </xf>
    <xf numFmtId="0" fontId="3" fillId="7" borderId="0" xfId="1" applyFill="1" applyAlignment="1" applyProtection="1">
      <alignment horizontal="left" vertical="center" readingOrder="1"/>
    </xf>
    <xf numFmtId="0" fontId="26" fillId="7" borderId="0" xfId="1" applyFont="1" applyFill="1" applyAlignment="1" applyProtection="1">
      <alignment vertical="center" readingOrder="1"/>
    </xf>
    <xf numFmtId="0" fontId="5" fillId="7" borderId="0" xfId="0" applyFont="1" applyFill="1" applyAlignment="1">
      <alignment vertical="center" readingOrder="1"/>
    </xf>
    <xf numFmtId="0" fontId="27" fillId="0" borderId="0" xfId="0" applyFont="1" applyAlignment="1">
      <alignment vertical="center"/>
    </xf>
    <xf numFmtId="0" fontId="27" fillId="7" borderId="0" xfId="0" applyFont="1" applyFill="1" applyAlignment="1">
      <alignment vertical="center"/>
    </xf>
    <xf numFmtId="0" fontId="32" fillId="7" borderId="0" xfId="0" applyFont="1" applyFill="1" applyBorder="1" applyAlignment="1" applyProtection="1">
      <alignment horizontal="center" vertical="top"/>
    </xf>
    <xf numFmtId="0" fontId="33" fillId="7" borderId="0" xfId="0" applyFont="1" applyFill="1" applyAlignment="1" applyProtection="1">
      <alignment vertical="top"/>
    </xf>
    <xf numFmtId="0" fontId="34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horizontal="right" vertical="top" indent="1"/>
    </xf>
    <xf numFmtId="0" fontId="22" fillId="0" borderId="0" xfId="0" applyFont="1" applyFill="1" applyAlignment="1" applyProtection="1">
      <alignment vertical="top"/>
    </xf>
    <xf numFmtId="0" fontId="22" fillId="0" borderId="0" xfId="0" applyFont="1" applyFill="1" applyBorder="1" applyAlignment="1" applyProtection="1">
      <alignment vertical="center"/>
    </xf>
    <xf numFmtId="0" fontId="31" fillId="7" borderId="0" xfId="0" applyFont="1" applyFill="1" applyAlignment="1" applyProtection="1">
      <alignment horizontal="left" vertical="top"/>
    </xf>
    <xf numFmtId="0" fontId="35" fillId="7" borderId="0" xfId="0" applyFont="1" applyFill="1" applyAlignment="1" applyProtection="1">
      <alignment vertical="top"/>
    </xf>
    <xf numFmtId="0" fontId="36" fillId="7" borderId="0" xfId="0" applyFont="1" applyFill="1" applyAlignment="1" applyProtection="1">
      <alignment horizontal="left" vertical="top"/>
    </xf>
    <xf numFmtId="3" fontId="35" fillId="7" borderId="0" xfId="0" applyNumberFormat="1" applyFont="1" applyFill="1" applyAlignment="1" applyProtection="1">
      <alignment horizontal="right" vertical="top" indent="1"/>
    </xf>
    <xf numFmtId="0" fontId="34" fillId="0" borderId="0" xfId="0" applyFont="1" applyFill="1" applyBorder="1" applyAlignment="1" applyProtection="1">
      <alignment horizontal="center" vertical="top"/>
    </xf>
    <xf numFmtId="0" fontId="33" fillId="7" borderId="0" xfId="0" applyFont="1" applyFill="1" applyAlignment="1" applyProtection="1">
      <alignment horizontal="left" vertical="center"/>
    </xf>
    <xf numFmtId="0" fontId="34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horizontal="center" vertical="top"/>
      <protection locked="0"/>
    </xf>
    <xf numFmtId="3" fontId="34" fillId="7" borderId="0" xfId="0" applyNumberFormat="1" applyFont="1" applyFill="1" applyAlignment="1" applyProtection="1">
      <alignment horizontal="right" vertical="top" indent="1"/>
    </xf>
    <xf numFmtId="0" fontId="32" fillId="7" borderId="0" xfId="0" applyFont="1" applyFill="1" applyBorder="1" applyAlignment="1" applyProtection="1">
      <alignment horizontal="center" vertical="center"/>
    </xf>
    <xf numFmtId="0" fontId="38" fillId="9" borderId="71" xfId="0" applyNumberFormat="1" applyFont="1" applyFill="1" applyBorder="1" applyAlignment="1" applyProtection="1">
      <alignment horizontal="center" vertical="center"/>
    </xf>
    <xf numFmtId="0" fontId="38" fillId="9" borderId="66" xfId="0" applyFont="1" applyFill="1" applyBorder="1" applyAlignment="1" applyProtection="1">
      <alignment horizontal="left" vertical="center"/>
    </xf>
    <xf numFmtId="0" fontId="38" fillId="9" borderId="64" xfId="0" applyFont="1" applyFill="1" applyBorder="1" applyAlignment="1" applyProtection="1">
      <alignment horizontal="center" vertical="center"/>
    </xf>
    <xf numFmtId="0" fontId="38" fillId="9" borderId="63" xfId="0" applyFont="1" applyFill="1" applyBorder="1" applyAlignment="1" applyProtection="1">
      <alignment horizontal="center" vertical="center"/>
    </xf>
    <xf numFmtId="0" fontId="35" fillId="7" borderId="0" xfId="0" applyFont="1" applyFill="1" applyAlignment="1" applyProtection="1">
      <alignment vertical="center"/>
    </xf>
    <xf numFmtId="0" fontId="38" fillId="9" borderId="53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vertical="center"/>
    </xf>
    <xf numFmtId="0" fontId="38" fillId="9" borderId="71" xfId="0" applyFont="1" applyFill="1" applyBorder="1" applyAlignment="1" applyProtection="1">
      <alignment horizontal="center" vertical="center"/>
    </xf>
    <xf numFmtId="3" fontId="38" fillId="9" borderId="64" xfId="0" applyNumberFormat="1" applyFont="1" applyFill="1" applyBorder="1" applyAlignment="1" applyProtection="1">
      <alignment horizontal="right" vertical="center" indent="1"/>
    </xf>
    <xf numFmtId="0" fontId="22" fillId="0" borderId="0" xfId="0" applyFont="1" applyFill="1" applyAlignment="1" applyProtection="1">
      <alignment vertical="center"/>
    </xf>
    <xf numFmtId="0" fontId="22" fillId="0" borderId="0" xfId="0" applyFont="1" applyFill="1" applyBorder="1" applyAlignment="1" applyProtection="1">
      <alignment horizontal="left" vertical="center"/>
    </xf>
    <xf numFmtId="1" fontId="22" fillId="7" borderId="41" xfId="0" applyNumberFormat="1" applyFont="1" applyFill="1" applyBorder="1" applyAlignment="1" applyProtection="1">
      <alignment horizontal="center" vertical="top"/>
    </xf>
    <xf numFmtId="0" fontId="38" fillId="0" borderId="30" xfId="0" applyNumberFormat="1" applyFont="1" applyFill="1" applyBorder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 indent="1"/>
    </xf>
    <xf numFmtId="170" fontId="22" fillId="0" borderId="2" xfId="0" applyNumberFormat="1" applyFont="1" applyFill="1" applyBorder="1" applyAlignment="1" applyProtection="1">
      <alignment horizontal="right" vertical="top" indent="1"/>
    </xf>
    <xf numFmtId="1" fontId="22" fillId="7" borderId="0" xfId="0" applyNumberFormat="1" applyFont="1" applyFill="1" applyAlignment="1" applyProtection="1">
      <alignment horizontal="right" vertical="center"/>
    </xf>
    <xf numFmtId="0" fontId="22" fillId="7" borderId="132" xfId="0" applyFont="1" applyFill="1" applyBorder="1" applyAlignment="1" applyProtection="1">
      <alignment vertical="top"/>
      <protection locked="0"/>
    </xf>
    <xf numFmtId="0" fontId="22" fillId="7" borderId="0" xfId="0" applyFont="1" applyFill="1" applyBorder="1" applyAlignment="1" applyProtection="1">
      <alignment vertical="top"/>
    </xf>
    <xf numFmtId="0" fontId="22" fillId="0" borderId="97" xfId="9" applyFont="1" applyFill="1" applyBorder="1" applyAlignment="1" applyProtection="1">
      <alignment vertical="top"/>
    </xf>
    <xf numFmtId="3" fontId="39" fillId="17" borderId="98" xfId="8" applyNumberFormat="1" applyFont="1" applyBorder="1" applyAlignment="1" applyProtection="1">
      <alignment horizontal="right" indent="1"/>
      <protection locked="0"/>
    </xf>
    <xf numFmtId="0" fontId="39" fillId="0" borderId="0" xfId="0" applyFont="1" applyBorder="1"/>
    <xf numFmtId="9" fontId="33" fillId="7" borderId="41" xfId="3" applyFont="1" applyFill="1" applyBorder="1" applyAlignment="1" applyProtection="1">
      <alignment horizontal="center" vertical="top"/>
    </xf>
    <xf numFmtId="0" fontId="22" fillId="0" borderId="30" xfId="0" applyNumberFormat="1" applyFont="1" applyFill="1" applyBorder="1" applyAlignment="1" applyProtection="1">
      <alignment vertical="top"/>
    </xf>
    <xf numFmtId="170" fontId="22" fillId="10" borderId="1" xfId="0" applyNumberFormat="1" applyFont="1" applyFill="1" applyBorder="1" applyAlignment="1" applyProtection="1">
      <alignment horizontal="right"/>
      <protection locked="0"/>
    </xf>
    <xf numFmtId="170" fontId="22" fillId="0" borderId="2" xfId="0" applyNumberFormat="1" applyFont="1" applyFill="1" applyBorder="1" applyAlignment="1" applyProtection="1">
      <alignment horizontal="right" vertical="top"/>
    </xf>
    <xf numFmtId="0" fontId="22" fillId="0" borderId="106" xfId="9" applyFont="1" applyFill="1" applyBorder="1" applyAlignment="1" applyProtection="1">
      <alignment vertical="top"/>
    </xf>
    <xf numFmtId="3" fontId="39" fillId="17" borderId="11" xfId="8" applyNumberFormat="1" applyFont="1" applyBorder="1" applyAlignment="1" applyProtection="1">
      <alignment horizontal="right" indent="1"/>
      <protection locked="0"/>
    </xf>
    <xf numFmtId="0" fontId="22" fillId="0" borderId="44" xfId="9" applyFont="1" applyFill="1" applyBorder="1" applyAlignment="1" applyProtection="1">
      <alignment vertical="top"/>
    </xf>
    <xf numFmtId="175" fontId="39" fillId="17" borderId="46" xfId="8" applyNumberFormat="1" applyFont="1" applyBorder="1" applyAlignment="1" applyProtection="1">
      <alignment horizontal="right" indent="1"/>
      <protection locked="0"/>
    </xf>
    <xf numFmtId="1" fontId="33" fillId="7" borderId="140" xfId="0" applyNumberFormat="1" applyFont="1" applyFill="1" applyBorder="1" applyAlignment="1" applyProtection="1">
      <alignment horizontal="center" vertical="top"/>
    </xf>
    <xf numFmtId="0" fontId="22" fillId="0" borderId="141" xfId="0" applyNumberFormat="1" applyFont="1" applyFill="1" applyBorder="1" applyAlignment="1" applyProtection="1">
      <alignment vertical="top"/>
    </xf>
    <xf numFmtId="0" fontId="22" fillId="7" borderId="133" xfId="0" applyFont="1" applyFill="1" applyBorder="1" applyAlignment="1" applyProtection="1">
      <alignment vertical="top"/>
      <protection locked="0"/>
    </xf>
    <xf numFmtId="0" fontId="22" fillId="0" borderId="47" xfId="0" applyFont="1" applyFill="1" applyBorder="1" applyAlignment="1" applyProtection="1">
      <alignment vertical="top"/>
    </xf>
    <xf numFmtId="3" fontId="22" fillId="0" borderId="49" xfId="0" applyNumberFormat="1" applyFont="1" applyFill="1" applyBorder="1" applyAlignment="1" applyProtection="1">
      <alignment horizontal="right" vertical="top" indent="1"/>
    </xf>
    <xf numFmtId="3" fontId="22" fillId="0" borderId="48" xfId="0" applyNumberFormat="1" applyFont="1" applyFill="1" applyBorder="1" applyAlignment="1" applyProtection="1">
      <alignment horizontal="right" vertical="top" indent="1"/>
    </xf>
    <xf numFmtId="0" fontId="38" fillId="0" borderId="88" xfId="0" applyNumberFormat="1" applyFont="1" applyFill="1" applyBorder="1" applyAlignment="1" applyProtection="1">
      <alignment vertical="top"/>
    </xf>
    <xf numFmtId="170" fontId="22" fillId="0" borderId="40" xfId="0" applyNumberFormat="1" applyFont="1" applyFill="1" applyBorder="1" applyAlignment="1" applyProtection="1">
      <alignment horizontal="right" vertical="top"/>
    </xf>
    <xf numFmtId="170" fontId="22" fillId="0" borderId="122" xfId="0" applyNumberFormat="1" applyFont="1" applyFill="1" applyBorder="1" applyAlignment="1" applyProtection="1">
      <alignment horizontal="right" vertical="top"/>
    </xf>
    <xf numFmtId="0" fontId="22" fillId="7" borderId="0" xfId="0" applyFont="1" applyFill="1" applyBorder="1" applyAlignment="1" applyProtection="1">
      <alignment vertical="top"/>
      <protection locked="0"/>
    </xf>
    <xf numFmtId="0" fontId="38" fillId="0" borderId="0" xfId="0" applyFont="1" applyFill="1" applyBorder="1" applyAlignment="1" applyProtection="1">
      <alignment horizontal="center" vertical="center"/>
    </xf>
    <xf numFmtId="1" fontId="33" fillId="7" borderId="138" xfId="0" applyNumberFormat="1" applyFont="1" applyFill="1" applyBorder="1" applyAlignment="1" applyProtection="1">
      <alignment horizontal="center" vertical="top"/>
    </xf>
    <xf numFmtId="0" fontId="22" fillId="0" borderId="130" xfId="0" applyNumberFormat="1" applyFont="1" applyFill="1" applyBorder="1" applyAlignment="1" applyProtection="1">
      <alignment vertical="top"/>
    </xf>
    <xf numFmtId="0" fontId="22" fillId="7" borderId="134" xfId="0" applyFont="1" applyFill="1" applyBorder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vertical="center"/>
    </xf>
    <xf numFmtId="0" fontId="34" fillId="7" borderId="0" xfId="0" applyFont="1" applyFill="1" applyAlignment="1" applyProtection="1">
      <alignment vertical="center"/>
    </xf>
    <xf numFmtId="0" fontId="22" fillId="0" borderId="129" xfId="0" applyNumberFormat="1" applyFont="1" applyFill="1" applyBorder="1" applyAlignment="1" applyProtection="1">
      <alignment vertical="top"/>
    </xf>
    <xf numFmtId="170" fontId="22" fillId="0" borderId="86" xfId="0" applyNumberFormat="1" applyFont="1" applyFill="1" applyBorder="1" applyAlignment="1" applyProtection="1">
      <alignment horizontal="right" vertical="top"/>
    </xf>
    <xf numFmtId="1" fontId="33" fillId="7" borderId="55" xfId="0" applyNumberFormat="1" applyFont="1" applyFill="1" applyBorder="1" applyAlignment="1" applyProtection="1">
      <alignment vertical="center"/>
    </xf>
    <xf numFmtId="49" fontId="38" fillId="0" borderId="31" xfId="0" applyNumberFormat="1" applyFont="1" applyFill="1" applyBorder="1" applyAlignment="1" applyProtection="1">
      <alignment vertical="center"/>
    </xf>
    <xf numFmtId="170" fontId="22" fillId="0" borderId="3" xfId="0" applyNumberFormat="1" applyFont="1" applyFill="1" applyBorder="1" applyAlignment="1" applyProtection="1">
      <alignment horizontal="right" vertical="center"/>
    </xf>
    <xf numFmtId="38" fontId="22" fillId="7" borderId="0" xfId="0" applyNumberFormat="1" applyFont="1" applyFill="1" applyBorder="1" applyAlignment="1" applyProtection="1">
      <alignment horizontal="right" vertical="center"/>
    </xf>
    <xf numFmtId="49" fontId="38" fillId="0" borderId="73" xfId="0" applyNumberFormat="1" applyFont="1" applyFill="1" applyBorder="1" applyAlignment="1" applyProtection="1">
      <alignment vertical="top"/>
    </xf>
    <xf numFmtId="170" fontId="22" fillId="0" borderId="15" xfId="0" applyNumberFormat="1" applyFont="1" applyFill="1" applyBorder="1" applyAlignment="1" applyProtection="1">
      <alignment horizontal="right" vertical="top"/>
    </xf>
    <xf numFmtId="170" fontId="22" fillId="0" borderId="14" xfId="0" applyNumberFormat="1" applyFont="1" applyFill="1" applyBorder="1" applyAlignment="1" applyProtection="1">
      <alignment horizontal="right" vertical="top"/>
    </xf>
    <xf numFmtId="49" fontId="33" fillId="7" borderId="47" xfId="0" applyNumberFormat="1" applyFont="1" applyFill="1" applyBorder="1" applyAlignment="1" applyProtection="1">
      <alignment vertical="center"/>
    </xf>
    <xf numFmtId="0" fontId="38" fillId="0" borderId="74" xfId="0" applyNumberFormat="1" applyFont="1" applyFill="1" applyBorder="1" applyAlignment="1" applyProtection="1">
      <alignment vertical="center"/>
    </xf>
    <xf numFmtId="170" fontId="22" fillId="0" borderId="49" xfId="0" applyNumberFormat="1" applyFont="1" applyFill="1" applyBorder="1" applyAlignment="1" applyProtection="1">
      <alignment horizontal="right" vertical="center"/>
    </xf>
    <xf numFmtId="170" fontId="22" fillId="0" borderId="48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top"/>
      <protection locked="0"/>
    </xf>
    <xf numFmtId="0" fontId="33" fillId="7" borderId="0" xfId="0" applyFont="1" applyFill="1" applyAlignment="1" applyProtection="1">
      <alignment vertical="center"/>
    </xf>
    <xf numFmtId="0" fontId="28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horizontal="right" vertical="center"/>
      <protection locked="0"/>
    </xf>
    <xf numFmtId="3" fontId="22" fillId="7" borderId="0" xfId="0" applyNumberFormat="1" applyFont="1" applyFill="1" applyAlignment="1" applyProtection="1">
      <alignment horizontal="right" vertical="center" indent="1"/>
    </xf>
    <xf numFmtId="0" fontId="22" fillId="0" borderId="97" xfId="0" applyNumberFormat="1" applyFont="1" applyFill="1" applyBorder="1" applyAlignment="1" applyProtection="1">
      <alignment horizontal="left" vertical="center" indent="1"/>
    </xf>
    <xf numFmtId="172" fontId="22" fillId="0" borderId="98" xfId="0" applyNumberFormat="1" applyFont="1" applyFill="1" applyBorder="1" applyAlignment="1" applyProtection="1">
      <alignment vertical="center"/>
    </xf>
    <xf numFmtId="172" fontId="22" fillId="0" borderId="99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center"/>
      <protection locked="0"/>
    </xf>
    <xf numFmtId="0" fontId="22" fillId="0" borderId="44" xfId="0" applyNumberFormat="1" applyFont="1" applyFill="1" applyBorder="1" applyAlignment="1" applyProtection="1">
      <alignment horizontal="left" vertical="center" indent="1"/>
    </xf>
    <xf numFmtId="172" fontId="22" fillId="0" borderId="46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horizontal="right" vertical="center"/>
    </xf>
    <xf numFmtId="0" fontId="22" fillId="0" borderId="47" xfId="0" applyNumberFormat="1" applyFont="1" applyFill="1" applyBorder="1" applyAlignment="1" applyProtection="1">
      <alignment horizontal="left" vertical="center" indent="1"/>
    </xf>
    <xf numFmtId="172" fontId="22" fillId="0" borderId="49" xfId="0" applyNumberFormat="1" applyFont="1" applyFill="1" applyBorder="1" applyAlignment="1" applyProtection="1">
      <alignment vertical="center"/>
    </xf>
    <xf numFmtId="172" fontId="22" fillId="0" borderId="48" xfId="0" applyNumberFormat="1" applyFont="1" applyFill="1" applyBorder="1" applyAlignment="1" applyProtection="1">
      <alignment horizontal="right" vertical="center"/>
    </xf>
    <xf numFmtId="0" fontId="38" fillId="7" borderId="0" xfId="0" applyFont="1" applyFill="1" applyAlignment="1" applyProtection="1">
      <alignment vertical="center"/>
    </xf>
    <xf numFmtId="0" fontId="34" fillId="0" borderId="0" xfId="0" applyFont="1" applyFill="1" applyAlignment="1" applyProtection="1">
      <alignment vertical="top"/>
    </xf>
    <xf numFmtId="0" fontId="22" fillId="7" borderId="38" xfId="0" applyFont="1" applyFill="1" applyBorder="1" applyAlignment="1" applyProtection="1">
      <alignment vertical="center"/>
    </xf>
    <xf numFmtId="3" fontId="22" fillId="0" borderId="1" xfId="0" applyNumberFormat="1" applyFont="1" applyFill="1" applyBorder="1" applyAlignment="1" applyProtection="1">
      <alignment horizontal="right" indent="1"/>
    </xf>
    <xf numFmtId="0" fontId="34" fillId="7" borderId="0" xfId="0" applyFont="1" applyFill="1" applyBorder="1" applyAlignment="1" applyProtection="1">
      <alignment vertical="top"/>
    </xf>
    <xf numFmtId="0" fontId="22" fillId="7" borderId="0" xfId="0" applyFont="1" applyFill="1" applyBorder="1" applyAlignment="1" applyProtection="1">
      <alignment vertical="center"/>
    </xf>
    <xf numFmtId="0" fontId="22" fillId="0" borderId="137" xfId="0" applyNumberFormat="1" applyFont="1" applyFill="1" applyBorder="1" applyAlignment="1" applyProtection="1">
      <alignment vertical="top"/>
    </xf>
    <xf numFmtId="1" fontId="33" fillId="7" borderId="143" xfId="0" applyNumberFormat="1" applyFont="1" applyFill="1" applyBorder="1" applyAlignment="1" applyProtection="1">
      <alignment horizontal="center" vertical="top"/>
    </xf>
    <xf numFmtId="170" fontId="22" fillId="0" borderId="141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right"/>
    </xf>
    <xf numFmtId="0" fontId="22" fillId="7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horizontal="right" vertical="top"/>
    </xf>
    <xf numFmtId="38" fontId="22" fillId="7" borderId="0" xfId="0" applyNumberFormat="1" applyFont="1" applyFill="1" applyAlignment="1" applyProtection="1">
      <alignment vertical="top"/>
    </xf>
    <xf numFmtId="1" fontId="38" fillId="7" borderId="41" xfId="0" applyNumberFormat="1" applyFont="1" applyFill="1" applyBorder="1" applyAlignment="1" applyProtection="1">
      <alignment horizontal="center" vertical="top"/>
    </xf>
    <xf numFmtId="1" fontId="38" fillId="7" borderId="96" xfId="0" applyNumberFormat="1" applyFont="1" applyFill="1" applyBorder="1" applyAlignment="1" applyProtection="1">
      <alignment horizontal="center" vertical="top"/>
    </xf>
    <xf numFmtId="0" fontId="38" fillId="0" borderId="40" xfId="0" applyNumberFormat="1" applyFont="1" applyFill="1" applyBorder="1" applyAlignment="1" applyProtection="1">
      <alignment vertical="top"/>
    </xf>
    <xf numFmtId="0" fontId="34" fillId="0" borderId="0" xfId="0" applyFont="1" applyFill="1" applyBorder="1" applyAlignment="1" applyProtection="1">
      <alignment vertical="top"/>
    </xf>
    <xf numFmtId="0" fontId="34" fillId="7" borderId="0" xfId="0" applyFont="1" applyFill="1" applyBorder="1" applyAlignment="1" applyProtection="1">
      <alignment vertical="center"/>
    </xf>
    <xf numFmtId="0" fontId="34" fillId="7" borderId="0" xfId="0" applyFont="1" applyFill="1" applyBorder="1" applyAlignment="1" applyProtection="1">
      <alignment horizontal="center" vertical="top"/>
    </xf>
    <xf numFmtId="0" fontId="34" fillId="0" borderId="0" xfId="0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horizontal="center" vertical="top"/>
    </xf>
    <xf numFmtId="170" fontId="22" fillId="7" borderId="0" xfId="0" applyNumberFormat="1" applyFont="1" applyFill="1" applyAlignment="1" applyProtection="1">
      <alignment horizontal="right" vertical="top" indent="1"/>
    </xf>
    <xf numFmtId="170" fontId="35" fillId="7" borderId="0" xfId="0" applyNumberFormat="1" applyFont="1" applyFill="1" applyAlignment="1" applyProtection="1">
      <alignment horizontal="right" vertical="top" indent="1"/>
    </xf>
    <xf numFmtId="170" fontId="34" fillId="7" borderId="0" xfId="0" applyNumberFormat="1" applyFont="1" applyFill="1" applyAlignment="1" applyProtection="1">
      <alignment horizontal="right" vertical="top" indent="1"/>
    </xf>
    <xf numFmtId="0" fontId="43" fillId="7" borderId="0" xfId="0" applyFont="1" applyFill="1" applyAlignment="1" applyProtection="1">
      <alignment horizontal="center" vertical="top"/>
    </xf>
    <xf numFmtId="0" fontId="43" fillId="7" borderId="0" xfId="0" applyFont="1" applyFill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/>
    </xf>
    <xf numFmtId="170" fontId="22" fillId="7" borderId="0" xfId="0" applyNumberFormat="1" applyFont="1" applyFill="1" applyBorder="1" applyAlignment="1" applyProtection="1">
      <alignment horizontal="right" vertical="center" indent="1"/>
    </xf>
    <xf numFmtId="0" fontId="22" fillId="7" borderId="0" xfId="0" applyFont="1" applyFill="1" applyAlignment="1" applyProtection="1">
      <alignment horizontal="left" vertical="center"/>
    </xf>
    <xf numFmtId="3" fontId="38" fillId="9" borderId="63" xfId="0" applyNumberFormat="1" applyFont="1" applyFill="1" applyBorder="1" applyAlignment="1" applyProtection="1">
      <alignment horizontal="right" vertical="center" indent="1"/>
    </xf>
    <xf numFmtId="170" fontId="34" fillId="7" borderId="0" xfId="0" applyNumberFormat="1" applyFont="1" applyFill="1" applyAlignment="1" applyProtection="1">
      <alignment horizontal="left" vertical="top"/>
    </xf>
    <xf numFmtId="170" fontId="34" fillId="7" borderId="0" xfId="0" applyNumberFormat="1" applyFont="1" applyFill="1" applyAlignment="1" applyProtection="1">
      <alignment horizontal="center" vertical="top"/>
    </xf>
    <xf numFmtId="1" fontId="38" fillId="9" borderId="64" xfId="0" applyNumberFormat="1" applyFont="1" applyFill="1" applyBorder="1" applyAlignment="1" applyProtection="1">
      <alignment horizontal="center" vertical="center"/>
    </xf>
    <xf numFmtId="1" fontId="38" fillId="9" borderId="63" xfId="0" applyNumberFormat="1" applyFont="1" applyFill="1" applyBorder="1" applyAlignment="1" applyProtection="1">
      <alignment horizontal="center" vertical="center"/>
    </xf>
    <xf numFmtId="170" fontId="22" fillId="7" borderId="38" xfId="0" applyNumberFormat="1" applyFont="1" applyFill="1" applyBorder="1" applyAlignment="1" applyProtection="1">
      <alignment horizontal="right" vertical="center" indent="1"/>
    </xf>
    <xf numFmtId="170" fontId="22" fillId="7" borderId="0" xfId="0" applyNumberFormat="1" applyFont="1" applyFill="1" applyAlignment="1" applyProtection="1">
      <alignment horizontal="right" vertical="center" indent="1"/>
    </xf>
    <xf numFmtId="170" fontId="22" fillId="7" borderId="38" xfId="0" applyNumberFormat="1" applyFont="1" applyFill="1" applyBorder="1" applyAlignment="1" applyProtection="1">
      <alignment horizontal="right" vertical="top" indent="1"/>
    </xf>
    <xf numFmtId="0" fontId="34" fillId="7" borderId="0" xfId="0" applyFont="1" applyFill="1" applyAlignment="1" applyProtection="1">
      <alignment horizontal="center" vertical="center"/>
    </xf>
    <xf numFmtId="49" fontId="22" fillId="7" borderId="47" xfId="0" applyNumberFormat="1" applyFont="1" applyFill="1" applyBorder="1" applyAlignment="1" applyProtection="1">
      <alignment horizontal="center" vertical="center"/>
    </xf>
    <xf numFmtId="49" fontId="22" fillId="7" borderId="0" xfId="0" applyNumberFormat="1" applyFont="1" applyFill="1" applyBorder="1" applyAlignment="1" applyProtection="1">
      <alignment vertical="center"/>
    </xf>
    <xf numFmtId="0" fontId="38" fillId="9" borderId="66" xfId="0" applyFont="1" applyFill="1" applyBorder="1" applyAlignment="1" applyProtection="1">
      <alignment horizontal="center" vertical="center"/>
    </xf>
    <xf numFmtId="1" fontId="34" fillId="7" borderId="30" xfId="0" applyNumberFormat="1" applyFont="1" applyFill="1" applyBorder="1" applyAlignment="1" applyProtection="1">
      <alignment horizontal="center" vertical="top"/>
    </xf>
    <xf numFmtId="9" fontId="34" fillId="7" borderId="30" xfId="3" applyFont="1" applyFill="1" applyBorder="1" applyAlignment="1" applyProtection="1">
      <alignment horizontal="center" vertical="top"/>
    </xf>
    <xf numFmtId="1" fontId="34" fillId="7" borderId="30" xfId="0" applyNumberFormat="1" applyFont="1" applyFill="1" applyBorder="1" applyAlignment="1" applyProtection="1">
      <alignment vertical="center"/>
    </xf>
    <xf numFmtId="0" fontId="34" fillId="7" borderId="30" xfId="0" applyNumberFormat="1" applyFont="1" applyFill="1" applyBorder="1" applyAlignment="1" applyProtection="1">
      <alignment horizontal="center" vertical="top"/>
    </xf>
    <xf numFmtId="1" fontId="22" fillId="0" borderId="41" xfId="0" applyNumberFormat="1" applyFont="1" applyFill="1" applyBorder="1" applyAlignment="1" applyProtection="1">
      <alignment horizontal="center" vertical="top"/>
    </xf>
    <xf numFmtId="170" fontId="22" fillId="7" borderId="0" xfId="0" applyNumberFormat="1" applyFont="1" applyFill="1" applyAlignment="1" applyProtection="1">
      <alignment vertical="top"/>
    </xf>
    <xf numFmtId="170" fontId="22" fillId="0" borderId="0" xfId="0" applyNumberFormat="1" applyFont="1" applyFill="1" applyAlignment="1" applyProtection="1">
      <alignment horizontal="right" vertical="top" indent="1"/>
    </xf>
    <xf numFmtId="0" fontId="25" fillId="7" borderId="0" xfId="0" applyFont="1" applyFill="1" applyProtection="1"/>
    <xf numFmtId="0" fontId="22" fillId="7" borderId="0" xfId="0" applyFont="1" applyFill="1" applyProtection="1"/>
    <xf numFmtId="0" fontId="34" fillId="7" borderId="0" xfId="0" applyFont="1" applyFill="1" applyProtection="1"/>
    <xf numFmtId="0" fontId="22" fillId="7" borderId="0" xfId="0" applyFont="1" applyFill="1" applyAlignment="1" applyProtection="1">
      <alignment horizont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36" fillId="7" borderId="0" xfId="0" applyFont="1" applyFill="1" applyAlignment="1" applyProtection="1">
      <alignment horizontal="left" vertical="center"/>
    </xf>
    <xf numFmtId="0" fontId="34" fillId="7" borderId="0" xfId="0" applyFont="1" applyFill="1" applyProtection="1">
      <protection locked="0"/>
    </xf>
    <xf numFmtId="0" fontId="35" fillId="7" borderId="0" xfId="0" applyFont="1" applyFill="1" applyProtection="1"/>
    <xf numFmtId="0" fontId="38" fillId="9" borderId="64" xfId="0" applyFont="1" applyFill="1" applyBorder="1" applyAlignment="1" applyProtection="1">
      <alignment horizontal="center"/>
    </xf>
    <xf numFmtId="0" fontId="38" fillId="9" borderId="63" xfId="0" applyFont="1" applyFill="1" applyBorder="1" applyAlignment="1" applyProtection="1">
      <alignment horizontal="center"/>
    </xf>
    <xf numFmtId="0" fontId="22" fillId="7" borderId="0" xfId="0" applyFont="1" applyFill="1" applyBorder="1" applyProtection="1"/>
    <xf numFmtId="38" fontId="22" fillId="0" borderId="1" xfId="0" applyNumberFormat="1" applyFont="1" applyFill="1" applyBorder="1" applyProtection="1"/>
    <xf numFmtId="0" fontId="22" fillId="7" borderId="0" xfId="0" applyFont="1" applyFill="1" applyProtection="1">
      <protection locked="0"/>
    </xf>
    <xf numFmtId="0" fontId="22" fillId="0" borderId="0" xfId="0" applyFont="1" applyFill="1" applyBorder="1" applyAlignment="1" applyProtection="1"/>
    <xf numFmtId="0" fontId="22" fillId="0" borderId="41" xfId="0" applyFont="1" applyFill="1" applyBorder="1" applyAlignment="1" applyProtection="1"/>
    <xf numFmtId="0" fontId="22" fillId="0" borderId="41" xfId="0" applyFont="1" applyFill="1" applyBorder="1" applyProtection="1"/>
    <xf numFmtId="0" fontId="44" fillId="0" borderId="41" xfId="0" applyFont="1" applyFill="1" applyBorder="1" applyAlignment="1" applyProtection="1">
      <alignment horizontal="left"/>
    </xf>
    <xf numFmtId="49" fontId="22" fillId="0" borderId="47" xfId="0" applyNumberFormat="1" applyFont="1" applyFill="1" applyBorder="1" applyProtection="1"/>
    <xf numFmtId="49" fontId="22" fillId="0" borderId="0" xfId="0" applyNumberFormat="1" applyFont="1" applyFill="1" applyBorder="1" applyProtection="1"/>
    <xf numFmtId="49" fontId="22" fillId="0" borderId="110" xfId="0" applyNumberFormat="1" applyFont="1" applyFill="1" applyBorder="1" applyProtection="1"/>
    <xf numFmtId="3" fontId="34" fillId="7" borderId="0" xfId="0" applyNumberFormat="1" applyFont="1" applyFill="1" applyProtection="1">
      <protection hidden="1"/>
    </xf>
    <xf numFmtId="3" fontId="34" fillId="0" borderId="0" xfId="0" applyNumberFormat="1" applyFont="1" applyFill="1" applyProtection="1">
      <protection hidden="1"/>
    </xf>
    <xf numFmtId="14" fontId="22" fillId="7" borderId="0" xfId="0" applyNumberFormat="1" applyFont="1" applyFill="1" applyProtection="1"/>
    <xf numFmtId="0" fontId="45" fillId="7" borderId="0" xfId="1" applyFont="1" applyFill="1" applyAlignment="1" applyProtection="1"/>
    <xf numFmtId="166" fontId="22" fillId="7" borderId="0" xfId="0" applyNumberFormat="1" applyFont="1" applyFill="1" applyProtection="1"/>
    <xf numFmtId="0" fontId="22" fillId="7" borderId="0" xfId="0" applyFont="1" applyFill="1" applyAlignment="1" applyProtection="1"/>
    <xf numFmtId="1" fontId="22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 indent="1"/>
    </xf>
    <xf numFmtId="1" fontId="22" fillId="7" borderId="0" xfId="3" applyNumberFormat="1" applyFont="1" applyFill="1" applyAlignment="1" applyProtection="1">
      <alignment horizontal="right" indent="1"/>
    </xf>
    <xf numFmtId="0" fontId="43" fillId="7" borderId="0" xfId="0" applyFont="1" applyFill="1" applyProtection="1"/>
    <xf numFmtId="0" fontId="22" fillId="7" borderId="0" xfId="0" applyFont="1" applyFill="1" applyProtection="1">
      <protection hidden="1"/>
    </xf>
    <xf numFmtId="0" fontId="22" fillId="7" borderId="0" xfId="0" applyFont="1" applyFill="1" applyBorder="1" applyAlignment="1" applyProtection="1">
      <alignment horizontal="right"/>
      <protection hidden="1"/>
    </xf>
    <xf numFmtId="0" fontId="22" fillId="7" borderId="0" xfId="0" applyFont="1" applyFill="1" applyBorder="1" applyProtection="1">
      <protection hidden="1"/>
    </xf>
    <xf numFmtId="0" fontId="35" fillId="0" borderId="0" xfId="0" applyFont="1" applyFill="1" applyProtection="1"/>
    <xf numFmtId="0" fontId="35" fillId="7" borderId="0" xfId="0" applyFont="1" applyFill="1" applyAlignment="1" applyProtection="1">
      <alignment horizontal="center"/>
    </xf>
    <xf numFmtId="0" fontId="35" fillId="7" borderId="0" xfId="0" applyFont="1" applyFill="1" applyProtection="1">
      <protection locked="0"/>
    </xf>
    <xf numFmtId="0" fontId="38" fillId="9" borderId="61" xfId="0" applyNumberFormat="1" applyFont="1" applyFill="1" applyBorder="1" applyAlignment="1" applyProtection="1">
      <alignment horizontal="center"/>
    </xf>
    <xf numFmtId="0" fontId="22" fillId="7" borderId="38" xfId="0" applyFont="1" applyFill="1" applyBorder="1" applyProtection="1"/>
    <xf numFmtId="0" fontId="38" fillId="9" borderId="71" xfId="0" applyFont="1" applyFill="1" applyBorder="1" applyAlignment="1" applyProtection="1">
      <alignment horizontal="center"/>
    </xf>
    <xf numFmtId="0" fontId="38" fillId="9" borderId="64" xfId="0" applyNumberFormat="1" applyFont="1" applyFill="1" applyBorder="1" applyAlignment="1" applyProtection="1">
      <alignment horizontal="center"/>
    </xf>
    <xf numFmtId="0" fontId="22" fillId="0" borderId="69" xfId="0" applyFont="1" applyFill="1" applyBorder="1" applyAlignment="1" applyProtection="1"/>
    <xf numFmtId="49" fontId="22" fillId="0" borderId="41" xfId="0" applyNumberFormat="1" applyFont="1" applyFill="1" applyBorder="1" applyProtection="1"/>
    <xf numFmtId="38" fontId="22" fillId="7" borderId="38" xfId="0" applyNumberFormat="1" applyFont="1" applyFill="1" applyBorder="1" applyAlignment="1" applyProtection="1"/>
    <xf numFmtId="0" fontId="22" fillId="0" borderId="0" xfId="0" applyFont="1" applyFill="1" applyAlignment="1" applyProtection="1"/>
    <xf numFmtId="0" fontId="22" fillId="7" borderId="0" xfId="0" applyFont="1" applyFill="1" applyAlignment="1" applyProtection="1">
      <protection locked="0"/>
    </xf>
    <xf numFmtId="38" fontId="22" fillId="7" borderId="38" xfId="0" applyNumberFormat="1" applyFont="1" applyFill="1" applyBorder="1" applyAlignment="1" applyProtection="1">
      <alignment vertical="center"/>
    </xf>
    <xf numFmtId="0" fontId="39" fillId="16" borderId="11" xfId="7" applyFont="1" applyBorder="1" applyAlignment="1" applyProtection="1">
      <alignment vertical="center"/>
      <protection locked="0"/>
    </xf>
    <xf numFmtId="0" fontId="34" fillId="7" borderId="0" xfId="0" applyFont="1" applyFill="1" applyAlignment="1" applyProtection="1">
      <alignment vertical="center"/>
      <protection locked="0"/>
    </xf>
    <xf numFmtId="0" fontId="22" fillId="7" borderId="0" xfId="0" applyFont="1" applyFill="1" applyBorder="1" applyAlignment="1" applyProtection="1"/>
    <xf numFmtId="0" fontId="45" fillId="7" borderId="0" xfId="1" applyFont="1" applyFill="1" applyBorder="1" applyAlignment="1" applyProtection="1">
      <alignment vertical="center"/>
      <protection locked="0"/>
    </xf>
    <xf numFmtId="0" fontId="45" fillId="7" borderId="0" xfId="1" applyFont="1" applyFill="1" applyBorder="1" applyAlignment="1" applyProtection="1">
      <alignment vertical="center"/>
    </xf>
    <xf numFmtId="0" fontId="22" fillId="7" borderId="0" xfId="0" applyFont="1" applyFill="1"/>
    <xf numFmtId="0" fontId="22" fillId="0" borderId="0" xfId="0" applyFont="1" applyFill="1" applyBorder="1"/>
    <xf numFmtId="0" fontId="22" fillId="0" borderId="0" xfId="0" applyFont="1" applyFill="1" applyAlignment="1" applyProtection="1">
      <alignment horizontal="center"/>
    </xf>
    <xf numFmtId="0" fontId="37" fillId="7" borderId="0" xfId="0" applyFont="1" applyFill="1" applyProtection="1"/>
    <xf numFmtId="0" fontId="37" fillId="7" borderId="0" xfId="0" applyFont="1" applyFill="1" applyAlignment="1" applyProtection="1">
      <alignment horizontal="left"/>
    </xf>
    <xf numFmtId="0" fontId="37" fillId="0" borderId="0" xfId="0" applyFont="1" applyFill="1" applyProtection="1"/>
    <xf numFmtId="0" fontId="34" fillId="0" borderId="0" xfId="0" applyFont="1" applyFill="1" applyBorder="1" applyAlignment="1" applyProtection="1"/>
    <xf numFmtId="0" fontId="28" fillId="7" borderId="0" xfId="0" applyFont="1" applyFill="1" applyProtection="1"/>
    <xf numFmtId="0" fontId="7" fillId="7" borderId="0" xfId="0" applyFont="1" applyFill="1" applyProtection="1"/>
    <xf numFmtId="0" fontId="47" fillId="7" borderId="0" xfId="0" applyFont="1" applyFill="1" applyProtection="1"/>
    <xf numFmtId="0" fontId="32" fillId="7" borderId="0" xfId="0" applyFont="1" applyFill="1"/>
    <xf numFmtId="0" fontId="32" fillId="7" borderId="0" xfId="0" applyFont="1" applyFill="1" applyProtection="1"/>
    <xf numFmtId="0" fontId="28" fillId="0" borderId="0" xfId="0" applyFont="1" applyFill="1" applyProtection="1"/>
    <xf numFmtId="0" fontId="47" fillId="0" borderId="0" xfId="0" applyFont="1" applyFill="1" applyAlignment="1" applyProtection="1"/>
    <xf numFmtId="0" fontId="47" fillId="0" borderId="0" xfId="0" applyFont="1" applyFill="1" applyProtection="1"/>
    <xf numFmtId="0" fontId="9" fillId="7" borderId="0" xfId="0" applyFont="1" applyFill="1" applyAlignment="1" applyProtection="1">
      <alignment horizontal="right" vertical="center"/>
    </xf>
    <xf numFmtId="0" fontId="48" fillId="7" borderId="0" xfId="0" applyFont="1" applyFill="1" applyProtection="1"/>
    <xf numFmtId="0" fontId="4" fillId="7" borderId="0" xfId="0" applyFont="1" applyFill="1" applyAlignment="1" applyProtection="1">
      <alignment horizontal="left" indent="1"/>
    </xf>
    <xf numFmtId="0" fontId="48" fillId="7" borderId="0" xfId="0" applyFont="1" applyFill="1" applyAlignment="1" applyProtection="1"/>
    <xf numFmtId="0" fontId="28" fillId="7" borderId="0" xfId="0" applyFont="1" applyFill="1" applyAlignment="1" applyProtection="1">
      <alignment horizontal="right"/>
    </xf>
    <xf numFmtId="0" fontId="46" fillId="7" borderId="0" xfId="0" applyFont="1" applyFill="1" applyAlignment="1">
      <alignment horizontal="left" indent="1"/>
    </xf>
    <xf numFmtId="0" fontId="4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horizontal="left" vertical="center"/>
    </xf>
    <xf numFmtId="0" fontId="37" fillId="7" borderId="0" xfId="0" applyFont="1" applyFill="1" applyAlignment="1" applyProtection="1">
      <alignment vertical="center"/>
    </xf>
    <xf numFmtId="0" fontId="32" fillId="7" borderId="0" xfId="0" applyFont="1" applyFill="1" applyAlignment="1">
      <alignment vertical="center"/>
    </xf>
    <xf numFmtId="0" fontId="32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47" fillId="0" borderId="0" xfId="0" applyFont="1" applyFill="1" applyAlignment="1" applyProtection="1">
      <alignment vertical="center"/>
    </xf>
    <xf numFmtId="0" fontId="50" fillId="0" borderId="0" xfId="0" applyFont="1" applyFill="1" applyAlignment="1" applyProtection="1">
      <alignment vertical="center"/>
    </xf>
    <xf numFmtId="0" fontId="9" fillId="7" borderId="0" xfId="0" applyFont="1" applyFill="1" applyAlignment="1" applyProtection="1">
      <alignment vertical="center"/>
    </xf>
    <xf numFmtId="0" fontId="48" fillId="7" borderId="0" xfId="0" applyFont="1" applyFill="1" applyAlignment="1" applyProtection="1">
      <alignment vertical="center"/>
    </xf>
    <xf numFmtId="0" fontId="47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vertical="center"/>
    </xf>
    <xf numFmtId="0" fontId="28" fillId="7" borderId="0" xfId="0" applyFont="1" applyFill="1" applyAlignment="1" applyProtection="1"/>
    <xf numFmtId="0" fontId="47" fillId="7" borderId="0" xfId="0" applyFont="1" applyFill="1" applyAlignment="1" applyProtection="1"/>
    <xf numFmtId="0" fontId="46" fillId="7" borderId="0" xfId="0" applyFont="1" applyFill="1" applyBorder="1" applyAlignment="1" applyProtection="1">
      <alignment horizontal="right"/>
    </xf>
    <xf numFmtId="0" fontId="33" fillId="7" borderId="0" xfId="0" applyFont="1" applyFill="1" applyBorder="1" applyAlignment="1" applyProtection="1"/>
    <xf numFmtId="0" fontId="37" fillId="7" borderId="0" xfId="0" applyFont="1" applyFill="1" applyBorder="1" applyAlignment="1" applyProtection="1">
      <alignment horizontal="left"/>
    </xf>
    <xf numFmtId="0" fontId="37" fillId="7" borderId="0" xfId="0" applyFont="1" applyFill="1" applyAlignment="1" applyProtection="1"/>
    <xf numFmtId="0" fontId="32" fillId="7" borderId="0" xfId="0" applyFont="1" applyFill="1" applyAlignment="1"/>
    <xf numFmtId="0" fontId="32" fillId="7" borderId="0" xfId="0" applyFont="1" applyFill="1" applyAlignment="1" applyProtection="1"/>
    <xf numFmtId="0" fontId="28" fillId="0" borderId="0" xfId="0" applyFont="1" applyFill="1" applyAlignment="1" applyProtection="1"/>
    <xf numFmtId="0" fontId="47" fillId="7" borderId="0" xfId="0" applyFont="1" applyFill="1" applyAlignment="1" applyProtection="1">
      <alignment horizontal="right" vertical="center"/>
    </xf>
    <xf numFmtId="0" fontId="48" fillId="7" borderId="0" xfId="0" applyFont="1" applyFill="1" applyAlignment="1" applyProtection="1">
      <alignment horizontal="right"/>
    </xf>
    <xf numFmtId="0" fontId="48" fillId="7" borderId="0" xfId="0" applyFont="1" applyFill="1" applyAlignment="1">
      <alignment horizontal="left"/>
    </xf>
    <xf numFmtId="0" fontId="33" fillId="7" borderId="0" xfId="0" applyFont="1" applyFill="1" applyAlignment="1" applyProtection="1"/>
    <xf numFmtId="0" fontId="48" fillId="7" borderId="0" xfId="0" applyFont="1" applyFill="1" applyAlignment="1" applyProtection="1">
      <alignment horizontal="left" vertical="center"/>
    </xf>
    <xf numFmtId="0" fontId="48" fillId="7" borderId="0" xfId="0" applyFont="1" applyFill="1" applyAlignment="1">
      <alignment horizontal="left" vertical="center"/>
    </xf>
    <xf numFmtId="0" fontId="9" fillId="7" borderId="0" xfId="0" applyFont="1" applyFill="1" applyAlignment="1" applyProtection="1">
      <alignment horizontal="right"/>
    </xf>
    <xf numFmtId="0" fontId="48" fillId="7" borderId="0" xfId="0" applyFont="1" applyFill="1" applyAlignment="1" applyProtection="1">
      <alignment horizontal="left"/>
    </xf>
    <xf numFmtId="0" fontId="28" fillId="7" borderId="0" xfId="0" applyFont="1" applyFill="1" applyAlignment="1" applyProtection="1">
      <alignment horizontal="left"/>
    </xf>
    <xf numFmtId="0" fontId="47" fillId="7" borderId="0" xfId="0" applyFont="1" applyFill="1" applyAlignment="1" applyProtection="1">
      <alignment horizontal="left"/>
    </xf>
    <xf numFmtId="0" fontId="48" fillId="7" borderId="0" xfId="0" applyFont="1" applyFill="1" applyAlignment="1"/>
    <xf numFmtId="0" fontId="9" fillId="7" borderId="0" xfId="0" applyFont="1" applyFill="1" applyAlignment="1" applyProtection="1"/>
    <xf numFmtId="0" fontId="50" fillId="7" borderId="0" xfId="0" applyFont="1" applyFill="1" applyAlignment="1" applyProtection="1"/>
    <xf numFmtId="0" fontId="50" fillId="0" borderId="30" xfId="0" applyFont="1" applyBorder="1" applyAlignment="1" applyProtection="1">
      <protection locked="0"/>
    </xf>
    <xf numFmtId="0" fontId="28" fillId="7" borderId="0" xfId="0" applyFont="1" applyFill="1" applyAlignment="1" applyProtection="1">
      <alignment horizontal="left" vertical="center"/>
    </xf>
    <xf numFmtId="0" fontId="47" fillId="7" borderId="0" xfId="0" applyFont="1" applyFill="1" applyAlignment="1" applyProtection="1">
      <alignment horizontal="left" vertical="center"/>
    </xf>
    <xf numFmtId="0" fontId="34" fillId="0" borderId="0" xfId="0" applyFont="1" applyFill="1" applyAlignment="1" applyProtection="1">
      <alignment vertical="center"/>
    </xf>
    <xf numFmtId="0" fontId="33" fillId="7" borderId="0" xfId="0" applyFont="1" applyFill="1" applyProtection="1"/>
    <xf numFmtId="0" fontId="51" fillId="7" borderId="0" xfId="1" applyFont="1" applyFill="1" applyAlignment="1" applyProtection="1">
      <alignment vertical="center"/>
      <protection locked="0"/>
    </xf>
    <xf numFmtId="0" fontId="48" fillId="7" borderId="0" xfId="0" applyFont="1" applyFill="1" applyAlignment="1">
      <alignment horizontal="left" indent="1"/>
    </xf>
    <xf numFmtId="0" fontId="48" fillId="7" borderId="0" xfId="0" applyFont="1" applyFill="1"/>
    <xf numFmtId="0" fontId="48" fillId="7" borderId="0" xfId="0" applyFont="1" applyFill="1" applyAlignment="1">
      <alignment horizontal="left" vertical="center" indent="2"/>
    </xf>
    <xf numFmtId="0" fontId="48" fillId="7" borderId="0" xfId="0" applyFont="1" applyFill="1" applyAlignment="1">
      <alignment horizontal="left" vertical="center" indent="1"/>
    </xf>
    <xf numFmtId="0" fontId="48" fillId="7" borderId="0" xfId="0" applyFont="1" applyFill="1" applyAlignment="1">
      <alignment horizontal="left" vertical="center" indent="3"/>
    </xf>
    <xf numFmtId="0" fontId="52" fillId="7" borderId="0" xfId="0" applyFont="1" applyFill="1" applyProtection="1"/>
    <xf numFmtId="14" fontId="22" fillId="7" borderId="0" xfId="0" applyNumberFormat="1" applyFont="1" applyFill="1" applyAlignment="1" applyProtection="1">
      <alignment horizontal="center"/>
    </xf>
    <xf numFmtId="0" fontId="43" fillId="0" borderId="0" xfId="0" applyFont="1" applyFill="1" applyBorder="1" applyProtection="1"/>
    <xf numFmtId="0" fontId="36" fillId="7" borderId="0" xfId="0" applyFont="1" applyFill="1" applyAlignment="1" applyProtection="1">
      <alignment horizontal="left"/>
    </xf>
    <xf numFmtId="0" fontId="28" fillId="7" borderId="0" xfId="0" applyFont="1" applyFill="1" applyBorder="1" applyAlignment="1" applyProtection="1">
      <alignment horizontal="left"/>
    </xf>
    <xf numFmtId="0" fontId="38" fillId="9" borderId="66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 vertical="center"/>
    </xf>
    <xf numFmtId="49" fontId="22" fillId="7" borderId="41" xfId="0" applyNumberFormat="1" applyFont="1" applyFill="1" applyBorder="1" applyAlignment="1" applyProtection="1">
      <alignment horizontal="center"/>
    </xf>
    <xf numFmtId="0" fontId="38" fillId="0" borderId="30" xfId="0" applyNumberFormat="1" applyFont="1" applyFill="1" applyBorder="1" applyProtection="1"/>
    <xf numFmtId="38" fontId="22" fillId="0" borderId="2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Protection="1"/>
    <xf numFmtId="0" fontId="38" fillId="0" borderId="0" xfId="0" applyNumberFormat="1" applyFont="1" applyFill="1" applyBorder="1" applyProtection="1"/>
    <xf numFmtId="0" fontId="22" fillId="0" borderId="30" xfId="0" applyNumberFormat="1" applyFont="1" applyFill="1" applyBorder="1" applyProtection="1"/>
    <xf numFmtId="170" fontId="22" fillId="0" borderId="2" xfId="0" applyNumberFormat="1" applyFont="1" applyFill="1" applyBorder="1" applyAlignment="1" applyProtection="1">
      <alignment horizontal="right"/>
    </xf>
    <xf numFmtId="49" fontId="22" fillId="7" borderId="83" xfId="0" applyNumberFormat="1" applyFont="1" applyFill="1" applyBorder="1" applyAlignment="1" applyProtection="1">
      <alignment horizontal="center"/>
    </xf>
    <xf numFmtId="0" fontId="22" fillId="0" borderId="46" xfId="0" applyNumberFormat="1" applyFont="1" applyFill="1" applyBorder="1" applyProtection="1"/>
    <xf numFmtId="170" fontId="22" fillId="0" borderId="46" xfId="0" applyNumberFormat="1" applyFont="1" applyFill="1" applyBorder="1" applyAlignment="1" applyProtection="1">
      <alignment horizontal="right"/>
    </xf>
    <xf numFmtId="170" fontId="22" fillId="0" borderId="45" xfId="0" applyNumberFormat="1" applyFont="1" applyFill="1" applyBorder="1" applyAlignment="1" applyProtection="1">
      <alignment horizontal="right"/>
    </xf>
    <xf numFmtId="0" fontId="53" fillId="0" borderId="0" xfId="0" applyFont="1" applyBorder="1"/>
    <xf numFmtId="0" fontId="22" fillId="7" borderId="41" xfId="0" applyNumberFormat="1" applyFont="1" applyFill="1" applyBorder="1" applyAlignment="1" applyProtection="1">
      <alignment horizontal="center"/>
    </xf>
    <xf numFmtId="49" fontId="22" fillId="7" borderId="47" xfId="0" applyNumberFormat="1" applyFont="1" applyFill="1" applyBorder="1" applyAlignment="1" applyProtection="1">
      <alignment horizontal="center"/>
    </xf>
    <xf numFmtId="0" fontId="38" fillId="0" borderId="49" xfId="0" applyNumberFormat="1" applyFont="1" applyFill="1" applyBorder="1" applyProtection="1"/>
    <xf numFmtId="170" fontId="22" fillId="0" borderId="49" xfId="0" applyNumberFormat="1" applyFont="1" applyFill="1" applyBorder="1" applyAlignment="1" applyProtection="1">
      <alignment horizontal="right"/>
    </xf>
    <xf numFmtId="170" fontId="22" fillId="0" borderId="48" xfId="0" applyNumberFormat="1" applyFont="1" applyFill="1" applyBorder="1" applyAlignment="1" applyProtection="1">
      <alignment horizontal="right"/>
    </xf>
    <xf numFmtId="0" fontId="34" fillId="7" borderId="0" xfId="0" applyNumberFormat="1" applyFont="1" applyFill="1" applyBorder="1" applyProtection="1"/>
    <xf numFmtId="38" fontId="34" fillId="7" borderId="0" xfId="0" applyNumberFormat="1" applyFont="1" applyFill="1" applyBorder="1" applyProtection="1"/>
    <xf numFmtId="38" fontId="34" fillId="7" borderId="0" xfId="0" applyNumberFormat="1" applyFont="1" applyFill="1" applyBorder="1" applyAlignment="1" applyProtection="1">
      <alignment horizontal="center"/>
    </xf>
    <xf numFmtId="0" fontId="38" fillId="9" borderId="71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/>
    </xf>
    <xf numFmtId="170" fontId="22" fillId="10" borderId="30" xfId="0" applyNumberFormat="1" applyFont="1" applyFill="1" applyBorder="1" applyAlignment="1" applyProtection="1">
      <alignment horizontal="right"/>
      <protection locked="0"/>
    </xf>
    <xf numFmtId="170" fontId="22" fillId="0" borderId="113" xfId="0" applyNumberFormat="1" applyFont="1" applyFill="1" applyBorder="1" applyAlignment="1" applyProtection="1">
      <alignment horizontal="right"/>
    </xf>
    <xf numFmtId="170" fontId="22" fillId="0" borderId="30" xfId="0" applyNumberFormat="1" applyFont="1" applyFill="1" applyBorder="1" applyAlignment="1" applyProtection="1">
      <alignment horizontal="right"/>
    </xf>
    <xf numFmtId="0" fontId="22" fillId="0" borderId="9" xfId="0" applyNumberFormat="1" applyFont="1" applyFill="1" applyBorder="1" applyProtection="1"/>
    <xf numFmtId="170" fontId="22" fillId="0" borderId="32" xfId="0" applyNumberFormat="1" applyFont="1" applyFill="1" applyBorder="1" applyAlignment="1" applyProtection="1">
      <alignment horizontal="right" vertical="center"/>
    </xf>
    <xf numFmtId="170" fontId="22" fillId="0" borderId="9" xfId="0" applyNumberFormat="1" applyFont="1" applyFill="1" applyBorder="1" applyAlignment="1" applyProtection="1">
      <alignment horizontal="right" vertical="center"/>
    </xf>
    <xf numFmtId="0" fontId="33" fillId="7" borderId="0" xfId="0" applyFont="1" applyFill="1" applyBorder="1" applyProtection="1"/>
    <xf numFmtId="0" fontId="4" fillId="0" borderId="0" xfId="0" applyFont="1" applyFill="1" applyBorder="1" applyProtection="1"/>
    <xf numFmtId="0" fontId="54" fillId="0" borderId="0" xfId="0" applyFont="1" applyFill="1" applyBorder="1" applyProtection="1"/>
    <xf numFmtId="9" fontId="34" fillId="7" borderId="0" xfId="0" applyNumberFormat="1" applyFont="1" applyFill="1" applyAlignment="1" applyProtection="1">
      <alignment vertical="center"/>
    </xf>
    <xf numFmtId="0" fontId="38" fillId="9" borderId="66" xfId="0" applyNumberFormat="1" applyFont="1" applyFill="1" applyBorder="1" applyAlignment="1" applyProtection="1">
      <alignment horizontal="left"/>
    </xf>
    <xf numFmtId="49" fontId="22" fillId="7" borderId="97" xfId="0" applyNumberFormat="1" applyFont="1" applyFill="1" applyBorder="1" applyAlignment="1" applyProtection="1">
      <alignment horizontal="center" vertical="center"/>
    </xf>
    <xf numFmtId="0" fontId="22" fillId="10" borderId="84" xfId="0" applyNumberFormat="1" applyFont="1" applyFill="1" applyBorder="1" applyAlignment="1" applyProtection="1">
      <alignment horizontal="left" vertical="center" indent="1"/>
      <protection locked="0"/>
    </xf>
    <xf numFmtId="3" fontId="22" fillId="13" borderId="98" xfId="0" applyNumberFormat="1" applyFont="1" applyFill="1" applyBorder="1" applyAlignment="1" applyProtection="1">
      <alignment horizontal="right" indent="1"/>
      <protection locked="0"/>
    </xf>
    <xf numFmtId="0" fontId="22" fillId="0" borderId="0" xfId="0" applyNumberFormat="1" applyFont="1" applyFill="1" applyBorder="1" applyAlignment="1" applyProtection="1">
      <alignment horizontal="left" vertical="center" indent="1"/>
      <protection locked="0"/>
    </xf>
    <xf numFmtId="49" fontId="22" fillId="7" borderId="83" xfId="0" applyNumberFormat="1" applyFont="1" applyFill="1" applyBorder="1" applyAlignment="1" applyProtection="1">
      <alignment horizontal="center" vertical="center"/>
    </xf>
    <xf numFmtId="3" fontId="22" fillId="10" borderId="11" xfId="0" applyNumberFormat="1" applyFont="1" applyFill="1" applyBorder="1" applyAlignment="1" applyProtection="1">
      <alignment horizontal="right" indent="1"/>
      <protection locked="0"/>
    </xf>
    <xf numFmtId="49" fontId="22" fillId="7" borderId="106" xfId="0" applyNumberFormat="1" applyFont="1" applyFill="1" applyBorder="1" applyAlignment="1" applyProtection="1">
      <alignment horizontal="center" vertical="center"/>
    </xf>
    <xf numFmtId="0" fontId="22" fillId="10" borderId="11" xfId="0" applyNumberFormat="1" applyFont="1" applyFill="1" applyBorder="1" applyAlignment="1" applyProtection="1">
      <alignment horizontal="left" vertical="center" indent="1"/>
      <protection locked="0"/>
    </xf>
    <xf numFmtId="49" fontId="22" fillId="7" borderId="96" xfId="0" applyNumberFormat="1" applyFont="1" applyFill="1" applyBorder="1" applyAlignment="1" applyProtection="1">
      <alignment horizontal="center" vertical="center"/>
    </xf>
    <xf numFmtId="0" fontId="22" fillId="10" borderId="40" xfId="0" applyNumberFormat="1" applyFont="1" applyFill="1" applyBorder="1" applyAlignment="1" applyProtection="1">
      <alignment horizontal="left" vertical="center" indent="1"/>
      <protection locked="0"/>
    </xf>
    <xf numFmtId="3" fontId="22" fillId="10" borderId="46" xfId="0" applyNumberFormat="1" applyFont="1" applyFill="1" applyBorder="1" applyAlignment="1" applyProtection="1">
      <alignment horizontal="right" indent="1"/>
      <protection locked="0"/>
    </xf>
    <xf numFmtId="0" fontId="22" fillId="7" borderId="47" xfId="0" applyFont="1" applyFill="1" applyBorder="1" applyAlignment="1" applyProtection="1">
      <alignment vertical="center"/>
    </xf>
    <xf numFmtId="3" fontId="22" fillId="7" borderId="49" xfId="0" applyNumberFormat="1" applyFont="1" applyFill="1" applyBorder="1" applyAlignment="1" applyProtection="1">
      <alignment horizontal="right" vertical="center" indent="1"/>
    </xf>
    <xf numFmtId="49" fontId="22" fillId="0" borderId="0" xfId="0" applyNumberFormat="1" applyFont="1" applyFill="1" applyBorder="1" applyAlignment="1" applyProtection="1">
      <alignment horizontal="left" vertical="center" wrapText="1" indent="1"/>
    </xf>
    <xf numFmtId="0" fontId="43" fillId="0" borderId="0" xfId="0" applyFont="1" applyFill="1" applyBorder="1" applyAlignment="1" applyProtection="1">
      <alignment vertical="center"/>
    </xf>
    <xf numFmtId="0" fontId="22" fillId="7" borderId="0" xfId="0" applyNumberFormat="1" applyFont="1" applyFill="1" applyBorder="1" applyAlignment="1" applyProtection="1">
      <alignment vertical="center"/>
    </xf>
    <xf numFmtId="3" fontId="22" fillId="7" borderId="0" xfId="0" applyNumberFormat="1" applyFont="1" applyFill="1" applyBorder="1" applyAlignment="1" applyProtection="1">
      <alignment horizontal="right" vertical="center" indent="1"/>
    </xf>
    <xf numFmtId="0" fontId="28" fillId="0" borderId="0" xfId="0" applyFont="1" applyFill="1" applyBorder="1" applyAlignment="1" applyProtection="1">
      <alignment vertical="center"/>
    </xf>
    <xf numFmtId="0" fontId="55" fillId="0" borderId="0" xfId="0" applyNumberFormat="1" applyFont="1" applyFill="1" applyBorder="1" applyAlignment="1" applyProtection="1">
      <alignment horizontal="center"/>
    </xf>
    <xf numFmtId="0" fontId="22" fillId="7" borderId="68" xfId="0" applyFont="1" applyFill="1" applyBorder="1" applyAlignment="1" applyProtection="1">
      <alignment vertical="center"/>
    </xf>
    <xf numFmtId="49" fontId="22" fillId="0" borderId="62" xfId="0" applyNumberFormat="1" applyFont="1" applyFill="1" applyBorder="1" applyAlignment="1" applyProtection="1">
      <alignment horizontal="left" vertical="center" wrapText="1" indent="1"/>
    </xf>
    <xf numFmtId="3" fontId="22" fillId="10" borderId="62" xfId="0" applyNumberFormat="1" applyFont="1" applyFill="1" applyBorder="1" applyAlignment="1" applyProtection="1">
      <alignment horizontal="right" vertical="center" indent="1"/>
      <protection locked="0"/>
    </xf>
    <xf numFmtId="0" fontId="22" fillId="7" borderId="0" xfId="0" applyNumberFormat="1" applyFont="1" applyFill="1" applyProtection="1"/>
    <xf numFmtId="0" fontId="4" fillId="0" borderId="0" xfId="0" applyFont="1" applyFill="1" applyBorder="1" applyAlignment="1" applyProtection="1">
      <alignment vertical="center"/>
    </xf>
    <xf numFmtId="0" fontId="29" fillId="0" borderId="0" xfId="1" applyFont="1" applyAlignment="1" applyProtection="1"/>
    <xf numFmtId="0" fontId="56" fillId="0" borderId="0" xfId="1" applyFont="1" applyFill="1" applyBorder="1" applyAlignment="1" applyProtection="1"/>
    <xf numFmtId="0" fontId="34" fillId="7" borderId="0" xfId="0" applyNumberFormat="1" applyFont="1" applyFill="1" applyProtection="1"/>
    <xf numFmtId="9" fontId="34" fillId="7" borderId="0" xfId="3" applyFont="1" applyFill="1" applyBorder="1" applyAlignment="1" applyProtection="1">
      <alignment horizontal="right" vertical="center" indent="1"/>
    </xf>
    <xf numFmtId="0" fontId="34" fillId="7" borderId="0" xfId="0" applyFont="1" applyFill="1" applyAlignment="1" applyProtection="1">
      <alignment horizontal="center"/>
    </xf>
    <xf numFmtId="0" fontId="22" fillId="0" borderId="0" xfId="0" applyNumberFormat="1" applyFont="1" applyFill="1" applyProtection="1"/>
    <xf numFmtId="2" fontId="38" fillId="9" borderId="64" xfId="0" applyNumberFormat="1" applyFont="1" applyFill="1" applyBorder="1" applyAlignment="1" applyProtection="1">
      <alignment horizontal="center" vertical="center"/>
    </xf>
    <xf numFmtId="2" fontId="38" fillId="9" borderId="63" xfId="0" applyNumberFormat="1" applyFont="1" applyFill="1" applyBorder="1" applyAlignment="1" applyProtection="1">
      <alignment horizontal="center" vertical="center"/>
    </xf>
    <xf numFmtId="2" fontId="22" fillId="0" borderId="1" xfId="0" applyNumberFormat="1" applyFont="1" applyFill="1" applyBorder="1" applyAlignment="1" applyProtection="1">
      <alignment horizontal="right" indent="1"/>
    </xf>
    <xf numFmtId="2" fontId="22" fillId="0" borderId="2" xfId="0" applyNumberFormat="1" applyFont="1" applyFill="1" applyBorder="1" applyAlignment="1" applyProtection="1">
      <alignment horizontal="right" indent="1"/>
    </xf>
    <xf numFmtId="0" fontId="22" fillId="7" borderId="123" xfId="0" applyNumberFormat="1" applyFont="1" applyFill="1" applyBorder="1" applyAlignment="1" applyProtection="1">
      <alignment horizontal="center"/>
    </xf>
    <xf numFmtId="0" fontId="33" fillId="0" borderId="0" xfId="0" applyFont="1" applyFill="1" applyProtection="1"/>
    <xf numFmtId="0" fontId="57" fillId="7" borderId="0" xfId="0" applyFont="1" applyFill="1" applyProtection="1"/>
    <xf numFmtId="49" fontId="57" fillId="7" borderId="96" xfId="0" applyNumberFormat="1" applyFont="1" applyFill="1" applyBorder="1" applyAlignment="1" applyProtection="1">
      <alignment horizontal="center"/>
    </xf>
    <xf numFmtId="0" fontId="33" fillId="0" borderId="100" xfId="0" applyNumberFormat="1" applyFont="1" applyFill="1" applyBorder="1" applyAlignment="1" applyProtection="1">
      <alignment horizontal="right"/>
    </xf>
    <xf numFmtId="9" fontId="33" fillId="0" borderId="101" xfId="3" applyFont="1" applyFill="1" applyBorder="1" applyAlignment="1" applyProtection="1">
      <alignment horizontal="center"/>
    </xf>
    <xf numFmtId="49" fontId="57" fillId="7" borderId="41" xfId="0" applyNumberFormat="1" applyFont="1" applyFill="1" applyBorder="1" applyAlignment="1" applyProtection="1">
      <alignment horizontal="center"/>
    </xf>
    <xf numFmtId="9" fontId="33" fillId="0" borderId="1" xfId="3" applyFont="1" applyFill="1" applyBorder="1" applyAlignment="1" applyProtection="1">
      <alignment horizontal="center"/>
    </xf>
    <xf numFmtId="49" fontId="58" fillId="7" borderId="41" xfId="0" applyNumberFormat="1" applyFont="1" applyFill="1" applyBorder="1" applyAlignment="1" applyProtection="1">
      <alignment horizontal="center"/>
    </xf>
    <xf numFmtId="0" fontId="22" fillId="0" borderId="31" xfId="0" applyNumberFormat="1" applyFont="1" applyFill="1" applyBorder="1" applyProtection="1"/>
    <xf numFmtId="49" fontId="22" fillId="0" borderId="31" xfId="0" applyNumberFormat="1" applyFont="1" applyFill="1" applyBorder="1" applyProtection="1"/>
    <xf numFmtId="0" fontId="22" fillId="7" borderId="68" xfId="0" applyNumberFormat="1" applyFont="1" applyFill="1" applyBorder="1" applyAlignment="1" applyProtection="1">
      <alignment horizontal="center"/>
    </xf>
    <xf numFmtId="0" fontId="43" fillId="7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0" fontId="36" fillId="7" borderId="0" xfId="0" applyFont="1" applyFill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3" fontId="22" fillId="10" borderId="125" xfId="0" applyNumberFormat="1" applyFont="1" applyFill="1" applyBorder="1" applyAlignment="1" applyProtection="1">
      <alignment horizontal="right" indent="1"/>
      <protection locked="0"/>
    </xf>
    <xf numFmtId="3" fontId="22" fillId="10" borderId="1" xfId="0" applyNumberFormat="1" applyFont="1" applyFill="1" applyBorder="1" applyAlignment="1" applyProtection="1">
      <alignment horizontal="right" indent="1"/>
      <protection locked="0"/>
    </xf>
    <xf numFmtId="0" fontId="34" fillId="0" borderId="0" xfId="0" applyFont="1" applyFill="1" applyBorder="1" applyProtection="1"/>
    <xf numFmtId="0" fontId="58" fillId="7" borderId="0" xfId="0" applyFont="1" applyFill="1" applyProtection="1"/>
    <xf numFmtId="0" fontId="58" fillId="0" borderId="0" xfId="0" applyFont="1" applyFill="1" applyProtection="1"/>
    <xf numFmtId="0" fontId="43" fillId="7" borderId="0" xfId="0" applyFont="1" applyFill="1" applyAlignment="1" applyProtection="1">
      <protection hidden="1"/>
    </xf>
    <xf numFmtId="0" fontId="38" fillId="9" borderId="112" xfId="0" applyNumberFormat="1" applyFont="1" applyFill="1" applyBorder="1" applyAlignment="1" applyProtection="1">
      <alignment horizontal="center"/>
    </xf>
    <xf numFmtId="0" fontId="22" fillId="7" borderId="38" xfId="0" applyFont="1" applyFill="1" applyBorder="1" applyAlignment="1" applyProtection="1"/>
    <xf numFmtId="0" fontId="33" fillId="7" borderId="38" xfId="0" applyFont="1" applyFill="1" applyBorder="1" applyAlignment="1" applyProtection="1"/>
    <xf numFmtId="38" fontId="22" fillId="7" borderId="0" xfId="0" applyNumberFormat="1" applyFont="1" applyFill="1" applyAlignment="1" applyProtection="1"/>
    <xf numFmtId="0" fontId="34" fillId="7" borderId="0" xfId="0" applyFont="1" applyFill="1" applyAlignment="1" applyProtection="1"/>
    <xf numFmtId="0" fontId="34" fillId="7" borderId="0" xfId="0" applyFont="1" applyFill="1" applyProtection="1">
      <protection hidden="1"/>
    </xf>
    <xf numFmtId="0" fontId="31" fillId="7" borderId="0" xfId="0" applyFont="1" applyFill="1" applyAlignment="1" applyProtection="1">
      <alignment horizontal="left"/>
    </xf>
    <xf numFmtId="0" fontId="30" fillId="7" borderId="0" xfId="0" applyFont="1" applyFill="1" applyAlignment="1" applyProtection="1">
      <alignment horizontal="left"/>
    </xf>
    <xf numFmtId="0" fontId="34" fillId="0" borderId="0" xfId="0" applyFont="1" applyFill="1" applyBorder="1" applyProtection="1">
      <protection hidden="1"/>
    </xf>
    <xf numFmtId="0" fontId="60" fillId="7" borderId="0" xfId="1" applyFont="1" applyFill="1" applyAlignment="1" applyProtection="1"/>
    <xf numFmtId="166" fontId="58" fillId="7" borderId="0" xfId="0" applyNumberFormat="1" applyFont="1" applyFill="1" applyProtection="1"/>
    <xf numFmtId="0" fontId="22" fillId="7" borderId="0" xfId="0" applyFont="1" applyFill="1" applyAlignment="1" applyProtection="1">
      <alignment horizontal="left"/>
    </xf>
    <xf numFmtId="0" fontId="58" fillId="7" borderId="0" xfId="0" applyFont="1" applyFill="1" applyAlignment="1" applyProtection="1"/>
    <xf numFmtId="0" fontId="22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Protection="1"/>
    <xf numFmtId="0" fontId="38" fillId="9" borderId="71" xfId="0" applyFont="1" applyFill="1" applyBorder="1" applyAlignment="1" applyProtection="1">
      <alignment horizontal="center" vertical="center"/>
      <protection hidden="1"/>
    </xf>
    <xf numFmtId="0" fontId="38" fillId="9" borderId="71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63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Protection="1">
      <protection hidden="1"/>
    </xf>
    <xf numFmtId="0" fontId="52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/>
    <xf numFmtId="1" fontId="22" fillId="2" borderId="41" xfId="0" applyNumberFormat="1" applyFont="1" applyFill="1" applyBorder="1" applyAlignment="1" applyProtection="1">
      <alignment horizontal="center" vertical="center"/>
    </xf>
    <xf numFmtId="0" fontId="58" fillId="7" borderId="0" xfId="0" applyFont="1" applyFill="1" applyAlignment="1" applyProtection="1">
      <alignment vertical="center"/>
    </xf>
    <xf numFmtId="0" fontId="52" fillId="0" borderId="0" xfId="0" applyFont="1" applyFill="1" applyAlignment="1" applyProtection="1">
      <alignment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7" borderId="0" xfId="0" applyFont="1" applyFill="1" applyAlignment="1" applyProtection="1">
      <alignment vertical="center"/>
      <protection hidden="1"/>
    </xf>
    <xf numFmtId="1" fontId="22" fillId="2" borderId="41" xfId="0" applyNumberFormat="1" applyFont="1" applyFill="1" applyBorder="1" applyAlignment="1" applyProtection="1">
      <alignment horizontal="center" vertical="center"/>
      <protection hidden="1"/>
    </xf>
    <xf numFmtId="167" fontId="22" fillId="0" borderId="106" xfId="0" applyNumberFormat="1" applyFont="1" applyFill="1" applyBorder="1" applyAlignment="1" applyProtection="1">
      <alignment vertical="center"/>
      <protection hidden="1"/>
    </xf>
    <xf numFmtId="0" fontId="58" fillId="7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9" fontId="22" fillId="0" borderId="47" xfId="0" applyNumberFormat="1" applyFont="1" applyFill="1" applyBorder="1" applyAlignment="1" applyProtection="1">
      <alignment vertical="center"/>
      <protection hidden="1"/>
    </xf>
    <xf numFmtId="167" fontId="22" fillId="0" borderId="47" xfId="0" applyNumberFormat="1" applyFont="1" applyFill="1" applyBorder="1" applyAlignment="1" applyProtection="1">
      <alignment horizontal="left" vertical="center"/>
      <protection hidden="1"/>
    </xf>
    <xf numFmtId="167" fontId="22" fillId="0" borderId="47" xfId="0" applyNumberFormat="1" applyFont="1" applyFill="1" applyBorder="1" applyAlignment="1" applyProtection="1">
      <alignment horizontal="right" vertical="center"/>
      <protection hidden="1"/>
    </xf>
    <xf numFmtId="167" fontId="22" fillId="2" borderId="48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49" fontId="22" fillId="0" borderId="0" xfId="0" applyNumberFormat="1" applyFont="1" applyFill="1" applyBorder="1" applyAlignment="1" applyProtection="1">
      <alignment vertical="center"/>
      <protection hidden="1"/>
    </xf>
    <xf numFmtId="49" fontId="22" fillId="7" borderId="0" xfId="0" applyNumberFormat="1" applyFont="1" applyFill="1" applyBorder="1" applyProtection="1"/>
    <xf numFmtId="167" fontId="22" fillId="7" borderId="0" xfId="0" applyNumberFormat="1" applyFont="1" applyFill="1" applyBorder="1" applyAlignment="1" applyProtection="1">
      <alignment horizontal="right"/>
    </xf>
    <xf numFmtId="167" fontId="22" fillId="7" borderId="0" xfId="0" applyNumberFormat="1" applyFont="1" applyFill="1" applyBorder="1" applyAlignment="1" applyProtection="1">
      <alignment horizontal="center"/>
    </xf>
    <xf numFmtId="167" fontId="22" fillId="7" borderId="0" xfId="0" applyNumberFormat="1" applyFont="1" applyFill="1" applyBorder="1" applyAlignment="1" applyProtection="1">
      <alignment horizontal="right"/>
      <protection locked="0"/>
    </xf>
    <xf numFmtId="0" fontId="22" fillId="7" borderId="13" xfId="0" applyFont="1" applyFill="1" applyBorder="1" applyAlignment="1" applyProtection="1"/>
    <xf numFmtId="0" fontId="58" fillId="7" borderId="0" xfId="0" applyFont="1" applyFill="1" applyAlignment="1" applyProtection="1">
      <alignment horizontal="center"/>
    </xf>
    <xf numFmtId="0" fontId="38" fillId="9" borderId="53" xfId="0" applyNumberFormat="1" applyFont="1" applyFill="1" applyBorder="1" applyAlignment="1" applyProtection="1">
      <alignment horizontal="center" vertical="center" wrapText="1"/>
    </xf>
    <xf numFmtId="49" fontId="22" fillId="2" borderId="38" xfId="0" applyNumberFormat="1" applyFont="1" applyFill="1" applyBorder="1" applyAlignment="1" applyProtection="1">
      <alignment horizontal="center" vertic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167" fontId="22" fillId="0" borderId="103" xfId="0" applyNumberFormat="1" applyFont="1" applyFill="1" applyBorder="1" applyAlignment="1" applyProtection="1">
      <alignment horizontal="left" vertical="center"/>
      <protection hidden="1"/>
    </xf>
    <xf numFmtId="167" fontId="22" fillId="0" borderId="103" xfId="0" applyNumberFormat="1" applyFont="1" applyFill="1" applyBorder="1" applyAlignment="1" applyProtection="1">
      <alignment horizontal="right" vertical="center"/>
      <protection hidden="1"/>
    </xf>
    <xf numFmtId="0" fontId="22" fillId="7" borderId="38" xfId="0" applyFont="1" applyFill="1" applyBorder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hidden="1"/>
    </xf>
    <xf numFmtId="49" fontId="22" fillId="7" borderId="0" xfId="0" applyNumberFormat="1" applyFont="1" applyFill="1" applyBorder="1" applyAlignment="1" applyProtection="1">
      <alignment horizontal="left" vertical="center"/>
    </xf>
    <xf numFmtId="167" fontId="22" fillId="7" borderId="0" xfId="0" applyNumberFormat="1" applyFont="1" applyFill="1" applyBorder="1" applyAlignment="1" applyProtection="1">
      <alignment horizontal="right" vertical="center"/>
    </xf>
    <xf numFmtId="49" fontId="22" fillId="7" borderId="0" xfId="0" applyNumberFormat="1" applyFont="1" applyFill="1" applyBorder="1" applyAlignment="1" applyProtection="1">
      <alignment horizontal="center" vertical="center"/>
    </xf>
    <xf numFmtId="0" fontId="52" fillId="7" borderId="0" xfId="0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horizontal="left" vertical="center"/>
    </xf>
    <xf numFmtId="49" fontId="22" fillId="7" borderId="0" xfId="0" applyNumberFormat="1" applyFont="1" applyFill="1" applyBorder="1" applyAlignment="1" applyProtection="1">
      <alignment horizontal="left" indent="1"/>
    </xf>
    <xf numFmtId="49" fontId="22" fillId="7" borderId="0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 indent="1"/>
    </xf>
    <xf numFmtId="167" fontId="58" fillId="7" borderId="0" xfId="0" applyNumberFormat="1" applyFont="1" applyFill="1" applyBorder="1" applyAlignment="1" applyProtection="1">
      <alignment horizontal="right"/>
    </xf>
    <xf numFmtId="167" fontId="58" fillId="7" borderId="0" xfId="0" applyNumberFormat="1" applyFont="1" applyFill="1" applyBorder="1" applyAlignment="1" applyProtection="1">
      <alignment horizontal="center"/>
    </xf>
    <xf numFmtId="49" fontId="22" fillId="7" borderId="0" xfId="0" applyNumberFormat="1" applyFont="1" applyFill="1" applyBorder="1" applyAlignment="1" applyProtection="1"/>
    <xf numFmtId="0" fontId="61" fillId="7" borderId="0" xfId="0" applyFont="1" applyFill="1" applyBorder="1" applyAlignment="1" applyProtection="1">
      <alignment vertical="center"/>
    </xf>
    <xf numFmtId="49" fontId="22" fillId="0" borderId="0" xfId="0" applyNumberFormat="1" applyFont="1" applyFill="1" applyBorder="1" applyAlignment="1" applyProtection="1"/>
    <xf numFmtId="0" fontId="22" fillId="7" borderId="0" xfId="0" applyFont="1" applyFill="1" applyAlignment="1" applyProtection="1">
      <alignment vertical="center" wrapText="1"/>
      <protection locked="0"/>
    </xf>
    <xf numFmtId="0" fontId="58" fillId="7" borderId="0" xfId="0" applyFont="1" applyFill="1" applyAlignment="1" applyProtection="1">
      <alignment vertical="center" wrapText="1"/>
    </xf>
    <xf numFmtId="0" fontId="38" fillId="9" borderId="53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Protection="1"/>
    <xf numFmtId="0" fontId="38" fillId="9" borderId="53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indent="1"/>
    </xf>
    <xf numFmtId="1" fontId="22" fillId="2" borderId="57" xfId="0" applyNumberFormat="1" applyFont="1" applyFill="1" applyBorder="1" applyAlignment="1" applyProtection="1">
      <alignment horizontal="center" vertical="center"/>
    </xf>
    <xf numFmtId="3" fontId="22" fillId="0" borderId="47" xfId="0" applyNumberFormat="1" applyFont="1" applyFill="1" applyBorder="1" applyAlignment="1" applyProtection="1">
      <alignment horizontal="right" vertical="center" indent="1"/>
    </xf>
    <xf numFmtId="3" fontId="22" fillId="0" borderId="49" xfId="0" applyNumberFormat="1" applyFont="1" applyFill="1" applyBorder="1" applyAlignment="1" applyProtection="1">
      <alignment horizontal="right" vertical="center" indent="1"/>
    </xf>
    <xf numFmtId="3" fontId="22" fillId="0" borderId="48" xfId="0" applyNumberFormat="1" applyFont="1" applyFill="1" applyBorder="1" applyAlignment="1" applyProtection="1">
      <alignment horizontal="right" vertical="center" indent="1"/>
    </xf>
    <xf numFmtId="0" fontId="4" fillId="0" borderId="0" xfId="0" applyFont="1" applyFill="1"/>
    <xf numFmtId="0" fontId="34" fillId="7" borderId="0" xfId="0" applyFont="1" applyFill="1" applyAlignment="1" applyProtection="1">
      <alignment vertical="center"/>
      <protection hidden="1"/>
    </xf>
    <xf numFmtId="0" fontId="22" fillId="7" borderId="0" xfId="0" applyFont="1" applyFill="1" applyAlignment="1" applyProtection="1">
      <protection hidden="1"/>
    </xf>
    <xf numFmtId="0" fontId="52" fillId="7" borderId="0" xfId="0" applyFont="1" applyFill="1" applyAlignment="1" applyProtection="1"/>
    <xf numFmtId="0" fontId="43" fillId="0" borderId="0" xfId="0" applyFont="1" applyFill="1" applyBorder="1" applyAlignment="1" applyProtection="1"/>
    <xf numFmtId="0" fontId="61" fillId="7" borderId="0" xfId="0" applyFont="1" applyFill="1" applyAlignment="1" applyProtection="1"/>
    <xf numFmtId="0" fontId="58" fillId="7" borderId="0" xfId="0" applyFont="1" applyFill="1" applyProtection="1">
      <protection hidden="1"/>
    </xf>
    <xf numFmtId="0" fontId="34" fillId="7" borderId="0" xfId="0" applyFont="1" applyFill="1" applyBorder="1" applyProtection="1"/>
    <xf numFmtId="0" fontId="49" fillId="7" borderId="0" xfId="0" applyFont="1" applyFill="1" applyBorder="1" applyProtection="1"/>
    <xf numFmtId="0" fontId="34" fillId="7" borderId="0" xfId="0" applyFont="1" applyFill="1" applyBorder="1" applyProtection="1">
      <protection hidden="1"/>
    </xf>
    <xf numFmtId="0" fontId="49" fillId="7" borderId="0" xfId="0" applyFont="1" applyFill="1" applyBorder="1" applyProtection="1">
      <protection hidden="1"/>
    </xf>
    <xf numFmtId="0" fontId="34" fillId="7" borderId="0" xfId="0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22" fillId="7" borderId="117" xfId="0" applyFont="1" applyFill="1" applyBorder="1" applyProtection="1">
      <protection hidden="1"/>
    </xf>
    <xf numFmtId="0" fontId="58" fillId="0" borderId="107" xfId="0" applyFont="1" applyFill="1" applyBorder="1" applyAlignment="1" applyProtection="1">
      <alignment horizontal="center"/>
      <protection hidden="1"/>
    </xf>
    <xf numFmtId="0" fontId="22" fillId="0" borderId="62" xfId="0" applyFont="1" applyFill="1" applyBorder="1" applyAlignment="1" applyProtection="1">
      <alignment horizontal="center"/>
      <protection hidden="1"/>
    </xf>
    <xf numFmtId="0" fontId="22" fillId="7" borderId="62" xfId="0" applyFont="1" applyFill="1" applyBorder="1" applyAlignment="1" applyProtection="1">
      <alignment horizontal="center"/>
      <protection hidden="1"/>
    </xf>
    <xf numFmtId="0" fontId="58" fillId="7" borderId="62" xfId="0" applyFont="1" applyFill="1" applyBorder="1" applyAlignment="1" applyProtection="1">
      <alignment horizontal="center"/>
      <protection hidden="1"/>
    </xf>
    <xf numFmtId="0" fontId="58" fillId="7" borderId="108" xfId="0" applyFont="1" applyFill="1" applyBorder="1" applyAlignment="1" applyProtection="1">
      <alignment horizontal="center"/>
      <protection hidden="1"/>
    </xf>
    <xf numFmtId="0" fontId="49" fillId="7" borderId="75" xfId="0" applyFont="1" applyFill="1" applyBorder="1" applyAlignment="1" applyProtection="1">
      <alignment horizontal="left"/>
      <protection hidden="1"/>
    </xf>
    <xf numFmtId="0" fontId="49" fillId="7" borderId="75" xfId="0" applyFont="1" applyFill="1" applyBorder="1" applyProtection="1">
      <protection hidden="1"/>
    </xf>
    <xf numFmtId="0" fontId="34" fillId="7" borderId="75" xfId="0" applyFont="1" applyFill="1" applyBorder="1" applyProtection="1">
      <protection hidden="1"/>
    </xf>
    <xf numFmtId="0" fontId="49" fillId="7" borderId="114" xfId="0" applyFont="1" applyFill="1" applyBorder="1" applyAlignment="1" applyProtection="1">
      <alignment horizontal="left"/>
      <protection hidden="1"/>
    </xf>
    <xf numFmtId="0" fontId="34" fillId="6" borderId="75" xfId="0" applyFont="1" applyFill="1" applyBorder="1" applyProtection="1">
      <protection hidden="1"/>
    </xf>
    <xf numFmtId="0" fontId="34" fillId="6" borderId="88" xfId="0" applyFont="1" applyFill="1" applyBorder="1" applyProtection="1">
      <protection hidden="1"/>
    </xf>
    <xf numFmtId="0" fontId="22" fillId="0" borderId="0" xfId="0" applyFont="1" applyFill="1" applyBorder="1" applyAlignment="1" applyProtection="1">
      <alignment horizontal="right"/>
      <protection hidden="1"/>
    </xf>
    <xf numFmtId="0" fontId="52" fillId="3" borderId="7" xfId="0" applyNumberFormat="1" applyFont="1" applyFill="1" applyBorder="1" applyAlignment="1" applyProtection="1">
      <alignment horizontal="center" vertical="center"/>
      <protection hidden="1"/>
    </xf>
    <xf numFmtId="0" fontId="52" fillId="3" borderId="29" xfId="0" applyNumberFormat="1" applyFont="1" applyFill="1" applyBorder="1" applyAlignment="1" applyProtection="1">
      <alignment horizontal="center" vertical="center"/>
      <protection hidden="1"/>
    </xf>
    <xf numFmtId="0" fontId="52" fillId="7" borderId="7" xfId="0" applyNumberFormat="1" applyFont="1" applyFill="1" applyBorder="1" applyAlignment="1" applyProtection="1">
      <alignment horizontal="center" vertical="center"/>
      <protection hidden="1"/>
    </xf>
    <xf numFmtId="0" fontId="52" fillId="7" borderId="33" xfId="0" applyNumberFormat="1" applyFont="1" applyFill="1" applyBorder="1" applyAlignment="1" applyProtection="1">
      <alignment horizontal="center" vertical="center"/>
      <protection hidden="1"/>
    </xf>
    <xf numFmtId="0" fontId="34" fillId="7" borderId="116" xfId="0" applyFont="1" applyFill="1" applyBorder="1" applyProtection="1">
      <protection hidden="1"/>
    </xf>
    <xf numFmtId="0" fontId="34" fillId="6" borderId="0" xfId="0" applyFont="1" applyFill="1" applyBorder="1" applyProtection="1">
      <protection hidden="1"/>
    </xf>
    <xf numFmtId="0" fontId="34" fillId="6" borderId="30" xfId="0" applyFont="1" applyFill="1" applyBorder="1" applyProtection="1">
      <protection hidden="1"/>
    </xf>
    <xf numFmtId="167" fontId="58" fillId="0" borderId="23" xfId="0" applyNumberFormat="1" applyFont="1" applyFill="1" applyBorder="1" applyProtection="1">
      <protection hidden="1"/>
    </xf>
    <xf numFmtId="0" fontId="22" fillId="0" borderId="3" xfId="0" applyFont="1" applyBorder="1" applyProtection="1">
      <protection hidden="1"/>
    </xf>
    <xf numFmtId="167" fontId="58" fillId="7" borderId="3" xfId="0" applyNumberFormat="1" applyFont="1" applyFill="1" applyBorder="1" applyProtection="1">
      <protection hidden="1"/>
    </xf>
    <xf numFmtId="167" fontId="58" fillId="7" borderId="35" xfId="0" applyNumberFormat="1" applyFont="1" applyFill="1" applyBorder="1" applyProtection="1">
      <protection hidden="1"/>
    </xf>
    <xf numFmtId="1" fontId="22" fillId="7" borderId="37" xfId="0" applyNumberFormat="1" applyFont="1" applyFill="1" applyBorder="1" applyAlignment="1" applyProtection="1">
      <alignment horizontal="center"/>
      <protection hidden="1"/>
    </xf>
    <xf numFmtId="1" fontId="22" fillId="7" borderId="11" xfId="0" applyNumberFormat="1" applyFont="1" applyFill="1" applyBorder="1" applyAlignment="1" applyProtection="1">
      <alignment horizontal="center"/>
      <protection hidden="1"/>
    </xf>
    <xf numFmtId="1" fontId="22" fillId="7" borderId="52" xfId="0" applyNumberFormat="1" applyFont="1" applyFill="1" applyBorder="1" applyAlignment="1" applyProtection="1">
      <alignment horizontal="center"/>
      <protection hidden="1"/>
    </xf>
    <xf numFmtId="1" fontId="22" fillId="7" borderId="115" xfId="0" applyNumberFormat="1" applyFont="1" applyFill="1" applyBorder="1" applyAlignment="1" applyProtection="1">
      <alignment horizontal="center"/>
      <protection hidden="1"/>
    </xf>
    <xf numFmtId="1" fontId="22" fillId="0" borderId="11" xfId="0" applyNumberFormat="1" applyFont="1" applyFill="1" applyBorder="1" applyAlignment="1" applyProtection="1">
      <alignment horizontal="center"/>
      <protection hidden="1"/>
    </xf>
    <xf numFmtId="167" fontId="22" fillId="0" borderId="22" xfId="0" applyNumberFormat="1" applyFont="1" applyFill="1" applyBorder="1" applyProtection="1">
      <protection hidden="1"/>
    </xf>
    <xf numFmtId="167" fontId="22" fillId="0" borderId="1" xfId="0" applyNumberFormat="1" applyFont="1" applyFill="1" applyBorder="1" applyProtection="1">
      <protection hidden="1"/>
    </xf>
    <xf numFmtId="167" fontId="22" fillId="7" borderId="1" xfId="0" applyNumberFormat="1" applyFont="1" applyFill="1" applyBorder="1" applyProtection="1">
      <protection hidden="1"/>
    </xf>
    <xf numFmtId="167" fontId="22" fillId="7" borderId="34" xfId="0" applyNumberFormat="1" applyFont="1" applyFill="1" applyBorder="1" applyProtection="1">
      <protection hidden="1"/>
    </xf>
    <xf numFmtId="1" fontId="22" fillId="7" borderId="30" xfId="0" applyNumberFormat="1" applyFont="1" applyFill="1" applyBorder="1" applyProtection="1">
      <protection hidden="1"/>
    </xf>
    <xf numFmtId="1" fontId="22" fillId="7" borderId="1" xfId="0" applyNumberFormat="1" applyFont="1" applyFill="1" applyBorder="1" applyProtection="1">
      <protection hidden="1"/>
    </xf>
    <xf numFmtId="1" fontId="22" fillId="7" borderId="19" xfId="0" applyNumberFormat="1" applyFont="1" applyFill="1" applyBorder="1" applyProtection="1">
      <protection hidden="1"/>
    </xf>
    <xf numFmtId="1" fontId="22" fillId="0" borderId="52" xfId="0" applyNumberFormat="1" applyFont="1" applyFill="1" applyBorder="1" applyAlignment="1" applyProtection="1">
      <alignment horizontal="center"/>
      <protection hidden="1"/>
    </xf>
    <xf numFmtId="1" fontId="22" fillId="7" borderId="119" xfId="0" applyNumberFormat="1" applyFont="1" applyFill="1" applyBorder="1" applyProtection="1">
      <protection hidden="1"/>
    </xf>
    <xf numFmtId="1" fontId="22" fillId="0" borderId="1" xfId="0" applyNumberFormat="1" applyFont="1" applyFill="1" applyBorder="1" applyProtection="1">
      <protection hidden="1"/>
    </xf>
    <xf numFmtId="1" fontId="22" fillId="0" borderId="19" xfId="0" applyNumberFormat="1" applyFont="1" applyFill="1" applyBorder="1" applyProtection="1">
      <protection hidden="1"/>
    </xf>
    <xf numFmtId="167" fontId="22" fillId="0" borderId="94" xfId="0" applyNumberFormat="1" applyFont="1" applyFill="1" applyBorder="1" applyProtection="1">
      <protection hidden="1"/>
    </xf>
    <xf numFmtId="167" fontId="22" fillId="0" borderId="16" xfId="0" applyNumberFormat="1" applyFont="1" applyFill="1" applyBorder="1" applyProtection="1">
      <protection hidden="1"/>
    </xf>
    <xf numFmtId="167" fontId="22" fillId="7" borderId="16" xfId="0" applyNumberFormat="1" applyFont="1" applyFill="1" applyBorder="1" applyProtection="1">
      <protection hidden="1"/>
    </xf>
    <xf numFmtId="167" fontId="22" fillId="7" borderId="95" xfId="0" applyNumberFormat="1" applyFont="1" applyFill="1" applyBorder="1" applyProtection="1">
      <protection hidden="1"/>
    </xf>
    <xf numFmtId="1" fontId="22" fillId="7" borderId="0" xfId="0" applyNumberFormat="1" applyFont="1" applyFill="1" applyBorder="1" applyProtection="1">
      <protection hidden="1"/>
    </xf>
    <xf numFmtId="167" fontId="22" fillId="0" borderId="89" xfId="0" applyNumberFormat="1" applyFont="1" applyFill="1" applyBorder="1" applyAlignment="1" applyProtection="1">
      <alignment horizontal="right"/>
      <protection hidden="1"/>
    </xf>
    <xf numFmtId="167" fontId="22" fillId="0" borderId="43" xfId="0" applyNumberFormat="1" applyFont="1" applyFill="1" applyBorder="1" applyAlignment="1" applyProtection="1">
      <alignment horizontal="right"/>
      <protection hidden="1"/>
    </xf>
    <xf numFmtId="167" fontId="22" fillId="7" borderId="43" xfId="0" applyNumberFormat="1" applyFont="1" applyFill="1" applyBorder="1" applyAlignment="1" applyProtection="1">
      <alignment horizontal="right"/>
      <protection hidden="1"/>
    </xf>
    <xf numFmtId="167" fontId="22" fillId="7" borderId="90" xfId="0" applyNumberFormat="1" applyFont="1" applyFill="1" applyBorder="1" applyAlignment="1" applyProtection="1">
      <alignment horizontal="right"/>
      <protection hidden="1"/>
    </xf>
    <xf numFmtId="1" fontId="22" fillId="7" borderId="37" xfId="0" applyNumberFormat="1" applyFont="1" applyFill="1" applyBorder="1" applyProtection="1">
      <protection hidden="1"/>
    </xf>
    <xf numFmtId="1" fontId="22" fillId="7" borderId="11" xfId="0" applyNumberFormat="1" applyFont="1" applyFill="1" applyBorder="1" applyProtection="1">
      <protection hidden="1"/>
    </xf>
    <xf numFmtId="1" fontId="22" fillId="7" borderId="52" xfId="0" applyNumberFormat="1" applyFont="1" applyFill="1" applyBorder="1" applyProtection="1">
      <protection hidden="1"/>
    </xf>
    <xf numFmtId="1" fontId="22" fillId="7" borderId="115" xfId="0" applyNumberFormat="1" applyFont="1" applyFill="1" applyBorder="1" applyProtection="1">
      <protection hidden="1"/>
    </xf>
    <xf numFmtId="1" fontId="22" fillId="0" borderId="11" xfId="0" applyNumberFormat="1" applyFont="1" applyFill="1" applyBorder="1" applyProtection="1">
      <protection hidden="1"/>
    </xf>
    <xf numFmtId="167" fontId="22" fillId="0" borderId="9" xfId="0" applyNumberFormat="1" applyFont="1" applyFill="1" applyBorder="1" applyAlignment="1" applyProtection="1">
      <alignment horizontal="right"/>
      <protection hidden="1"/>
    </xf>
    <xf numFmtId="167" fontId="22" fillId="0" borderId="32" xfId="0" applyNumberFormat="1" applyFont="1" applyFill="1" applyBorder="1" applyAlignment="1" applyProtection="1">
      <alignment horizontal="right"/>
      <protection hidden="1"/>
    </xf>
    <xf numFmtId="167" fontId="22" fillId="7" borderId="9" xfId="0" applyNumberFormat="1" applyFont="1" applyFill="1" applyBorder="1" applyAlignment="1" applyProtection="1">
      <alignment horizontal="right"/>
      <protection hidden="1"/>
    </xf>
    <xf numFmtId="167" fontId="22" fillId="7" borderId="36" xfId="0" applyNumberFormat="1" applyFont="1" applyFill="1" applyBorder="1" applyAlignment="1" applyProtection="1">
      <alignment horizontal="right"/>
      <protection hidden="1"/>
    </xf>
    <xf numFmtId="1" fontId="22" fillId="7" borderId="88" xfId="0" applyNumberFormat="1" applyFont="1" applyFill="1" applyBorder="1" applyAlignment="1" applyProtection="1">
      <alignment vertical="center"/>
      <protection hidden="1"/>
    </xf>
    <xf numFmtId="1" fontId="22" fillId="7" borderId="40" xfId="0" applyNumberFormat="1" applyFont="1" applyFill="1" applyBorder="1" applyProtection="1">
      <protection hidden="1"/>
    </xf>
    <xf numFmtId="1" fontId="22" fillId="7" borderId="118" xfId="0" applyNumberFormat="1" applyFont="1" applyFill="1" applyBorder="1" applyProtection="1">
      <protection hidden="1"/>
    </xf>
    <xf numFmtId="1" fontId="22" fillId="7" borderId="120" xfId="0" applyNumberFormat="1" applyFont="1" applyFill="1" applyBorder="1" applyAlignment="1" applyProtection="1">
      <alignment vertical="center"/>
      <protection hidden="1"/>
    </xf>
    <xf numFmtId="1" fontId="22" fillId="0" borderId="40" xfId="0" applyNumberFormat="1" applyFont="1" applyFill="1" applyBorder="1" applyProtection="1">
      <protection hidden="1"/>
    </xf>
    <xf numFmtId="1" fontId="22" fillId="7" borderId="64" xfId="0" applyNumberFormat="1" applyFont="1" applyFill="1" applyBorder="1" applyProtection="1">
      <protection hidden="1"/>
    </xf>
    <xf numFmtId="1" fontId="22" fillId="7" borderId="112" xfId="0" applyNumberFormat="1" applyFont="1" applyFill="1" applyBorder="1" applyProtection="1">
      <protection hidden="1"/>
    </xf>
    <xf numFmtId="1" fontId="22" fillId="7" borderId="0" xfId="0" applyNumberFormat="1" applyFont="1" applyFill="1" applyProtection="1">
      <protection hidden="1"/>
    </xf>
    <xf numFmtId="0" fontId="52" fillId="7" borderId="0" xfId="0" applyFont="1" applyFill="1" applyProtection="1">
      <protection hidden="1"/>
    </xf>
    <xf numFmtId="1" fontId="22" fillId="7" borderId="121" xfId="0" applyNumberFormat="1" applyFont="1" applyFill="1" applyBorder="1" applyProtection="1">
      <protection hidden="1"/>
    </xf>
    <xf numFmtId="1" fontId="22" fillId="0" borderId="64" xfId="0" applyNumberFormat="1" applyFont="1" applyFill="1" applyBorder="1" applyProtection="1">
      <protection hidden="1"/>
    </xf>
    <xf numFmtId="1" fontId="22" fillId="0" borderId="63" xfId="0" applyNumberFormat="1" applyFont="1" applyFill="1" applyBorder="1" applyProtection="1">
      <protection hidden="1"/>
    </xf>
    <xf numFmtId="0" fontId="34" fillId="6" borderId="11" xfId="0" applyFont="1" applyFill="1" applyBorder="1" applyAlignment="1" applyProtection="1">
      <alignment horizontal="center" vertical="center"/>
      <protection hidden="1"/>
    </xf>
    <xf numFmtId="0" fontId="34" fillId="7" borderId="11" xfId="0" applyFont="1" applyFill="1" applyBorder="1" applyAlignment="1" applyProtection="1">
      <alignment horizontal="center" vertical="center"/>
      <protection hidden="1"/>
    </xf>
    <xf numFmtId="3" fontId="22" fillId="0" borderId="11" xfId="0" applyNumberFormat="1" applyFont="1" applyFill="1" applyBorder="1" applyProtection="1">
      <protection hidden="1"/>
    </xf>
    <xf numFmtId="3" fontId="22" fillId="7" borderId="11" xfId="0" applyNumberFormat="1" applyFont="1" applyFill="1" applyBorder="1" applyProtection="1">
      <protection hidden="1"/>
    </xf>
    <xf numFmtId="167" fontId="22" fillId="0" borderId="0" xfId="0" applyNumberFormat="1" applyFont="1" applyFill="1" applyBorder="1" applyAlignment="1" applyProtection="1">
      <alignment vertical="center"/>
      <protection hidden="1"/>
    </xf>
    <xf numFmtId="3" fontId="34" fillId="6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53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Border="1" applyAlignment="1" applyProtection="1">
      <protection hidden="1"/>
    </xf>
    <xf numFmtId="0" fontId="22" fillId="7" borderId="0" xfId="0" applyFont="1" applyFill="1" applyBorder="1" applyAlignment="1" applyProtection="1">
      <alignment vertical="center"/>
      <protection hidden="1"/>
    </xf>
    <xf numFmtId="167" fontId="22" fillId="7" borderId="0" xfId="0" applyNumberFormat="1" applyFont="1" applyFill="1" applyBorder="1" applyProtection="1">
      <protection hidden="1"/>
    </xf>
    <xf numFmtId="0" fontId="52" fillId="7" borderId="0" xfId="0" applyFont="1" applyFill="1" applyBorder="1" applyAlignment="1" applyProtection="1">
      <protection hidden="1"/>
    </xf>
    <xf numFmtId="167" fontId="22" fillId="0" borderId="0" xfId="0" applyNumberFormat="1" applyFont="1" applyFill="1" applyProtection="1">
      <protection hidden="1"/>
    </xf>
    <xf numFmtId="0" fontId="22" fillId="8" borderId="11" xfId="0" applyFont="1" applyFill="1" applyBorder="1" applyProtection="1">
      <protection hidden="1"/>
    </xf>
    <xf numFmtId="0" fontId="22" fillId="0" borderId="0" xfId="0" applyFont="1" applyFill="1" applyBorder="1" applyAlignment="1" applyProtection="1">
      <protection hidden="1"/>
    </xf>
    <xf numFmtId="0" fontId="22" fillId="7" borderId="0" xfId="0" quotePrefix="1" applyFont="1" applyFill="1" applyProtection="1">
      <protection hidden="1"/>
    </xf>
    <xf numFmtId="0" fontId="34" fillId="0" borderId="0" xfId="9" applyFont="1" applyFill="1" applyBorder="1" applyAlignment="1" applyProtection="1">
      <alignment vertical="top"/>
    </xf>
    <xf numFmtId="0" fontId="42" fillId="0" borderId="0" xfId="0" applyFont="1" applyFill="1" applyAlignment="1" applyProtection="1">
      <alignment vertical="top"/>
    </xf>
    <xf numFmtId="0" fontId="34" fillId="0" borderId="0" xfId="0" applyFont="1" applyFill="1" applyAlignment="1" applyProtection="1">
      <alignment horizontal="center" vertical="center"/>
    </xf>
    <xf numFmtId="0" fontId="25" fillId="7" borderId="0" xfId="0" applyFont="1" applyFill="1" applyProtection="1">
      <protection hidden="1"/>
    </xf>
    <xf numFmtId="0" fontId="25" fillId="0" borderId="0" xfId="0" applyFont="1" applyFill="1" applyProtection="1">
      <protection hidden="1"/>
    </xf>
    <xf numFmtId="168" fontId="25" fillId="7" borderId="0" xfId="4" applyNumberFormat="1" applyFont="1" applyFill="1" applyAlignment="1" applyProtection="1">
      <alignment horizontal="right" indent="1"/>
      <protection hidden="1"/>
    </xf>
    <xf numFmtId="0" fontId="25" fillId="0" borderId="0" xfId="0" applyFont="1" applyFill="1" applyAlignment="1" applyProtection="1">
      <alignment horizontal="center"/>
      <protection hidden="1"/>
    </xf>
    <xf numFmtId="0" fontId="25" fillId="7" borderId="0" xfId="0" applyFont="1" applyFill="1" applyProtection="1">
      <protection locked="0"/>
    </xf>
    <xf numFmtId="0" fontId="25" fillId="7" borderId="0" xfId="0" applyFont="1" applyFill="1" applyAlignment="1" applyProtection="1">
      <alignment horizontal="center"/>
      <protection hidden="1"/>
    </xf>
    <xf numFmtId="0" fontId="36" fillId="7" borderId="0" xfId="0" applyFont="1" applyFill="1" applyAlignment="1" applyProtection="1">
      <alignment vertical="center"/>
    </xf>
    <xf numFmtId="0" fontId="36" fillId="7" borderId="0" xfId="0" applyFont="1" applyFill="1" applyAlignment="1" applyProtection="1">
      <alignment vertical="center"/>
      <protection hidden="1"/>
    </xf>
    <xf numFmtId="0" fontId="36" fillId="7" borderId="0" xfId="0" applyFont="1" applyFill="1" applyAlignment="1" applyProtection="1">
      <alignment vertical="center"/>
      <protection locked="0"/>
    </xf>
    <xf numFmtId="168" fontId="25" fillId="7" borderId="0" xfId="4" applyNumberFormat="1" applyFont="1" applyFill="1" applyAlignment="1" applyProtection="1">
      <alignment horizontal="center"/>
      <protection hidden="1"/>
    </xf>
    <xf numFmtId="0" fontId="35" fillId="7" borderId="0" xfId="0" applyFont="1" applyFill="1" applyProtection="1">
      <protection hidden="1"/>
    </xf>
    <xf numFmtId="0" fontId="38" fillId="9" borderId="60" xfId="0" applyNumberFormat="1" applyFont="1" applyFill="1" applyBorder="1" applyAlignment="1" applyProtection="1">
      <alignment horizontal="center"/>
    </xf>
    <xf numFmtId="0" fontId="38" fillId="7" borderId="0" xfId="0" applyNumberFormat="1" applyFont="1" applyFill="1" applyBorder="1" applyAlignment="1" applyProtection="1">
      <alignment horizontal="center"/>
    </xf>
    <xf numFmtId="0" fontId="25" fillId="7" borderId="0" xfId="0" applyFont="1" applyFill="1" applyProtection="1">
      <protection locked="0" hidden="1"/>
    </xf>
    <xf numFmtId="0" fontId="36" fillId="7" borderId="0" xfId="0" applyFont="1" applyFill="1" applyProtection="1"/>
    <xf numFmtId="0" fontId="36" fillId="7" borderId="0" xfId="0" applyFont="1" applyFill="1" applyProtection="1">
      <protection hidden="1"/>
    </xf>
    <xf numFmtId="0" fontId="36" fillId="7" borderId="0" xfId="0" applyFont="1" applyFill="1" applyProtection="1">
      <protection locked="0"/>
    </xf>
    <xf numFmtId="0" fontId="38" fillId="9" borderId="63" xfId="0" applyNumberFormat="1" applyFont="1" applyFill="1" applyBorder="1" applyAlignment="1" applyProtection="1">
      <alignment horizontal="center"/>
    </xf>
    <xf numFmtId="0" fontId="22" fillId="0" borderId="41" xfId="0" applyFont="1" applyFill="1" applyBorder="1" applyAlignment="1" applyProtection="1">
      <alignment vertical="center"/>
    </xf>
    <xf numFmtId="0" fontId="22" fillId="0" borderId="47" xfId="0" applyFont="1" applyFill="1" applyBorder="1" applyAlignment="1" applyProtection="1"/>
    <xf numFmtId="0" fontId="29" fillId="7" borderId="0" xfId="1" applyFont="1" applyFill="1" applyBorder="1" applyAlignment="1" applyProtection="1">
      <alignment vertical="center"/>
      <protection locked="0"/>
    </xf>
    <xf numFmtId="0" fontId="4" fillId="7" borderId="0" xfId="0" applyFont="1" applyFill="1" applyProtection="1"/>
    <xf numFmtId="0" fontId="4" fillId="7" borderId="0" xfId="0" applyFont="1" applyFill="1" applyAlignment="1" applyProtection="1">
      <alignment horizontal="center"/>
    </xf>
    <xf numFmtId="0" fontId="4" fillId="7" borderId="0" xfId="0" applyFont="1" applyFill="1" applyProtection="1">
      <protection hidden="1"/>
    </xf>
    <xf numFmtId="38" fontId="4" fillId="7" borderId="0" xfId="0" applyNumberFormat="1" applyFont="1" applyFill="1" applyProtection="1"/>
    <xf numFmtId="0" fontId="4" fillId="7" borderId="0" xfId="0" applyFont="1" applyFill="1" applyAlignment="1">
      <alignment horizontal="left"/>
    </xf>
    <xf numFmtId="0" fontId="34" fillId="7" borderId="0" xfId="0" applyFont="1" applyFill="1" applyAlignment="1" applyProtection="1">
      <alignment horizontal="center"/>
      <protection hidden="1"/>
    </xf>
    <xf numFmtId="0" fontId="31" fillId="7" borderId="0" xfId="0" applyFont="1" applyFill="1" applyAlignment="1" applyProtection="1">
      <alignment horizontal="left" vertical="center"/>
    </xf>
    <xf numFmtId="0" fontId="25" fillId="7" borderId="0" xfId="0" applyFont="1" applyFill="1" applyAlignment="1" applyProtection="1">
      <alignment vertical="center"/>
    </xf>
    <xf numFmtId="3" fontId="34" fillId="7" borderId="0" xfId="0" applyNumberFormat="1" applyFont="1" applyFill="1" applyAlignment="1" applyProtection="1">
      <alignment horizontal="right" vertical="center"/>
    </xf>
    <xf numFmtId="3" fontId="62" fillId="7" borderId="0" xfId="1" applyNumberFormat="1" applyFont="1" applyFill="1" applyAlignment="1" applyProtection="1">
      <alignment horizontal="right" vertical="center"/>
    </xf>
    <xf numFmtId="3" fontId="28" fillId="14" borderId="0" xfId="0" applyNumberFormat="1" applyFont="1" applyFill="1" applyAlignment="1" applyProtection="1">
      <alignment horizontal="right" vertical="center" indent="1"/>
    </xf>
    <xf numFmtId="3" fontId="30" fillId="14" borderId="0" xfId="0" applyNumberFormat="1" applyFont="1" applyFill="1" applyAlignment="1" applyProtection="1">
      <alignment horizontal="right" vertical="center" indent="1"/>
    </xf>
    <xf numFmtId="170" fontId="5" fillId="14" borderId="131" xfId="0" applyNumberFormat="1" applyFont="1" applyFill="1" applyBorder="1" applyAlignment="1" applyProtection="1">
      <alignment horizontal="center" vertical="center"/>
      <protection locked="0"/>
    </xf>
    <xf numFmtId="3" fontId="30" fillId="14" borderId="0" xfId="0" applyNumberFormat="1" applyFont="1" applyFill="1" applyAlignment="1" applyProtection="1">
      <alignment horizontal="left" vertical="center" indent="1"/>
    </xf>
    <xf numFmtId="0" fontId="28" fillId="14" borderId="0" xfId="0" applyFont="1" applyFill="1" applyAlignment="1" applyProtection="1">
      <alignment vertical="center"/>
    </xf>
    <xf numFmtId="0" fontId="47" fillId="14" borderId="0" xfId="0" applyFont="1" applyFill="1" applyAlignment="1" applyProtection="1">
      <alignment horizontal="right" vertical="center" indent="1"/>
    </xf>
    <xf numFmtId="170" fontId="47" fillId="7" borderId="0" xfId="0" applyNumberFormat="1" applyFont="1" applyFill="1" applyAlignment="1" applyProtection="1">
      <alignment horizontal="right" indent="1"/>
    </xf>
    <xf numFmtId="9" fontId="34" fillId="7" borderId="0" xfId="0" applyNumberFormat="1" applyFont="1" applyFill="1" applyAlignment="1" applyProtection="1">
      <alignment vertical="top"/>
    </xf>
    <xf numFmtId="3" fontId="22" fillId="7" borderId="0" xfId="0" applyNumberFormat="1" applyFont="1" applyFill="1" applyAlignment="1" applyProtection="1">
      <alignment horizontal="right" vertical="top"/>
    </xf>
    <xf numFmtId="3" fontId="45" fillId="7" borderId="0" xfId="1" applyNumberFormat="1" applyFont="1" applyFill="1" applyAlignment="1" applyProtection="1">
      <alignment horizontal="right" vertical="top"/>
    </xf>
    <xf numFmtId="3" fontId="22" fillId="7" borderId="0" xfId="0" applyNumberFormat="1" applyFont="1" applyFill="1" applyAlignment="1" applyProtection="1">
      <alignment horizontal="left" vertical="top"/>
    </xf>
    <xf numFmtId="3" fontId="22" fillId="7" borderId="0" xfId="0" applyNumberFormat="1" applyFont="1" applyFill="1" applyAlignment="1" applyProtection="1">
      <alignment horizontal="right" vertical="center"/>
    </xf>
    <xf numFmtId="0" fontId="43" fillId="7" borderId="0" xfId="0" applyFont="1" applyFill="1" applyAlignment="1" applyProtection="1">
      <alignment vertical="center"/>
    </xf>
    <xf numFmtId="0" fontId="22" fillId="7" borderId="0" xfId="0" applyFont="1" applyFill="1" applyBorder="1" applyAlignment="1" applyProtection="1">
      <alignment horizontal="right" vertical="center"/>
      <protection hidden="1"/>
    </xf>
    <xf numFmtId="0" fontId="9" fillId="0" borderId="0" xfId="0" applyFont="1" applyFill="1" applyAlignment="1" applyProtection="1">
      <alignment vertical="center"/>
    </xf>
    <xf numFmtId="0" fontId="22" fillId="0" borderId="38" xfId="0" applyFont="1" applyFill="1" applyBorder="1" applyAlignment="1" applyProtection="1">
      <alignment vertical="center"/>
    </xf>
    <xf numFmtId="0" fontId="22" fillId="0" borderId="38" xfId="0" applyFont="1" applyFill="1" applyBorder="1" applyAlignment="1" applyProtection="1">
      <alignment horizontal="left" vertical="center"/>
    </xf>
    <xf numFmtId="0" fontId="38" fillId="0" borderId="55" xfId="0" applyNumberFormat="1" applyFont="1" applyFill="1" applyBorder="1" applyAlignment="1" applyProtection="1">
      <alignment vertical="center"/>
    </xf>
    <xf numFmtId="0" fontId="38" fillId="0" borderId="38" xfId="0" applyFont="1" applyFill="1" applyBorder="1" applyAlignment="1" applyProtection="1">
      <alignment vertical="center"/>
    </xf>
    <xf numFmtId="0" fontId="34" fillId="7" borderId="0" xfId="0" applyFont="1" applyFill="1" applyAlignment="1" applyProtection="1">
      <alignment horizontal="left" vertical="center"/>
    </xf>
    <xf numFmtId="0" fontId="9" fillId="7" borderId="0" xfId="0" applyFont="1" applyFill="1" applyAlignment="1" applyProtection="1">
      <alignment vertical="center"/>
      <protection locked="0"/>
    </xf>
    <xf numFmtId="0" fontId="43" fillId="0" borderId="0" xfId="0" applyFont="1" applyFill="1" applyAlignment="1" applyProtection="1">
      <alignment vertical="center"/>
    </xf>
    <xf numFmtId="3" fontId="34" fillId="7" borderId="0" xfId="0" applyNumberFormat="1" applyFont="1" applyFill="1" applyBorder="1" applyAlignment="1" applyProtection="1">
      <alignment horizontal="right" vertical="center"/>
    </xf>
    <xf numFmtId="3" fontId="34" fillId="7" borderId="0" xfId="0" applyNumberFormat="1" applyFont="1" applyFill="1" applyBorder="1" applyAlignment="1" applyProtection="1">
      <alignment horizontal="right" vertical="center" indent="1"/>
    </xf>
    <xf numFmtId="0" fontId="22" fillId="7" borderId="0" xfId="0" applyFont="1" applyFill="1" applyAlignment="1" applyProtection="1">
      <alignment horizontal="right" vertical="center" indent="1"/>
    </xf>
    <xf numFmtId="0" fontId="35" fillId="7" borderId="0" xfId="0" applyFont="1" applyFill="1" applyAlignment="1" applyProtection="1">
      <alignment horizontal="right" vertical="center" indent="1"/>
    </xf>
    <xf numFmtId="3" fontId="34" fillId="7" borderId="0" xfId="0" applyNumberFormat="1" applyFont="1" applyFill="1" applyAlignment="1" applyProtection="1">
      <alignment horizontal="right" vertical="center" indent="1"/>
    </xf>
    <xf numFmtId="3" fontId="34" fillId="7" borderId="0" xfId="3" applyNumberFormat="1" applyFont="1" applyFill="1" applyAlignment="1" applyProtection="1">
      <alignment horizontal="right" vertical="center" indent="1"/>
    </xf>
    <xf numFmtId="0" fontId="38" fillId="9" borderId="71" xfId="0" applyFont="1" applyFill="1" applyBorder="1" applyAlignment="1" applyProtection="1">
      <alignment horizontal="left" vertical="center"/>
    </xf>
    <xf numFmtId="3" fontId="38" fillId="9" borderId="64" xfId="0" applyNumberFormat="1" applyFont="1" applyFill="1" applyBorder="1" applyAlignment="1" applyProtection="1">
      <alignment horizontal="center" vertical="center"/>
    </xf>
    <xf numFmtId="3" fontId="38" fillId="7" borderId="0" xfId="0" applyNumberFormat="1" applyFont="1" applyFill="1" applyBorder="1" applyAlignment="1" applyProtection="1">
      <alignment horizontal="center" vertical="center"/>
    </xf>
    <xf numFmtId="0" fontId="22" fillId="7" borderId="41" xfId="0" applyNumberFormat="1" applyFont="1" applyFill="1" applyBorder="1" applyAlignment="1" applyProtection="1">
      <alignment horizontal="center" vertical="center"/>
    </xf>
    <xf numFmtId="0" fontId="22" fillId="7" borderId="55" xfId="0" applyNumberFormat="1" applyFont="1" applyFill="1" applyBorder="1" applyAlignment="1" applyProtection="1">
      <alignment horizontal="center" vertical="center"/>
    </xf>
    <xf numFmtId="49" fontId="22" fillId="7" borderId="41" xfId="0" applyNumberFormat="1" applyFont="1" applyFill="1" applyBorder="1" applyAlignment="1" applyProtection="1">
      <alignment horizontal="center" vertical="center"/>
    </xf>
    <xf numFmtId="49" fontId="22" fillId="7" borderId="58" xfId="0" applyNumberFormat="1" applyFont="1" applyFill="1" applyBorder="1" applyAlignment="1" applyProtection="1">
      <alignment horizontal="center" vertical="center"/>
    </xf>
    <xf numFmtId="3" fontId="63" fillId="7" borderId="0" xfId="0" applyNumberFormat="1" applyFont="1" applyFill="1" applyBorder="1" applyAlignment="1" applyProtection="1">
      <alignment horizontal="right" vertical="center" indent="1"/>
    </xf>
    <xf numFmtId="3" fontId="22" fillId="7" borderId="0" xfId="0" applyNumberFormat="1" applyFont="1" applyFill="1" applyAlignment="1" applyProtection="1">
      <alignment vertical="center"/>
      <protection locked="0"/>
    </xf>
    <xf numFmtId="3" fontId="64" fillId="7" borderId="0" xfId="0" applyNumberFormat="1" applyFont="1" applyFill="1" applyBorder="1" applyAlignment="1" applyProtection="1">
      <alignment horizontal="right" vertical="center" indent="1"/>
    </xf>
    <xf numFmtId="169" fontId="22" fillId="7" borderId="0" xfId="0" applyNumberFormat="1" applyFont="1" applyFill="1" applyBorder="1" applyAlignment="1" applyProtection="1">
      <alignment horizontal="right" vertical="center" indent="1"/>
    </xf>
    <xf numFmtId="49" fontId="22" fillId="7" borderId="12" xfId="0" applyNumberFormat="1" applyFont="1" applyFill="1" applyBorder="1" applyAlignment="1" applyProtection="1">
      <alignment horizontal="center" vertical="center"/>
    </xf>
    <xf numFmtId="49" fontId="34" fillId="7" borderId="0" xfId="0" applyNumberFormat="1" applyFont="1" applyFill="1" applyBorder="1" applyAlignment="1" applyProtection="1">
      <alignment horizontal="center" vertical="center"/>
      <protection hidden="1"/>
    </xf>
    <xf numFmtId="0" fontId="34" fillId="7" borderId="0" xfId="0" applyFont="1" applyFill="1" applyBorder="1" applyAlignment="1" applyProtection="1">
      <alignment vertical="center"/>
      <protection hidden="1"/>
    </xf>
    <xf numFmtId="3" fontId="34" fillId="7" borderId="0" xfId="0" applyNumberFormat="1" applyFont="1" applyFill="1" applyBorder="1" applyAlignment="1" applyProtection="1">
      <alignment horizontal="right" vertical="center" indent="1"/>
      <protection hidden="1"/>
    </xf>
    <xf numFmtId="3" fontId="34" fillId="7" borderId="0" xfId="0" applyNumberFormat="1" applyFont="1" applyFill="1" applyAlignment="1" applyProtection="1">
      <alignment horizontal="right" vertical="center" indent="1"/>
      <protection hidden="1"/>
    </xf>
    <xf numFmtId="0" fontId="35" fillId="7" borderId="0" xfId="0" applyFont="1" applyFill="1" applyAlignment="1" applyProtection="1">
      <alignment vertical="center"/>
      <protection locked="0"/>
    </xf>
    <xf numFmtId="3" fontId="28" fillId="7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Fill="1" applyAlignment="1" applyProtection="1">
      <alignment horizontal="right" vertical="center" indent="1"/>
    </xf>
    <xf numFmtId="0" fontId="22" fillId="7" borderId="83" xfId="0" applyNumberFormat="1" applyFont="1" applyFill="1" applyBorder="1" applyAlignment="1" applyProtection="1">
      <alignment horizontal="center" vertical="center"/>
    </xf>
    <xf numFmtId="0" fontId="22" fillId="7" borderId="0" xfId="0" applyFont="1" applyFill="1" applyBorder="1" applyAlignment="1" applyProtection="1">
      <alignment horizontal="right" vertical="top" indent="1"/>
      <protection locked="0"/>
    </xf>
    <xf numFmtId="0" fontId="28" fillId="7" borderId="0" xfId="0" applyFont="1" applyFill="1" applyBorder="1" applyAlignment="1" applyProtection="1">
      <alignment horizontal="right" vertical="top" indent="1"/>
      <protection locked="0"/>
    </xf>
    <xf numFmtId="3" fontId="28" fillId="7" borderId="0" xfId="0" applyNumberFormat="1" applyFont="1" applyFill="1" applyAlignment="1" applyProtection="1">
      <alignment horizontal="right" vertical="center" indent="1"/>
    </xf>
    <xf numFmtId="1" fontId="45" fillId="7" borderId="0" xfId="1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hidden="1"/>
    </xf>
    <xf numFmtId="1" fontId="22" fillId="7" borderId="0" xfId="0" applyNumberFormat="1" applyFont="1" applyFill="1" applyAlignment="1" applyProtection="1">
      <alignment horizontal="left" indent="1"/>
      <protection locked="0"/>
    </xf>
    <xf numFmtId="0" fontId="22" fillId="7" borderId="0" xfId="0" applyFont="1" applyFill="1" applyAlignment="1" applyProtection="1">
      <alignment horizontal="left"/>
      <protection hidden="1"/>
    </xf>
    <xf numFmtId="0" fontId="35" fillId="7" borderId="0" xfId="0" applyFont="1" applyFill="1" applyAlignment="1" applyProtection="1">
      <alignment horizontal="left"/>
      <protection locked="0"/>
    </xf>
    <xf numFmtId="0" fontId="65" fillId="7" borderId="0" xfId="0" applyFont="1" applyFill="1" applyProtection="1"/>
    <xf numFmtId="1" fontId="28" fillId="7" borderId="0" xfId="0" applyNumberFormat="1" applyFont="1" applyFill="1" applyAlignment="1" applyProtection="1">
      <alignment horizontal="right" indent="1"/>
    </xf>
    <xf numFmtId="1" fontId="28" fillId="7" borderId="0" xfId="0" applyNumberFormat="1" applyFont="1" applyFill="1" applyAlignment="1" applyProtection="1">
      <alignment horizontal="left" indent="1"/>
    </xf>
    <xf numFmtId="0" fontId="28" fillId="7" borderId="0" xfId="0" applyFont="1" applyFill="1" applyAlignment="1" applyProtection="1">
      <alignment horizontal="left"/>
      <protection hidden="1"/>
    </xf>
    <xf numFmtId="0" fontId="65" fillId="0" borderId="0" xfId="0" applyFont="1" applyFill="1" applyProtection="1"/>
    <xf numFmtId="0" fontId="28" fillId="7" borderId="0" xfId="0" applyFont="1" applyFill="1" applyBorder="1" applyProtection="1"/>
    <xf numFmtId="0" fontId="22" fillId="0" borderId="0" xfId="0" applyFont="1"/>
    <xf numFmtId="1" fontId="38" fillId="9" borderId="68" xfId="0" applyNumberFormat="1" applyFont="1" applyFill="1" applyBorder="1" applyAlignment="1" applyProtection="1">
      <alignment horizontal="center" vertical="center"/>
    </xf>
    <xf numFmtId="1" fontId="38" fillId="9" borderId="56" xfId="0" applyNumberFormat="1" applyFont="1" applyFill="1" applyBorder="1" applyAlignment="1" applyProtection="1">
      <alignment horizontal="center" vertical="center" wrapText="1"/>
    </xf>
    <xf numFmtId="1" fontId="38" fillId="9" borderId="68" xfId="3" applyNumberFormat="1" applyFont="1" applyFill="1" applyBorder="1" applyAlignment="1" applyProtection="1">
      <alignment horizontal="center" vertical="center" wrapText="1"/>
    </xf>
    <xf numFmtId="1" fontId="38" fillId="9" borderId="62" xfId="0" applyNumberFormat="1" applyFont="1" applyFill="1" applyBorder="1" applyAlignment="1" applyProtection="1">
      <alignment horizontal="center" vertical="center" wrapText="1"/>
    </xf>
    <xf numFmtId="1" fontId="38" fillId="9" borderId="63" xfId="0" applyNumberFormat="1" applyFont="1" applyFill="1" applyBorder="1" applyAlignment="1" applyProtection="1">
      <alignment horizontal="center" vertical="center" wrapText="1"/>
    </xf>
    <xf numFmtId="0" fontId="22" fillId="0" borderId="72" xfId="0" applyFont="1" applyFill="1" applyBorder="1" applyAlignment="1" applyProtection="1">
      <alignment horizontal="left" indent="1"/>
    </xf>
    <xf numFmtId="10" fontId="43" fillId="0" borderId="59" xfId="3" applyNumberFormat="1" applyFont="1" applyFill="1" applyBorder="1" applyAlignment="1" applyProtection="1">
      <alignment horizontal="center" wrapText="1"/>
    </xf>
    <xf numFmtId="10" fontId="43" fillId="0" borderId="60" xfId="3" applyNumberFormat="1" applyFont="1" applyFill="1" applyBorder="1" applyAlignment="1" applyProtection="1">
      <alignment horizontal="center" wrapText="1"/>
    </xf>
    <xf numFmtId="10" fontId="43" fillId="0" borderId="61" xfId="3" applyNumberFormat="1" applyFont="1" applyFill="1" applyBorder="1" applyAlignment="1" applyProtection="1">
      <alignment horizontal="center" wrapText="1"/>
    </xf>
    <xf numFmtId="0" fontId="22" fillId="7" borderId="0" xfId="0" applyFont="1" applyFill="1" applyAlignment="1" applyProtection="1">
      <alignment horizontal="left" vertical="center"/>
      <protection locked="0"/>
    </xf>
    <xf numFmtId="1" fontId="38" fillId="0" borderId="41" xfId="0" applyNumberFormat="1" applyFont="1" applyFill="1" applyBorder="1" applyAlignment="1" applyProtection="1">
      <alignment horizontal="center"/>
    </xf>
    <xf numFmtId="3" fontId="43" fillId="0" borderId="41" xfId="3" applyNumberFormat="1" applyFont="1" applyFill="1" applyBorder="1" applyAlignment="1" applyProtection="1">
      <alignment horizontal="right" wrapText="1" indent="1"/>
    </xf>
    <xf numFmtId="3" fontId="43" fillId="0" borderId="2" xfId="3" applyNumberFormat="1" applyFont="1" applyFill="1" applyBorder="1" applyAlignment="1" applyProtection="1">
      <alignment horizontal="right" wrapText="1" indent="1"/>
    </xf>
    <xf numFmtId="10" fontId="22" fillId="0" borderId="41" xfId="3" applyNumberFormat="1" applyFont="1" applyFill="1" applyBorder="1" applyAlignment="1" applyProtection="1">
      <alignment horizontal="right" indent="1"/>
    </xf>
    <xf numFmtId="3" fontId="22" fillId="0" borderId="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center"/>
    </xf>
    <xf numFmtId="3" fontId="22" fillId="0" borderId="41" xfId="0" applyNumberFormat="1" applyFont="1" applyFill="1" applyBorder="1" applyAlignment="1" applyProtection="1">
      <alignment horizontal="right" indent="1"/>
    </xf>
    <xf numFmtId="0" fontId="38" fillId="0" borderId="4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right" indent="1"/>
    </xf>
    <xf numFmtId="10" fontId="22" fillId="0" borderId="41" xfId="3" applyNumberFormat="1" applyFont="1" applyFill="1" applyBorder="1" applyAlignment="1" applyProtection="1">
      <alignment horizontal="center"/>
    </xf>
    <xf numFmtId="1" fontId="22" fillId="0" borderId="1" xfId="3" applyNumberFormat="1" applyFont="1" applyFill="1" applyBorder="1" applyAlignment="1" applyProtection="1">
      <alignment horizontal="center"/>
      <protection locked="0"/>
    </xf>
    <xf numFmtId="1" fontId="22" fillId="0" borderId="41" xfId="0" applyNumberFormat="1" applyFont="1" applyFill="1" applyBorder="1" applyAlignment="1" applyProtection="1">
      <alignment horizontal="center"/>
    </xf>
    <xf numFmtId="0" fontId="38" fillId="0" borderId="72" xfId="0" applyFont="1" applyFill="1" applyBorder="1" applyAlignment="1" applyProtection="1">
      <alignment horizontal="left" indent="1"/>
    </xf>
    <xf numFmtId="16" fontId="22" fillId="0" borderId="38" xfId="0" quotePrefix="1" applyNumberFormat="1" applyFont="1" applyFill="1" applyBorder="1" applyAlignment="1" applyProtection="1">
      <alignment horizontal="center"/>
    </xf>
    <xf numFmtId="49" fontId="22" fillId="0" borderId="38" xfId="0" applyNumberFormat="1" applyFont="1" applyFill="1" applyBorder="1" applyAlignment="1" applyProtection="1">
      <alignment horizontal="center"/>
    </xf>
    <xf numFmtId="49" fontId="22" fillId="0" borderId="2" xfId="0" applyNumberFormat="1" applyFont="1" applyFill="1" applyBorder="1" applyAlignment="1" applyProtection="1">
      <alignment horizontal="left"/>
    </xf>
    <xf numFmtId="3" fontId="22" fillId="0" borderId="41" xfId="3" applyNumberFormat="1" applyFont="1" applyFill="1" applyBorder="1" applyAlignment="1" applyProtection="1">
      <alignment horizontal="right" indent="1"/>
    </xf>
    <xf numFmtId="3" fontId="22" fillId="0" borderId="17" xfId="0" applyNumberFormat="1" applyFont="1" applyFill="1" applyBorder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 indent="1"/>
      <protection locked="0"/>
    </xf>
    <xf numFmtId="49" fontId="22" fillId="0" borderId="139" xfId="0" applyNumberFormat="1" applyFont="1" applyFill="1" applyBorder="1" applyProtection="1"/>
    <xf numFmtId="49" fontId="22" fillId="0" borderId="4" xfId="0" applyNumberFormat="1" applyFont="1" applyFill="1" applyBorder="1" applyAlignment="1" applyProtection="1">
      <alignment horizontal="left"/>
    </xf>
    <xf numFmtId="3" fontId="22" fillId="0" borderId="8" xfId="0" applyNumberFormat="1" applyFont="1" applyFill="1" applyBorder="1" applyAlignment="1" applyProtection="1">
      <alignment horizontal="right"/>
    </xf>
    <xf numFmtId="49" fontId="22" fillId="0" borderId="50" xfId="0" applyNumberFormat="1" applyFont="1" applyFill="1" applyBorder="1" applyAlignment="1" applyProtection="1">
      <alignment horizontal="center"/>
    </xf>
    <xf numFmtId="49" fontId="22" fillId="0" borderId="17" xfId="0" applyNumberFormat="1" applyFont="1" applyFill="1" applyBorder="1" applyAlignment="1" applyProtection="1">
      <alignment horizontal="left"/>
    </xf>
    <xf numFmtId="3" fontId="22" fillId="0" borderId="44" xfId="0" applyNumberFormat="1" applyFont="1" applyFill="1" applyBorder="1" applyAlignment="1" applyProtection="1">
      <alignment horizontal="right"/>
    </xf>
    <xf numFmtId="49" fontId="22" fillId="0" borderId="111" xfId="0" applyNumberFormat="1" applyFont="1" applyFill="1" applyBorder="1" applyProtection="1"/>
    <xf numFmtId="49" fontId="22" fillId="0" borderId="48" xfId="0" applyNumberFormat="1" applyFont="1" applyFill="1" applyBorder="1" applyAlignment="1" applyProtection="1">
      <alignment horizontal="left"/>
    </xf>
    <xf numFmtId="3" fontId="22" fillId="0" borderId="47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horizontal="left"/>
      <protection locked="0"/>
    </xf>
    <xf numFmtId="1" fontId="43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locked="0"/>
    </xf>
    <xf numFmtId="0" fontId="38" fillId="9" borderId="67" xfId="0" applyFont="1" applyFill="1" applyBorder="1" applyAlignment="1" applyProtection="1">
      <alignment vertical="center"/>
    </xf>
    <xf numFmtId="1" fontId="38" fillId="9" borderId="7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Protection="1"/>
    <xf numFmtId="170" fontId="22" fillId="0" borderId="41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2" fillId="0" borderId="0" xfId="0" applyFont="1" applyAlignment="1">
      <alignment vertical="center"/>
    </xf>
    <xf numFmtId="170" fontId="22" fillId="0" borderId="47" xfId="0" applyNumberFormat="1" applyFont="1" applyFill="1" applyBorder="1" applyAlignment="1" applyProtection="1">
      <alignment horizontal="right"/>
    </xf>
    <xf numFmtId="0" fontId="22" fillId="7" borderId="0" xfId="0" applyFont="1" applyFill="1" applyBorder="1" applyAlignment="1" applyProtection="1">
      <alignment horizontal="left"/>
    </xf>
    <xf numFmtId="17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vertical="center"/>
      <protection hidden="1"/>
    </xf>
    <xf numFmtId="1" fontId="22" fillId="7" borderId="0" xfId="0" applyNumberFormat="1" applyFont="1" applyFill="1" applyBorder="1" applyAlignment="1" applyProtection="1">
      <alignment horizontal="left" vertical="center"/>
      <protection hidden="1"/>
    </xf>
    <xf numFmtId="1" fontId="22" fillId="7" borderId="0" xfId="0" applyNumberFormat="1" applyFont="1" applyFill="1" applyBorder="1" applyAlignment="1" applyProtection="1">
      <alignment horizontal="right" vertical="center"/>
      <protection hidden="1"/>
    </xf>
    <xf numFmtId="1" fontId="22" fillId="7" borderId="0" xfId="0" applyNumberFormat="1" applyFont="1" applyFill="1" applyAlignment="1" applyProtection="1">
      <alignment horizontal="left" vertical="center"/>
      <protection hidden="1"/>
    </xf>
    <xf numFmtId="0" fontId="22" fillId="7" borderId="0" xfId="0" applyFont="1" applyFill="1" applyAlignment="1">
      <alignment vertical="center"/>
    </xf>
    <xf numFmtId="1" fontId="34" fillId="7" borderId="0" xfId="0" applyNumberFormat="1" applyFont="1" applyFill="1" applyAlignment="1" applyProtection="1">
      <alignment horizontal="left" indent="1"/>
    </xf>
    <xf numFmtId="0" fontId="34" fillId="7" borderId="0" xfId="0" applyFont="1" applyFill="1" applyAlignment="1" applyProtection="1">
      <alignment horizontal="left"/>
    </xf>
    <xf numFmtId="9" fontId="22" fillId="7" borderId="0" xfId="3" applyFont="1" applyFill="1" applyBorder="1" applyAlignment="1" applyProtection="1">
      <alignment horizontal="center"/>
      <protection hidden="1"/>
    </xf>
    <xf numFmtId="1" fontId="34" fillId="7" borderId="0" xfId="0" applyNumberFormat="1" applyFont="1" applyFill="1" applyAlignment="1" applyProtection="1">
      <alignment horizontal="right" indent="1"/>
    </xf>
    <xf numFmtId="1" fontId="34" fillId="7" borderId="0" xfId="3" applyNumberFormat="1" applyFont="1" applyFill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/>
      <protection hidden="1"/>
    </xf>
    <xf numFmtId="0" fontId="34" fillId="7" borderId="0" xfId="0" applyFont="1" applyFill="1" applyBorder="1" applyAlignment="1" applyProtection="1">
      <alignment horizontal="right"/>
      <protection hidden="1"/>
    </xf>
    <xf numFmtId="0" fontId="34" fillId="7" borderId="0" xfId="0" applyFont="1" applyFill="1"/>
    <xf numFmtId="1" fontId="34" fillId="7" borderId="0" xfId="0" applyNumberFormat="1" applyFont="1" applyFill="1" applyProtection="1"/>
    <xf numFmtId="1" fontId="22" fillId="7" borderId="0" xfId="0" applyNumberFormat="1" applyFont="1" applyFill="1" applyBorder="1" applyAlignment="1" applyProtection="1">
      <alignment horizontal="right" indent="1"/>
      <protection hidden="1"/>
    </xf>
    <xf numFmtId="1" fontId="22" fillId="7" borderId="0" xfId="0" applyNumberFormat="1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horizontal="left" indent="1"/>
      <protection hidden="1"/>
    </xf>
    <xf numFmtId="168" fontId="22" fillId="7" borderId="0" xfId="4" applyNumberFormat="1" applyFont="1" applyFill="1" applyBorder="1" applyAlignment="1" applyProtection="1">
      <alignment horizontal="center"/>
      <protection hidden="1"/>
    </xf>
    <xf numFmtId="168" fontId="22" fillId="7" borderId="0" xfId="4" applyNumberFormat="1" applyFont="1" applyFill="1" applyBorder="1" applyAlignment="1" applyProtection="1">
      <alignment horizontal="left"/>
      <protection hidden="1"/>
    </xf>
    <xf numFmtId="0" fontId="22" fillId="7" borderId="0" xfId="0" applyFont="1" applyFill="1" applyBorder="1" applyAlignment="1" applyProtection="1">
      <alignment horizontal="center"/>
      <protection hidden="1"/>
    </xf>
    <xf numFmtId="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>
      <alignment horizontal="center"/>
    </xf>
    <xf numFmtId="0" fontId="22" fillId="12" borderId="0" xfId="0" applyFont="1" applyFill="1" applyBorder="1" applyAlignment="1">
      <alignment horizontal="center"/>
    </xf>
    <xf numFmtId="0" fontId="22" fillId="7" borderId="0" xfId="0" applyFont="1" applyFill="1" applyBorder="1"/>
    <xf numFmtId="168" fontId="22" fillId="7" borderId="11" xfId="4" applyNumberFormat="1" applyFont="1" applyFill="1" applyBorder="1" applyAlignment="1">
      <alignment horizontal="center"/>
    </xf>
    <xf numFmtId="168" fontId="22" fillId="12" borderId="11" xfId="4" applyNumberFormat="1" applyFont="1" applyFill="1" applyBorder="1" applyAlignment="1">
      <alignment horizontal="center"/>
    </xf>
    <xf numFmtId="168" fontId="22" fillId="7" borderId="11" xfId="4" applyNumberFormat="1" applyFont="1" applyFill="1" applyBorder="1" applyAlignment="1" applyProtection="1">
      <alignment horizontal="left"/>
    </xf>
    <xf numFmtId="0" fontId="22" fillId="7" borderId="11" xfId="0" applyFont="1" applyFill="1" applyBorder="1" applyAlignment="1">
      <alignment horizontal="center"/>
    </xf>
    <xf numFmtId="1" fontId="22" fillId="7" borderId="11" xfId="0" applyNumberFormat="1" applyFont="1" applyFill="1" applyBorder="1" applyAlignment="1">
      <alignment horizontal="center"/>
    </xf>
    <xf numFmtId="0" fontId="22" fillId="12" borderId="11" xfId="0" applyFont="1" applyFill="1" applyBorder="1" applyAlignment="1">
      <alignment horizontal="center"/>
    </xf>
    <xf numFmtId="0" fontId="22" fillId="7" borderId="11" xfId="0" applyFont="1" applyFill="1" applyBorder="1" applyAlignment="1" applyProtection="1">
      <alignment horizontal="left"/>
    </xf>
    <xf numFmtId="0" fontId="22" fillId="12" borderId="0" xfId="0" applyFont="1" applyFill="1" applyBorder="1" applyAlignment="1" applyProtection="1">
      <alignment horizontal="center" vertical="center" wrapText="1"/>
    </xf>
    <xf numFmtId="0" fontId="22" fillId="7" borderId="40" xfId="0" applyFont="1" applyFill="1" applyBorder="1" applyAlignment="1">
      <alignment horizontal="center" vertical="center" wrapText="1"/>
    </xf>
    <xf numFmtId="3" fontId="22" fillId="7" borderId="40" xfId="0" applyNumberFormat="1" applyFont="1" applyFill="1" applyBorder="1" applyAlignment="1">
      <alignment horizontal="center"/>
    </xf>
    <xf numFmtId="0" fontId="22" fillId="7" borderId="52" xfId="0" applyFont="1" applyFill="1" applyBorder="1" applyAlignment="1"/>
    <xf numFmtId="0" fontId="22" fillId="7" borderId="0" xfId="0" applyFont="1" applyFill="1" applyBorder="1" applyAlignment="1">
      <alignment horizontal="left"/>
    </xf>
    <xf numFmtId="0" fontId="22" fillId="7" borderId="0" xfId="0" applyFont="1" applyFill="1" applyBorder="1" applyAlignment="1"/>
    <xf numFmtId="3" fontId="22" fillId="7" borderId="40" xfId="0" applyNumberFormat="1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3" fontId="22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/>
    <xf numFmtId="9" fontId="22" fillId="7" borderId="1" xfId="0" applyNumberFormat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0" fontId="22" fillId="7" borderId="84" xfId="0" applyFont="1" applyFill="1" applyBorder="1" applyAlignment="1">
      <alignment horizontal="center"/>
    </xf>
    <xf numFmtId="0" fontId="22" fillId="7" borderId="40" xfId="0" applyFont="1" applyFill="1" applyBorder="1" applyAlignment="1">
      <alignment horizontal="center" vertical="center"/>
    </xf>
    <xf numFmtId="0" fontId="22" fillId="7" borderId="84" xfId="0" applyFont="1" applyFill="1" applyBorder="1" applyAlignment="1">
      <alignment horizontal="center" vertical="center" wrapText="1"/>
    </xf>
    <xf numFmtId="0" fontId="22" fillId="7" borderId="40" xfId="0" applyFont="1" applyFill="1" applyBorder="1" applyAlignment="1" applyProtection="1">
      <alignment horizontal="center" vertical="center" wrapText="1"/>
    </xf>
    <xf numFmtId="0" fontId="4" fillId="7" borderId="84" xfId="0" applyFont="1" applyFill="1" applyBorder="1" applyAlignment="1"/>
    <xf numFmtId="0" fontId="22" fillId="7" borderId="118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173" fontId="33" fillId="7" borderId="40" xfId="0" applyNumberFormat="1" applyFont="1" applyFill="1" applyBorder="1" applyAlignment="1" applyProtection="1">
      <alignment horizontal="center"/>
    </xf>
    <xf numFmtId="164" fontId="22" fillId="7" borderId="40" xfId="0" applyNumberFormat="1" applyFont="1" applyFill="1" applyBorder="1" applyAlignment="1" applyProtection="1">
      <alignment horizontal="center"/>
    </xf>
    <xf numFmtId="165" fontId="22" fillId="7" borderId="75" xfId="4" applyFont="1" applyFill="1" applyBorder="1" applyAlignment="1">
      <alignment horizontal="center"/>
    </xf>
    <xf numFmtId="165" fontId="22" fillId="7" borderId="88" xfId="4" applyFont="1" applyFill="1" applyBorder="1" applyAlignment="1">
      <alignment horizontal="center"/>
    </xf>
    <xf numFmtId="165" fontId="7" fillId="7" borderId="40" xfId="4" applyFont="1" applyFill="1" applyBorder="1" applyAlignment="1">
      <alignment horizontal="center"/>
    </xf>
    <xf numFmtId="165" fontId="33" fillId="7" borderId="88" xfId="4" applyFont="1" applyFill="1" applyBorder="1" applyAlignment="1" applyProtection="1">
      <alignment horizontal="center"/>
    </xf>
    <xf numFmtId="165" fontId="22" fillId="7" borderId="118" xfId="4" applyFont="1" applyFill="1" applyBorder="1" applyAlignment="1">
      <alignment horizontal="center"/>
    </xf>
    <xf numFmtId="173" fontId="33" fillId="7" borderId="1" xfId="0" applyNumberFormat="1" applyFont="1" applyFill="1" applyBorder="1" applyAlignment="1" applyProtection="1">
      <alignment horizontal="center"/>
    </xf>
    <xf numFmtId="164" fontId="22" fillId="7" borderId="1" xfId="0" applyNumberFormat="1" applyFont="1" applyFill="1" applyBorder="1" applyAlignment="1" applyProtection="1">
      <alignment horizontal="center"/>
    </xf>
    <xf numFmtId="165" fontId="22" fillId="7" borderId="0" xfId="4" applyFont="1" applyFill="1" applyBorder="1" applyAlignment="1">
      <alignment horizontal="center"/>
    </xf>
    <xf numFmtId="165" fontId="22" fillId="7" borderId="30" xfId="4" applyFont="1" applyFill="1" applyBorder="1" applyAlignment="1">
      <alignment horizontal="center"/>
    </xf>
    <xf numFmtId="165" fontId="7" fillId="7" borderId="1" xfId="4" applyFont="1" applyFill="1" applyBorder="1" applyAlignment="1">
      <alignment horizontal="center"/>
    </xf>
    <xf numFmtId="165" fontId="33" fillId="7" borderId="30" xfId="4" applyFont="1" applyFill="1" applyBorder="1" applyAlignment="1" applyProtection="1">
      <alignment horizontal="center"/>
    </xf>
    <xf numFmtId="165" fontId="22" fillId="7" borderId="19" xfId="4" applyFont="1" applyFill="1" applyBorder="1" applyAlignment="1">
      <alignment horizontal="center"/>
    </xf>
    <xf numFmtId="173" fontId="33" fillId="7" borderId="84" xfId="0" applyNumberFormat="1" applyFont="1" applyFill="1" applyBorder="1" applyAlignment="1" applyProtection="1">
      <alignment horizontal="center"/>
    </xf>
    <xf numFmtId="164" fontId="22" fillId="7" borderId="84" xfId="0" applyNumberFormat="1" applyFont="1" applyFill="1" applyBorder="1" applyAlignment="1" applyProtection="1">
      <alignment horizontal="center"/>
    </xf>
    <xf numFmtId="165" fontId="22" fillId="7" borderId="78" xfId="4" applyFont="1" applyFill="1" applyBorder="1" applyAlignment="1">
      <alignment horizontal="center"/>
    </xf>
    <xf numFmtId="165" fontId="22" fillId="7" borderId="85" xfId="4" applyFont="1" applyFill="1" applyBorder="1" applyAlignment="1">
      <alignment horizontal="center"/>
    </xf>
    <xf numFmtId="165" fontId="7" fillId="7" borderId="84" xfId="4" applyFont="1" applyFill="1" applyBorder="1" applyAlignment="1">
      <alignment horizontal="center"/>
    </xf>
    <xf numFmtId="165" fontId="33" fillId="7" borderId="85" xfId="4" applyFont="1" applyFill="1" applyBorder="1" applyAlignment="1" applyProtection="1">
      <alignment horizontal="center"/>
    </xf>
    <xf numFmtId="0" fontId="22" fillId="7" borderId="40" xfId="0" applyFont="1" applyFill="1" applyBorder="1" applyAlignment="1">
      <alignment horizontal="center"/>
    </xf>
    <xf numFmtId="165" fontId="22" fillId="7" borderId="87" xfId="4" applyFont="1" applyFill="1" applyBorder="1" applyAlignment="1">
      <alignment horizontal="center"/>
    </xf>
    <xf numFmtId="3" fontId="22" fillId="7" borderId="0" xfId="0" applyNumberFormat="1" applyFont="1" applyFill="1" applyBorder="1" applyAlignment="1">
      <alignment horizontal="center"/>
    </xf>
    <xf numFmtId="9" fontId="22" fillId="7" borderId="0" xfId="0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right"/>
    </xf>
    <xf numFmtId="1" fontId="45" fillId="7" borderId="0" xfId="1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>
      <alignment horizontal="center"/>
    </xf>
    <xf numFmtId="168" fontId="22" fillId="7" borderId="0" xfId="4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 applyProtection="1">
      <alignment horizontal="center" vertical="center" wrapText="1"/>
    </xf>
    <xf numFmtId="168" fontId="22" fillId="0" borderId="0" xfId="4" applyNumberFormat="1" applyFont="1" applyFill="1" applyBorder="1" applyAlignment="1">
      <alignment horizontal="center"/>
    </xf>
    <xf numFmtId="165" fontId="22" fillId="7" borderId="0" xfId="4" applyFont="1" applyFill="1" applyBorder="1" applyAlignment="1" applyProtection="1">
      <alignment horizontal="center"/>
    </xf>
    <xf numFmtId="165" fontId="22" fillId="0" borderId="0" xfId="4" applyFont="1" applyFill="1" applyBorder="1" applyAlignment="1">
      <alignment horizontal="center"/>
    </xf>
    <xf numFmtId="165" fontId="22" fillId="0" borderId="0" xfId="4" applyFont="1" applyFill="1" applyBorder="1" applyAlignment="1" applyProtection="1">
      <alignment horizontal="center"/>
    </xf>
    <xf numFmtId="168" fontId="33" fillId="0" borderId="0" xfId="4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right" indent="1"/>
    </xf>
    <xf numFmtId="1" fontId="22" fillId="0" borderId="0" xfId="3" applyNumberFormat="1" applyFont="1" applyFill="1" applyBorder="1" applyAlignment="1" applyProtection="1">
      <alignment horizontal="right" indent="1"/>
    </xf>
    <xf numFmtId="1" fontId="22" fillId="0" borderId="0" xfId="0" applyNumberFormat="1" applyFont="1" applyFill="1" applyBorder="1" applyAlignment="1" applyProtection="1">
      <alignment horizontal="left"/>
      <protection hidden="1"/>
    </xf>
    <xf numFmtId="1" fontId="22" fillId="0" borderId="0" xfId="0" applyNumberFormat="1" applyFont="1" applyFill="1" applyBorder="1" applyAlignment="1" applyProtection="1">
      <alignment horizontal="left" indent="1"/>
    </xf>
    <xf numFmtId="168" fontId="22" fillId="0" borderId="0" xfId="4" applyNumberFormat="1" applyFont="1" applyFill="1" applyBorder="1" applyAlignment="1" applyProtection="1">
      <alignment horizontal="left"/>
    </xf>
    <xf numFmtId="1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9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1" fontId="45" fillId="0" borderId="0" xfId="1" applyNumberFormat="1" applyFont="1" applyFill="1" applyBorder="1" applyAlignment="1" applyProtection="1">
      <alignment horizontal="right" indent="1"/>
    </xf>
    <xf numFmtId="168" fontId="4" fillId="0" borderId="0" xfId="4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left" indent="1"/>
      <protection locked="0"/>
    </xf>
    <xf numFmtId="1" fontId="22" fillId="0" borderId="0" xfId="0" applyNumberFormat="1" applyFont="1" applyFill="1" applyAlignment="1" applyProtection="1">
      <alignment horizontal="right" indent="1"/>
    </xf>
    <xf numFmtId="1" fontId="22" fillId="0" borderId="0" xfId="3" applyNumberFormat="1" applyFont="1" applyFill="1" applyAlignment="1" applyProtection="1">
      <alignment horizontal="right" indent="1"/>
    </xf>
    <xf numFmtId="0" fontId="36" fillId="7" borderId="0" xfId="0" applyFont="1" applyFill="1" applyAlignment="1">
      <alignment horizontal="center"/>
    </xf>
    <xf numFmtId="0" fontId="4" fillId="7" borderId="0" xfId="0" applyFont="1" applyFill="1" applyBorder="1"/>
    <xf numFmtId="20" fontId="4" fillId="7" borderId="0" xfId="0" applyNumberFormat="1" applyFont="1" applyFill="1"/>
    <xf numFmtId="0" fontId="43" fillId="0" borderId="0" xfId="0" applyFont="1" applyFill="1" applyBorder="1" applyAlignment="1" applyProtection="1">
      <alignment vertical="top"/>
    </xf>
    <xf numFmtId="0" fontId="54" fillId="7" borderId="0" xfId="0" applyFont="1" applyFill="1" applyAlignment="1" applyProtection="1">
      <alignment horizontal="left" vertical="center"/>
    </xf>
    <xf numFmtId="0" fontId="43" fillId="0" borderId="0" xfId="0" applyFont="1" applyFill="1" applyBorder="1" applyAlignment="1" applyProtection="1">
      <alignment horizontal="center" vertical="top"/>
    </xf>
    <xf numFmtId="0" fontId="22" fillId="7" borderId="11" xfId="0" applyFont="1" applyFill="1" applyBorder="1" applyAlignment="1" applyProtection="1">
      <alignment horizontal="center" vertical="center"/>
      <protection hidden="1"/>
    </xf>
    <xf numFmtId="0" fontId="22" fillId="6" borderId="11" xfId="0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Protection="1"/>
    <xf numFmtId="0" fontId="59" fillId="7" borderId="0" xfId="0" applyFont="1" applyFill="1" applyAlignment="1" applyProtection="1">
      <alignment vertical="center"/>
    </xf>
    <xf numFmtId="0" fontId="59" fillId="7" borderId="0" xfId="0" applyFont="1" applyFill="1" applyProtection="1"/>
    <xf numFmtId="0" fontId="49" fillId="0" borderId="0" xfId="0" applyFont="1" applyFill="1" applyProtection="1"/>
    <xf numFmtId="3" fontId="43" fillId="0" borderId="0" xfId="0" applyNumberFormat="1" applyFont="1" applyFill="1" applyBorder="1" applyAlignment="1" applyProtection="1">
      <alignment vertical="center"/>
    </xf>
    <xf numFmtId="49" fontId="43" fillId="0" borderId="0" xfId="0" applyNumberFormat="1" applyFont="1" applyFill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Border="1" applyAlignment="1" applyProtection="1">
      <alignment vertical="center"/>
    </xf>
    <xf numFmtId="174" fontId="43" fillId="0" borderId="0" xfId="4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Protection="1">
      <protection hidden="1"/>
    </xf>
    <xf numFmtId="3" fontId="22" fillId="0" borderId="0" xfId="0" applyNumberFormat="1" applyFont="1" applyFill="1" applyProtection="1">
      <protection hidden="1"/>
    </xf>
    <xf numFmtId="0" fontId="67" fillId="0" borderId="0" xfId="0" applyFont="1"/>
    <xf numFmtId="0" fontId="9" fillId="0" borderId="0" xfId="0" applyFont="1"/>
    <xf numFmtId="0" fontId="68" fillId="0" borderId="0" xfId="1" applyFont="1" applyFill="1" applyBorder="1" applyAlignment="1" applyProtection="1">
      <alignment vertical="center"/>
      <protection locked="0"/>
    </xf>
    <xf numFmtId="0" fontId="68" fillId="0" borderId="0" xfId="1" applyFont="1" applyFill="1" applyBorder="1" applyAlignment="1" applyProtection="1">
      <alignment vertical="center"/>
    </xf>
    <xf numFmtId="0" fontId="43" fillId="0" borderId="0" xfId="0" applyFont="1" applyFill="1" applyProtection="1"/>
    <xf numFmtId="49" fontId="43" fillId="0" borderId="0" xfId="0" applyNumberFormat="1" applyFont="1" applyFill="1" applyBorder="1" applyProtection="1"/>
    <xf numFmtId="0" fontId="43" fillId="0" borderId="0" xfId="0" applyFont="1" applyFill="1" applyBorder="1" applyProtection="1">
      <protection hidden="1"/>
    </xf>
    <xf numFmtId="0" fontId="43" fillId="0" borderId="0" xfId="0" applyFont="1" applyFill="1" applyBorder="1" applyAlignment="1" applyProtection="1">
      <alignment horizontal="center"/>
    </xf>
    <xf numFmtId="0" fontId="43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horizontal="center" vertical="center"/>
    </xf>
    <xf numFmtId="0" fontId="55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vertical="center"/>
    </xf>
    <xf numFmtId="0" fontId="43" fillId="0" borderId="0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horizontal="center" vertical="center"/>
    </xf>
    <xf numFmtId="0" fontId="43" fillId="7" borderId="0" xfId="0" applyFont="1" applyFill="1" applyBorder="1" applyAlignment="1" applyProtection="1">
      <alignment vertical="top"/>
    </xf>
    <xf numFmtId="9" fontId="43" fillId="0" borderId="0" xfId="0" applyNumberFormat="1" applyFont="1" applyFill="1" applyBorder="1" applyProtection="1"/>
    <xf numFmtId="9" fontId="54" fillId="0" borderId="0" xfId="3" applyFont="1" applyFill="1" applyBorder="1" applyAlignment="1" applyProtection="1">
      <alignment horizontal="center"/>
      <protection locked="0"/>
    </xf>
    <xf numFmtId="0" fontId="54" fillId="0" borderId="0" xfId="0" applyFont="1" applyFill="1" applyProtection="1"/>
    <xf numFmtId="9" fontId="43" fillId="0" borderId="0" xfId="3" applyFont="1" applyFill="1" applyBorder="1" applyAlignment="1" applyProtection="1">
      <alignment horizontal="center"/>
    </xf>
    <xf numFmtId="9" fontId="54" fillId="0" borderId="0" xfId="3" applyFont="1" applyFill="1" applyBorder="1" applyAlignment="1" applyProtection="1">
      <alignment horizontal="center"/>
    </xf>
    <xf numFmtId="0" fontId="70" fillId="0" borderId="0" xfId="0" applyFont="1" applyFill="1" applyProtection="1"/>
    <xf numFmtId="0" fontId="69" fillId="0" borderId="0" xfId="0" applyFont="1" applyFill="1" applyAlignment="1" applyProtection="1">
      <alignment vertical="center"/>
    </xf>
    <xf numFmtId="2" fontId="4" fillId="7" borderId="0" xfId="0" applyNumberFormat="1" applyFont="1" applyFill="1"/>
    <xf numFmtId="1" fontId="22" fillId="10" borderId="125" xfId="0" applyNumberFormat="1" applyFont="1" applyFill="1" applyBorder="1" applyAlignment="1" applyProtection="1">
      <alignment horizontal="left" indent="1"/>
      <protection locked="0"/>
    </xf>
    <xf numFmtId="0" fontId="22" fillId="0" borderId="1" xfId="0" applyNumberFormat="1" applyFont="1" applyFill="1" applyBorder="1" applyAlignment="1" applyProtection="1">
      <alignment vertical="top"/>
    </xf>
    <xf numFmtId="0" fontId="22" fillId="10" borderId="1" xfId="0" applyNumberFormat="1" applyFont="1" applyFill="1" applyBorder="1" applyAlignment="1" applyProtection="1">
      <alignment vertical="top"/>
      <protection locked="0"/>
    </xf>
    <xf numFmtId="0" fontId="22" fillId="0" borderId="0" xfId="0" applyFont="1" applyBorder="1"/>
    <xf numFmtId="0" fontId="22" fillId="0" borderId="0" xfId="0" applyFont="1" applyFill="1" applyBorder="1" applyAlignment="1" applyProtection="1">
      <alignment vertical="top"/>
    </xf>
    <xf numFmtId="0" fontId="22" fillId="0" borderId="0" xfId="0" applyNumberFormat="1" applyFont="1" applyFill="1" applyBorder="1" applyAlignment="1" applyProtection="1">
      <alignment vertical="top"/>
    </xf>
    <xf numFmtId="0" fontId="22" fillId="7" borderId="1" xfId="0" applyNumberFormat="1" applyFont="1" applyFill="1" applyBorder="1" applyAlignment="1" applyProtection="1">
      <alignment vertical="top"/>
    </xf>
    <xf numFmtId="9" fontId="7" fillId="10" borderId="65" xfId="3" applyFont="1" applyFill="1" applyBorder="1" applyAlignment="1" applyProtection="1">
      <alignment horizontal="center" vertical="center"/>
      <protection locked="0"/>
    </xf>
    <xf numFmtId="9" fontId="34" fillId="7" borderId="0" xfId="3" applyFont="1" applyFill="1" applyAlignment="1" applyProtection="1">
      <alignment horizontal="center" vertical="top"/>
    </xf>
    <xf numFmtId="170" fontId="22" fillId="0" borderId="136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left" vertical="top"/>
    </xf>
    <xf numFmtId="170" fontId="22" fillId="7" borderId="0" xfId="0" applyNumberFormat="1" applyFont="1" applyFill="1" applyAlignment="1" applyProtection="1">
      <alignment vertical="center"/>
      <protection locked="0"/>
    </xf>
    <xf numFmtId="0" fontId="4" fillId="0" borderId="0" xfId="0" applyFont="1" applyFill="1" applyProtection="1"/>
    <xf numFmtId="0" fontId="33" fillId="0" borderId="0" xfId="0" applyFont="1" applyFill="1" applyAlignment="1"/>
    <xf numFmtId="0" fontId="33" fillId="0" borderId="0" xfId="0" applyFont="1" applyFill="1" applyBorder="1" applyAlignment="1" applyProtection="1"/>
    <xf numFmtId="0" fontId="22" fillId="0" borderId="0" xfId="0" applyFont="1" applyFill="1" applyAlignment="1"/>
    <xf numFmtId="3" fontId="47" fillId="7" borderId="0" xfId="0" applyNumberFormat="1" applyFont="1" applyFill="1" applyAlignment="1" applyProtection="1">
      <alignment horizontal="right" indent="1"/>
    </xf>
    <xf numFmtId="1" fontId="47" fillId="7" borderId="0" xfId="0" applyNumberFormat="1" applyFont="1" applyFill="1" applyAlignment="1" applyProtection="1">
      <alignment horizontal="right" vertical="center" indent="1"/>
    </xf>
    <xf numFmtId="9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top"/>
    </xf>
    <xf numFmtId="0" fontId="9" fillId="0" borderId="0" xfId="0" applyFont="1" applyFill="1" applyAlignment="1" applyProtection="1">
      <alignment horizontal="left" vertical="top"/>
    </xf>
    <xf numFmtId="49" fontId="22" fillId="0" borderId="0" xfId="0" applyNumberFormat="1" applyFont="1" applyFill="1" applyBorder="1" applyAlignment="1" applyProtection="1">
      <alignment vertical="top"/>
    </xf>
    <xf numFmtId="0" fontId="33" fillId="0" borderId="0" xfId="0" applyFont="1" applyFill="1" applyBorder="1" applyAlignment="1" applyProtection="1">
      <alignment vertical="top"/>
    </xf>
    <xf numFmtId="49" fontId="9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horizontal="left" vertical="center" indent="1"/>
    </xf>
    <xf numFmtId="49" fontId="22" fillId="0" borderId="0" xfId="0" applyNumberFormat="1" applyFont="1" applyFill="1" applyBorder="1" applyAlignment="1" applyProtection="1">
      <alignment horizontal="left" vertical="center" indent="1"/>
    </xf>
    <xf numFmtId="0" fontId="38" fillId="0" borderId="0" xfId="0" applyFont="1" applyFill="1" applyBorder="1" applyAlignment="1" applyProtection="1">
      <alignment vertical="top"/>
    </xf>
    <xf numFmtId="0" fontId="9" fillId="7" borderId="0" xfId="0" applyFont="1" applyFill="1" applyAlignment="1" applyProtection="1">
      <alignment horizontal="left" vertical="top"/>
    </xf>
    <xf numFmtId="0" fontId="22" fillId="0" borderId="0" xfId="0" applyFont="1" applyFill="1" applyAlignment="1" applyProtection="1">
      <alignment horizontal="right" vertical="top"/>
    </xf>
    <xf numFmtId="0" fontId="38" fillId="0" borderId="0" xfId="0" applyFont="1" applyFill="1" applyBorder="1" applyAlignment="1" applyProtection="1">
      <alignment horizontal="left" vertical="center"/>
    </xf>
    <xf numFmtId="0" fontId="38" fillId="0" borderId="0" xfId="0" applyNumberFormat="1" applyFont="1" applyFill="1" applyBorder="1" applyAlignment="1" applyProtection="1">
      <alignment vertical="top"/>
    </xf>
    <xf numFmtId="49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49" fontId="38" fillId="0" borderId="0" xfId="0" applyNumberFormat="1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right" vertical="top"/>
    </xf>
    <xf numFmtId="9" fontId="22" fillId="0" borderId="124" xfId="0" applyNumberFormat="1" applyFont="1" applyFill="1" applyBorder="1" applyAlignment="1" applyProtection="1">
      <alignment horizontal="center"/>
    </xf>
    <xf numFmtId="49" fontId="22" fillId="7" borderId="38" xfId="0" applyNumberFormat="1" applyFont="1" applyFill="1" applyBorder="1" applyAlignment="1" applyProtection="1">
      <alignment horizontal="center"/>
    </xf>
    <xf numFmtId="0" fontId="57" fillId="7" borderId="0" xfId="0" applyFont="1" applyFill="1" applyBorder="1" applyProtection="1"/>
    <xf numFmtId="49" fontId="22" fillId="0" borderId="0" xfId="0" applyNumberFormat="1" applyFont="1" applyFill="1" applyBorder="1" applyAlignment="1" applyProtection="1">
      <alignment horizontal="left"/>
    </xf>
    <xf numFmtId="0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Fill="1" applyBorder="1" applyProtection="1">
      <protection locked="0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2" fillId="0" borderId="0" xfId="0" applyNumberFormat="1" applyFont="1" applyFill="1" applyBorder="1" applyAlignment="1" applyProtection="1">
      <alignment horizontal="center" vertical="top"/>
    </xf>
    <xf numFmtId="0" fontId="69" fillId="0" borderId="0" xfId="0" applyFont="1" applyFill="1" applyBorder="1" applyAlignment="1" applyProtection="1">
      <alignment horizontal="center" vertical="top"/>
    </xf>
    <xf numFmtId="0" fontId="43" fillId="0" borderId="0" xfId="0" applyFont="1" applyBorder="1" applyAlignment="1">
      <alignment horizontal="center"/>
    </xf>
    <xf numFmtId="0" fontId="22" fillId="0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center"/>
    </xf>
    <xf numFmtId="9" fontId="7" fillId="7" borderId="0" xfId="3" applyFont="1" applyFill="1" applyBorder="1" applyAlignment="1" applyProtection="1">
      <alignment horizontal="center" vertical="top"/>
    </xf>
    <xf numFmtId="9" fontId="7" fillId="0" borderId="0" xfId="3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vertical="top"/>
    </xf>
    <xf numFmtId="0" fontId="4" fillId="7" borderId="0" xfId="0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horizontal="center" vertical="top"/>
    </xf>
    <xf numFmtId="0" fontId="66" fillId="7" borderId="0" xfId="0" applyFont="1" applyFill="1" applyProtection="1"/>
    <xf numFmtId="0" fontId="50" fillId="7" borderId="0" xfId="0" applyFont="1" applyFill="1" applyAlignment="1" applyProtection="1">
      <alignment horizontal="right" vertical="center"/>
    </xf>
    <xf numFmtId="0" fontId="73" fillId="7" borderId="0" xfId="0" applyFont="1" applyFill="1" applyProtection="1"/>
    <xf numFmtId="0" fontId="22" fillId="0" borderId="0" xfId="9" applyFont="1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center"/>
    </xf>
    <xf numFmtId="3" fontId="39" fillId="17" borderId="99" xfId="8" applyNumberFormat="1" applyFont="1" applyBorder="1" applyAlignment="1" applyProtection="1">
      <alignment horizontal="right" indent="1"/>
      <protection locked="0"/>
    </xf>
    <xf numFmtId="3" fontId="39" fillId="17" borderId="65" xfId="8" applyNumberFormat="1" applyFont="1" applyBorder="1" applyAlignment="1" applyProtection="1">
      <alignment horizontal="right" indent="1"/>
      <protection locked="0"/>
    </xf>
    <xf numFmtId="175" fontId="39" fillId="17" borderId="45" xfId="8" applyNumberFormat="1" applyFont="1" applyBorder="1" applyAlignment="1" applyProtection="1">
      <alignment horizontal="right" indent="1"/>
      <protection locked="0"/>
    </xf>
    <xf numFmtId="3" fontId="22" fillId="7" borderId="0" xfId="0" applyNumberFormat="1" applyFont="1" applyFill="1" applyBorder="1" applyAlignment="1" applyProtection="1">
      <alignment horizontal="right" vertical="top" indent="1"/>
    </xf>
    <xf numFmtId="0" fontId="22" fillId="0" borderId="68" xfId="0" applyFont="1" applyFill="1" applyBorder="1" applyAlignment="1" applyProtection="1">
      <alignment vertical="top"/>
    </xf>
    <xf numFmtId="3" fontId="22" fillId="0" borderId="62" xfId="0" applyNumberFormat="1" applyFont="1" applyFill="1" applyBorder="1" applyAlignment="1" applyProtection="1">
      <alignment horizontal="right" vertical="top" indent="1"/>
    </xf>
    <xf numFmtId="0" fontId="22" fillId="0" borderId="10" xfId="9" applyFont="1" applyFill="1" applyBorder="1" applyAlignment="1" applyProtection="1">
      <alignment vertical="top"/>
    </xf>
    <xf numFmtId="3" fontId="22" fillId="0" borderId="144" xfId="0" applyNumberFormat="1" applyFont="1" applyFill="1" applyBorder="1" applyAlignment="1" applyProtection="1">
      <alignment horizontal="right" vertical="top" indent="1"/>
    </xf>
    <xf numFmtId="3" fontId="22" fillId="7" borderId="53" xfId="0" applyNumberFormat="1" applyFont="1" applyFill="1" applyBorder="1" applyAlignment="1" applyProtection="1">
      <alignment horizontal="right" vertical="top" indent="1"/>
    </xf>
    <xf numFmtId="3" fontId="22" fillId="10" borderId="2" xfId="0" applyNumberFormat="1" applyFont="1" applyFill="1" applyBorder="1" applyAlignment="1" applyProtection="1">
      <alignment horizontal="right" indent="1"/>
      <protection locked="0"/>
    </xf>
    <xf numFmtId="1" fontId="22" fillId="7" borderId="1" xfId="0" applyNumberFormat="1" applyFont="1" applyFill="1" applyBorder="1" applyAlignment="1" applyProtection="1">
      <alignment horizontal="left"/>
    </xf>
    <xf numFmtId="49" fontId="38" fillId="7" borderId="123" xfId="0" applyNumberFormat="1" applyFont="1" applyFill="1" applyBorder="1" applyAlignment="1" applyProtection="1">
      <alignment horizontal="center"/>
    </xf>
    <xf numFmtId="1" fontId="22" fillId="7" borderId="0" xfId="0" applyNumberFormat="1" applyFont="1" applyFill="1" applyBorder="1" applyAlignment="1" applyProtection="1">
      <alignment horizontal="left" indent="1"/>
    </xf>
    <xf numFmtId="3" fontId="22" fillId="7" borderId="0" xfId="0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 applyProtection="1">
      <alignment horizontal="left" indent="1"/>
      <protection locked="0"/>
    </xf>
    <xf numFmtId="3" fontId="22" fillId="7" borderId="0" xfId="0" applyNumberFormat="1" applyFont="1" applyFill="1" applyBorder="1" applyAlignment="1" applyProtection="1">
      <alignment horizontal="right" indent="1"/>
      <protection locked="0"/>
    </xf>
    <xf numFmtId="9" fontId="22" fillId="7" borderId="0" xfId="0" applyNumberFormat="1" applyFont="1" applyFill="1" applyBorder="1" applyAlignment="1" applyProtection="1">
      <alignment horizontal="center"/>
    </xf>
    <xf numFmtId="2" fontId="22" fillId="7" borderId="0" xfId="0" applyNumberFormat="1" applyFont="1" applyFill="1" applyBorder="1" applyAlignment="1" applyProtection="1">
      <alignment horizontal="right" indent="1"/>
    </xf>
    <xf numFmtId="1" fontId="22" fillId="7" borderId="125" xfId="0" applyNumberFormat="1" applyFont="1" applyFill="1" applyBorder="1" applyAlignment="1" applyProtection="1">
      <alignment horizontal="left" indent="1"/>
      <protection hidden="1"/>
    </xf>
    <xf numFmtId="1" fontId="22" fillId="7" borderId="1" xfId="0" applyNumberFormat="1" applyFont="1" applyFill="1" applyBorder="1" applyAlignment="1" applyProtection="1">
      <alignment horizontal="left" indent="1"/>
      <protection hidden="1"/>
    </xf>
    <xf numFmtId="1" fontId="22" fillId="7" borderId="129" xfId="0" applyNumberFormat="1" applyFont="1" applyFill="1" applyBorder="1" applyAlignment="1" applyProtection="1">
      <alignment horizontal="left" indent="1"/>
      <protection hidden="1"/>
    </xf>
    <xf numFmtId="0" fontId="22" fillId="7" borderId="129" xfId="0" applyFont="1" applyFill="1" applyBorder="1" applyProtection="1"/>
    <xf numFmtId="3" fontId="22" fillId="7" borderId="129" xfId="0" applyNumberFormat="1" applyFont="1" applyFill="1" applyBorder="1" applyAlignment="1" applyProtection="1">
      <alignment horizontal="right" indent="1"/>
      <protection hidden="1"/>
    </xf>
    <xf numFmtId="3" fontId="22" fillId="0" borderId="128" xfId="0" applyNumberFormat="1" applyFont="1" applyFill="1" applyBorder="1" applyAlignment="1" applyProtection="1">
      <alignment horizontal="right" indent="1"/>
    </xf>
    <xf numFmtId="1" fontId="22" fillId="7" borderId="149" xfId="0" applyNumberFormat="1" applyFont="1" applyFill="1" applyBorder="1" applyAlignment="1" applyProtection="1">
      <alignment horizontal="left" indent="1"/>
      <protection hidden="1"/>
    </xf>
    <xf numFmtId="0" fontId="22" fillId="7" borderId="149" xfId="0" applyFont="1" applyFill="1" applyBorder="1" applyProtection="1"/>
    <xf numFmtId="3" fontId="22" fillId="7" borderId="149" xfId="0" applyNumberFormat="1" applyFont="1" applyFill="1" applyBorder="1" applyAlignment="1" applyProtection="1">
      <alignment horizontal="right" indent="1"/>
      <protection hidden="1"/>
    </xf>
    <xf numFmtId="3" fontId="22" fillId="0" borderId="150" xfId="0" applyNumberFormat="1" applyFont="1" applyFill="1" applyBorder="1" applyAlignment="1" applyProtection="1">
      <alignment horizontal="right" indent="1"/>
    </xf>
    <xf numFmtId="49" fontId="33" fillId="7" borderId="140" xfId="0" applyNumberFormat="1" applyFont="1" applyFill="1" applyBorder="1" applyAlignment="1" applyProtection="1">
      <alignment horizontal="center"/>
    </xf>
    <xf numFmtId="0" fontId="33" fillId="0" borderId="151" xfId="0" applyNumberFormat="1" applyFont="1" applyFill="1" applyBorder="1" applyAlignment="1" applyProtection="1">
      <alignment horizontal="right"/>
    </xf>
    <xf numFmtId="49" fontId="22" fillId="7" borderId="147" xfId="0" applyNumberFormat="1" applyFont="1" applyFill="1" applyBorder="1" applyAlignment="1" applyProtection="1">
      <alignment horizontal="center"/>
      <protection locked="0"/>
    </xf>
    <xf numFmtId="49" fontId="38" fillId="7" borderId="41" xfId="0" applyNumberFormat="1" applyFont="1" applyFill="1" applyBorder="1" applyAlignment="1" applyProtection="1">
      <alignment horizontal="center"/>
      <protection locked="0"/>
    </xf>
    <xf numFmtId="49" fontId="22" fillId="7" borderId="148" xfId="0" applyNumberFormat="1" applyFont="1" applyFill="1" applyBorder="1" applyAlignment="1" applyProtection="1">
      <alignment horizontal="center"/>
      <protection locked="0"/>
    </xf>
    <xf numFmtId="49" fontId="22" fillId="0" borderId="32" xfId="0" applyNumberFormat="1" applyFont="1" applyFill="1" applyBorder="1" applyProtection="1"/>
    <xf numFmtId="49" fontId="22" fillId="7" borderId="38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Fill="1"/>
    <xf numFmtId="1" fontId="22" fillId="0" borderId="0" xfId="0" applyNumberFormat="1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left"/>
    </xf>
    <xf numFmtId="0" fontId="28" fillId="0" borderId="0" xfId="0" applyFont="1" applyFill="1"/>
    <xf numFmtId="0" fontId="22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wrapText="1"/>
      <protection hidden="1"/>
    </xf>
    <xf numFmtId="3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>
      <alignment horizontal="center" vertical="center"/>
    </xf>
    <xf numFmtId="1" fontId="38" fillId="0" borderId="0" xfId="0" applyNumberFormat="1" applyFont="1" applyFill="1" applyBorder="1" applyAlignment="1" applyProtection="1">
      <alignment vertical="center" wrapText="1"/>
    </xf>
    <xf numFmtId="1" fontId="38" fillId="0" borderId="0" xfId="0" applyNumberFormat="1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vertical="center" wrapText="1"/>
    </xf>
    <xf numFmtId="0" fontId="22" fillId="7" borderId="38" xfId="0" applyNumberFormat="1" applyFont="1" applyFill="1" applyBorder="1" applyAlignment="1" applyProtection="1">
      <alignment horizontal="center"/>
      <protection hidden="1"/>
    </xf>
    <xf numFmtId="9" fontId="33" fillId="0" borderId="151" xfId="3" applyNumberFormat="1" applyFont="1" applyFill="1" applyBorder="1" applyAlignment="1" applyProtection="1">
      <alignment horizontal="center"/>
    </xf>
    <xf numFmtId="0" fontId="38" fillId="9" borderId="66" xfId="0" applyFont="1" applyFill="1" applyBorder="1" applyAlignment="1" applyProtection="1">
      <alignment horizontal="right" vertical="center" indent="1"/>
    </xf>
    <xf numFmtId="9" fontId="33" fillId="0" borderId="153" xfId="3" applyNumberFormat="1" applyFont="1" applyFill="1" applyBorder="1" applyAlignment="1" applyProtection="1">
      <alignment horizontal="center"/>
    </xf>
    <xf numFmtId="9" fontId="33" fillId="0" borderId="155" xfId="3" applyFont="1" applyFill="1" applyBorder="1" applyAlignment="1" applyProtection="1">
      <alignment horizontal="center"/>
    </xf>
    <xf numFmtId="9" fontId="33" fillId="0" borderId="19" xfId="3" applyFont="1" applyFill="1" applyBorder="1" applyAlignment="1" applyProtection="1">
      <alignment horizontal="center"/>
    </xf>
    <xf numFmtId="0" fontId="43" fillId="7" borderId="0" xfId="0" applyFont="1" applyFill="1" applyAlignment="1" applyProtection="1">
      <alignment horizontal="center" vertical="center"/>
    </xf>
    <xf numFmtId="0" fontId="43" fillId="0" borderId="0" xfId="0" applyFont="1" applyFill="1" applyAlignment="1" applyProtection="1">
      <alignment horizontal="center" vertical="top"/>
    </xf>
    <xf numFmtId="0" fontId="22" fillId="10" borderId="30" xfId="0" applyNumberFormat="1" applyFont="1" applyFill="1" applyBorder="1" applyAlignment="1" applyProtection="1">
      <alignment vertical="top"/>
    </xf>
    <xf numFmtId="1" fontId="38" fillId="0" borderId="41" xfId="0" applyNumberFormat="1" applyFont="1" applyFill="1" applyBorder="1" applyAlignment="1" applyProtection="1">
      <alignment horizontal="center" vertical="top"/>
    </xf>
    <xf numFmtId="9" fontId="33" fillId="0" borderId="41" xfId="3" applyFont="1" applyFill="1" applyBorder="1" applyAlignment="1" applyProtection="1">
      <alignment horizontal="center" vertical="top"/>
    </xf>
    <xf numFmtId="1" fontId="33" fillId="0" borderId="143" xfId="0" applyNumberFormat="1" applyFont="1" applyFill="1" applyBorder="1" applyAlignment="1" applyProtection="1">
      <alignment horizontal="center" vertical="top"/>
    </xf>
    <xf numFmtId="1" fontId="33" fillId="0" borderId="138" xfId="0" applyNumberFormat="1" applyFont="1" applyFill="1" applyBorder="1" applyAlignment="1" applyProtection="1">
      <alignment horizontal="center" vertical="top"/>
    </xf>
    <xf numFmtId="1" fontId="33" fillId="0" borderId="55" xfId="0" applyNumberFormat="1" applyFont="1" applyFill="1" applyBorder="1" applyAlignment="1" applyProtection="1">
      <alignment vertical="center"/>
    </xf>
    <xf numFmtId="49" fontId="33" fillId="0" borderId="47" xfId="0" applyNumberFormat="1" applyFont="1" applyFill="1" applyBorder="1" applyAlignment="1" applyProtection="1">
      <alignment vertical="center"/>
    </xf>
    <xf numFmtId="170" fontId="5" fillId="7" borderId="0" xfId="0" applyNumberFormat="1" applyFont="1" applyFill="1" applyAlignment="1" applyProtection="1">
      <alignment horizontal="center" vertical="top"/>
    </xf>
    <xf numFmtId="170" fontId="22" fillId="0" borderId="142" xfId="0" applyNumberFormat="1" applyFont="1" applyFill="1" applyBorder="1" applyAlignment="1" applyProtection="1">
      <alignment horizontal="right"/>
    </xf>
    <xf numFmtId="170" fontId="22" fillId="0" borderId="4" xfId="0" applyNumberFormat="1" applyFont="1" applyFill="1" applyBorder="1" applyAlignment="1" applyProtection="1">
      <alignment horizontal="right" vertical="center"/>
    </xf>
    <xf numFmtId="0" fontId="28" fillId="0" borderId="0" xfId="0" applyFont="1" applyFill="1" applyAlignment="1" applyProtection="1">
      <alignment vertical="top"/>
    </xf>
    <xf numFmtId="170" fontId="22" fillId="0" borderId="135" xfId="0" applyNumberFormat="1" applyFont="1" applyFill="1" applyBorder="1" applyAlignment="1" applyProtection="1">
      <alignment horizontal="right"/>
    </xf>
    <xf numFmtId="9" fontId="34" fillId="7" borderId="0" xfId="3" applyFont="1" applyFill="1" applyBorder="1" applyAlignment="1" applyProtection="1">
      <alignment horizontal="center" vertical="top"/>
    </xf>
    <xf numFmtId="0" fontId="34" fillId="7" borderId="0" xfId="0" applyFont="1" applyFill="1" applyBorder="1" applyAlignment="1" applyProtection="1">
      <alignment horizontal="center" vertical="center"/>
    </xf>
    <xf numFmtId="38" fontId="22" fillId="7" borderId="0" xfId="0" applyNumberFormat="1" applyFont="1" applyFill="1" applyBorder="1" applyAlignment="1" applyProtection="1"/>
    <xf numFmtId="0" fontId="34" fillId="7" borderId="0" xfId="0" applyFont="1" applyFill="1" applyBorder="1" applyAlignment="1" applyProtection="1">
      <alignment horizontal="right" vertical="top" indent="1"/>
      <protection locked="0"/>
    </xf>
    <xf numFmtId="0" fontId="22" fillId="0" borderId="0" xfId="0" applyFont="1" applyAlignment="1"/>
    <xf numFmtId="3" fontId="9" fillId="7" borderId="0" xfId="0" applyNumberFormat="1" applyFont="1" applyFill="1" applyAlignment="1" applyProtection="1">
      <alignment vertical="center"/>
      <protection locked="0"/>
    </xf>
    <xf numFmtId="0" fontId="38" fillId="0" borderId="41" xfId="0" applyNumberFormat="1" applyFont="1" applyFill="1" applyBorder="1" applyAlignment="1" applyProtection="1">
      <alignment vertical="center"/>
    </xf>
    <xf numFmtId="0" fontId="22" fillId="0" borderId="50" xfId="0" applyFont="1" applyFill="1" applyBorder="1" applyAlignment="1" applyProtection="1">
      <alignment horizontal="left" vertical="center"/>
    </xf>
    <xf numFmtId="0" fontId="9" fillId="0" borderId="10" xfId="0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horizontal="left" vertical="center"/>
    </xf>
    <xf numFmtId="49" fontId="9" fillId="7" borderId="58" xfId="0" applyNumberFormat="1" applyFont="1" applyFill="1" applyBorder="1" applyAlignment="1" applyProtection="1">
      <alignment horizontal="center" vertical="center"/>
    </xf>
    <xf numFmtId="3" fontId="9" fillId="7" borderId="0" xfId="0" applyNumberFormat="1" applyFont="1" applyFill="1" applyBorder="1" applyAlignment="1" applyProtection="1">
      <alignment horizontal="right" vertical="center" indent="1"/>
    </xf>
    <xf numFmtId="0" fontId="9" fillId="0" borderId="0" xfId="0" applyFont="1" applyFill="1" applyBorder="1" applyAlignment="1" applyProtection="1">
      <alignment vertical="center"/>
    </xf>
    <xf numFmtId="49" fontId="9" fillId="7" borderId="12" xfId="0" applyNumberFormat="1" applyFont="1" applyFill="1" applyBorder="1" applyAlignment="1" applyProtection="1">
      <alignment horizontal="center" vertical="center"/>
    </xf>
    <xf numFmtId="169" fontId="9" fillId="7" borderId="0" xfId="0" applyNumberFormat="1" applyFont="1" applyFill="1" applyBorder="1" applyAlignment="1" applyProtection="1">
      <alignment horizontal="right" vertical="center" indent="1"/>
    </xf>
    <xf numFmtId="0" fontId="69" fillId="0" borderId="0" xfId="0" applyFont="1" applyFill="1" applyBorder="1" applyAlignment="1" applyProtection="1">
      <alignment vertical="center"/>
    </xf>
    <xf numFmtId="0" fontId="50" fillId="7" borderId="0" xfId="0" applyFont="1" applyFill="1" applyBorder="1" applyAlignment="1" applyProtection="1">
      <alignment horizontal="center" vertical="center"/>
    </xf>
    <xf numFmtId="0" fontId="9" fillId="7" borderId="0" xfId="0" applyFont="1" applyFill="1" applyBorder="1" applyAlignment="1" applyProtection="1">
      <alignment vertical="top"/>
      <protection locked="0"/>
    </xf>
    <xf numFmtId="38" fontId="9" fillId="7" borderId="0" xfId="0" applyNumberFormat="1" applyFont="1" applyFill="1" applyBorder="1" applyAlignment="1" applyProtection="1">
      <alignment horizontal="right" vertical="center"/>
    </xf>
    <xf numFmtId="3" fontId="9" fillId="7" borderId="0" xfId="0" applyNumberFormat="1" applyFont="1" applyFill="1" applyBorder="1" applyAlignment="1" applyProtection="1">
      <alignment horizontal="right" vertical="top" indent="1"/>
    </xf>
    <xf numFmtId="0" fontId="9" fillId="0" borderId="0" xfId="9" applyFont="1" applyFill="1" applyBorder="1" applyAlignment="1" applyProtection="1">
      <alignment vertical="top"/>
    </xf>
    <xf numFmtId="0" fontId="9" fillId="7" borderId="0" xfId="0" applyFont="1" applyFill="1" applyBorder="1" applyAlignment="1" applyProtection="1">
      <alignment horizontal="center" vertical="center"/>
    </xf>
    <xf numFmtId="0" fontId="9" fillId="0" borderId="0" xfId="0" applyFont="1" applyBorder="1"/>
    <xf numFmtId="0" fontId="69" fillId="0" borderId="0" xfId="0" applyFont="1" applyBorder="1" applyAlignment="1">
      <alignment horizontal="center"/>
    </xf>
    <xf numFmtId="0" fontId="9" fillId="0" borderId="0" xfId="0" applyFont="1" applyFill="1" applyAlignment="1" applyProtection="1">
      <alignment horizontal="center" vertical="center"/>
    </xf>
    <xf numFmtId="0" fontId="50" fillId="0" borderId="0" xfId="9" applyFont="1" applyFill="1" applyBorder="1" applyAlignment="1" applyProtection="1">
      <alignment vertical="top"/>
    </xf>
    <xf numFmtId="0" fontId="34" fillId="7" borderId="0" xfId="0" applyFont="1" applyFill="1" applyAlignment="1" applyProtection="1">
      <alignment horizontal="right" vertical="center"/>
    </xf>
    <xf numFmtId="0" fontId="34" fillId="7" borderId="0" xfId="0" applyFont="1" applyFill="1" applyAlignment="1" applyProtection="1">
      <alignment horizontal="right" vertical="center" indent="1"/>
    </xf>
    <xf numFmtId="3" fontId="43" fillId="7" borderId="0" xfId="0" applyNumberFormat="1" applyFont="1" applyFill="1" applyAlignment="1" applyProtection="1">
      <alignment vertical="center"/>
      <protection locked="0"/>
    </xf>
    <xf numFmtId="9" fontId="34" fillId="7" borderId="0" xfId="0" applyNumberFormat="1" applyFont="1" applyFill="1" applyAlignment="1" applyProtection="1">
      <alignment horizontal="center" vertical="center"/>
    </xf>
    <xf numFmtId="0" fontId="47" fillId="7" borderId="0" xfId="0" applyFont="1" applyFill="1" applyAlignment="1" applyProtection="1">
      <alignment horizontal="center" vertical="center"/>
    </xf>
    <xf numFmtId="0" fontId="75" fillId="7" borderId="0" xfId="0" applyFont="1" applyFill="1" applyAlignment="1" applyProtection="1">
      <alignment horizontal="left"/>
    </xf>
    <xf numFmtId="170" fontId="22" fillId="7" borderId="0" xfId="0" applyNumberFormat="1" applyFont="1" applyFill="1" applyBorder="1" applyAlignment="1" applyProtection="1">
      <alignment horizontal="right"/>
    </xf>
    <xf numFmtId="0" fontId="74" fillId="7" borderId="0" xfId="0" applyFont="1" applyFill="1" applyAlignment="1">
      <alignment horizontal="center" vertical="center" readingOrder="1"/>
    </xf>
    <xf numFmtId="1" fontId="22" fillId="0" borderId="1" xfId="0" applyNumberFormat="1" applyFont="1" applyFill="1" applyBorder="1" applyAlignment="1" applyProtection="1">
      <alignment horizontal="left"/>
      <protection hidden="1"/>
    </xf>
    <xf numFmtId="0" fontId="36" fillId="7" borderId="0" xfId="0" applyFont="1" applyFill="1" applyAlignment="1" applyProtection="1">
      <alignment horizontal="right" vertical="center"/>
    </xf>
    <xf numFmtId="0" fontId="30" fillId="7" borderId="0" xfId="0" applyFont="1" applyFill="1" applyAlignment="1" applyProtection="1">
      <alignment horizontal="center" vertical="center"/>
    </xf>
    <xf numFmtId="1" fontId="34" fillId="7" borderId="0" xfId="0" applyNumberFormat="1" applyFont="1" applyFill="1" applyAlignment="1" applyProtection="1">
      <alignment horizontal="right"/>
      <protection hidden="1"/>
    </xf>
    <xf numFmtId="1" fontId="25" fillId="7" borderId="0" xfId="4" applyNumberFormat="1" applyFont="1" applyFill="1" applyAlignment="1" applyProtection="1">
      <alignment horizontal="right" indent="1"/>
      <protection hidden="1"/>
    </xf>
    <xf numFmtId="1" fontId="34" fillId="7" borderId="0" xfId="0" applyNumberFormat="1" applyFont="1" applyFill="1" applyProtection="1">
      <protection hidden="1"/>
    </xf>
    <xf numFmtId="1" fontId="34" fillId="0" borderId="0" xfId="0" applyNumberFormat="1" applyFont="1" applyFill="1" applyBorder="1" applyProtection="1"/>
    <xf numFmtId="1" fontId="34" fillId="0" borderId="0" xfId="0" applyNumberFormat="1" applyFont="1" applyFill="1" applyProtection="1"/>
    <xf numFmtId="1" fontId="34" fillId="7" borderId="0" xfId="0" applyNumberFormat="1" applyFont="1" applyFill="1" applyAlignment="1" applyProtection="1">
      <alignment horizontal="center"/>
      <protection hidden="1"/>
    </xf>
    <xf numFmtId="3" fontId="22" fillId="7" borderId="0" xfId="0" applyNumberFormat="1" applyFont="1" applyFill="1" applyAlignment="1" applyProtection="1"/>
    <xf numFmtId="173" fontId="34" fillId="7" borderId="0" xfId="4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Border="1" applyAlignment="1" applyProtection="1">
      <alignment horizontal="right" indent="1"/>
      <protection hidden="1"/>
    </xf>
    <xf numFmtId="1" fontId="34" fillId="7" borderId="0" xfId="3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left" indent="1"/>
      <protection hidden="1"/>
    </xf>
    <xf numFmtId="1" fontId="34" fillId="7" borderId="0" xfId="3" applyNumberFormat="1" applyFont="1" applyFill="1" applyAlignment="1" applyProtection="1">
      <alignment horizontal="right" indent="1"/>
      <protection hidden="1"/>
    </xf>
    <xf numFmtId="1" fontId="42" fillId="7" borderId="0" xfId="0" applyNumberFormat="1" applyFont="1" applyFill="1" applyBorder="1" applyAlignment="1" applyProtection="1">
      <alignment horizontal="center" vertical="center"/>
      <protection hidden="1"/>
    </xf>
    <xf numFmtId="1" fontId="42" fillId="7" borderId="0" xfId="0" applyNumberFormat="1" applyFont="1" applyFill="1" applyBorder="1" applyAlignment="1" applyProtection="1">
      <alignment horizontal="left" vertical="center"/>
      <protection hidden="1"/>
    </xf>
    <xf numFmtId="4" fontId="34" fillId="7" borderId="0" xfId="0" applyNumberFormat="1" applyFont="1" applyFill="1" applyBorder="1" applyAlignment="1" applyProtection="1">
      <alignment horizontal="right" indent="1"/>
      <protection hidden="1"/>
    </xf>
    <xf numFmtId="0" fontId="34" fillId="7" borderId="0" xfId="0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 indent="1"/>
      <protection hidden="1"/>
    </xf>
    <xf numFmtId="0" fontId="28" fillId="7" borderId="0" xfId="0" applyFont="1" applyFill="1" applyAlignment="1" applyProtection="1">
      <alignment horizontal="center"/>
    </xf>
    <xf numFmtId="1" fontId="34" fillId="7" borderId="0" xfId="0" applyNumberFormat="1" applyFont="1" applyFill="1" applyAlignment="1" applyProtection="1">
      <alignment horizontal="right" vertical="center" indent="1"/>
    </xf>
    <xf numFmtId="0" fontId="37" fillId="7" borderId="0" xfId="0" applyFont="1" applyFill="1"/>
    <xf numFmtId="38" fontId="34" fillId="7" borderId="0" xfId="0" applyNumberFormat="1" applyFont="1" applyFill="1" applyAlignment="1" applyProtection="1">
      <protection hidden="1"/>
    </xf>
    <xf numFmtId="14" fontId="6" fillId="2" borderId="0" xfId="0" applyNumberFormat="1" applyFont="1" applyFill="1" applyBorder="1" applyAlignment="1">
      <alignment horizontal="center"/>
    </xf>
    <xf numFmtId="0" fontId="22" fillId="10" borderId="30" xfId="0" applyNumberFormat="1" applyFont="1" applyFill="1" applyBorder="1" applyAlignment="1" applyProtection="1">
      <alignment vertical="top"/>
      <protection locked="0" hidden="1"/>
    </xf>
    <xf numFmtId="0" fontId="22" fillId="0" borderId="30" xfId="0" applyNumberFormat="1" applyFont="1" applyFill="1" applyBorder="1" applyAlignment="1" applyProtection="1">
      <alignment vertical="top"/>
      <protection hidden="1"/>
    </xf>
    <xf numFmtId="0" fontId="38" fillId="0" borderId="30" xfId="0" applyNumberFormat="1" applyFont="1" applyFill="1" applyBorder="1" applyAlignment="1" applyProtection="1">
      <alignment vertical="top"/>
      <protection hidden="1"/>
    </xf>
    <xf numFmtId="0" fontId="22" fillId="0" borderId="141" xfId="0" applyNumberFormat="1" applyFont="1" applyFill="1" applyBorder="1" applyAlignment="1" applyProtection="1">
      <alignment vertical="top"/>
      <protection hidden="1"/>
    </xf>
    <xf numFmtId="0" fontId="38" fillId="0" borderId="88" xfId="0" applyNumberFormat="1" applyFont="1" applyFill="1" applyBorder="1" applyAlignment="1" applyProtection="1">
      <alignment vertical="top"/>
      <protection hidden="1"/>
    </xf>
    <xf numFmtId="0" fontId="22" fillId="0" borderId="129" xfId="0" applyNumberFormat="1" applyFont="1" applyFill="1" applyBorder="1" applyAlignment="1" applyProtection="1">
      <alignment vertical="top"/>
      <protection hidden="1"/>
    </xf>
    <xf numFmtId="170" fontId="22" fillId="0" borderId="1" xfId="0" applyNumberFormat="1" applyFont="1" applyFill="1" applyBorder="1" applyAlignment="1" applyProtection="1">
      <alignment horizontal="left" vertical="top"/>
      <protection hidden="1"/>
    </xf>
    <xf numFmtId="49" fontId="38" fillId="0" borderId="31" xfId="0" applyNumberFormat="1" applyFont="1" applyFill="1" applyBorder="1" applyAlignment="1" applyProtection="1">
      <alignment vertical="center"/>
      <protection hidden="1"/>
    </xf>
    <xf numFmtId="49" fontId="38" fillId="0" borderId="73" xfId="0" applyNumberFormat="1" applyFont="1" applyFill="1" applyBorder="1" applyAlignment="1" applyProtection="1">
      <alignment vertical="top"/>
      <protection hidden="1"/>
    </xf>
    <xf numFmtId="0" fontId="38" fillId="0" borderId="74" xfId="0" applyNumberFormat="1" applyFont="1" applyFill="1" applyBorder="1" applyAlignment="1" applyProtection="1">
      <alignment vertical="center"/>
      <protection hidden="1"/>
    </xf>
    <xf numFmtId="0" fontId="54" fillId="7" borderId="0" xfId="0" applyFont="1" applyFill="1" applyAlignment="1" applyProtection="1">
      <alignment horizontal="left"/>
    </xf>
    <xf numFmtId="0" fontId="76" fillId="7" borderId="0" xfId="0" applyFont="1" applyFill="1" applyAlignment="1" applyProtection="1"/>
    <xf numFmtId="0" fontId="46" fillId="7" borderId="0" xfId="0" applyFont="1" applyFill="1"/>
    <xf numFmtId="0" fontId="46" fillId="7" borderId="0" xfId="0" applyFont="1" applyFill="1" applyProtection="1"/>
    <xf numFmtId="0" fontId="54" fillId="7" borderId="0" xfId="0" applyFont="1" applyFill="1" applyAlignment="1" applyProtection="1">
      <alignment vertical="top"/>
    </xf>
    <xf numFmtId="0" fontId="54" fillId="7" borderId="0" xfId="0" applyFont="1" applyFill="1" applyAlignment="1" applyProtection="1">
      <alignment vertical="center"/>
    </xf>
    <xf numFmtId="0" fontId="54" fillId="7" borderId="0" xfId="0" applyFont="1" applyFill="1" applyBorder="1" applyAlignment="1" applyProtection="1"/>
    <xf numFmtId="0" fontId="54" fillId="7" borderId="0" xfId="0" applyFont="1" applyFill="1" applyBorder="1" applyAlignment="1" applyProtection="1">
      <alignment horizontal="left"/>
    </xf>
    <xf numFmtId="0" fontId="54" fillId="7" borderId="0" xfId="0" applyFont="1" applyFill="1" applyAlignment="1" applyProtection="1"/>
    <xf numFmtId="0" fontId="54" fillId="7" borderId="0" xfId="0" applyFont="1" applyFill="1" applyProtection="1"/>
    <xf numFmtId="0" fontId="54" fillId="7" borderId="0" xfId="0" applyFont="1" applyFill="1"/>
    <xf numFmtId="0" fontId="35" fillId="7" borderId="0" xfId="0" applyFont="1" applyFill="1" applyBorder="1" applyProtection="1"/>
    <xf numFmtId="172" fontId="22" fillId="0" borderId="48" xfId="0" applyNumberFormat="1" applyFont="1" applyFill="1" applyBorder="1" applyAlignment="1" applyProtection="1">
      <alignment vertical="center"/>
    </xf>
    <xf numFmtId="167" fontId="22" fillId="1" borderId="106" xfId="0" applyNumberFormat="1" applyFont="1" applyFill="1" applyBorder="1" applyAlignment="1" applyProtection="1">
      <alignment vertical="center"/>
      <protection hidden="1"/>
    </xf>
    <xf numFmtId="1" fontId="22" fillId="1" borderId="65" xfId="2" applyNumberFormat="1" applyFont="1" applyFill="1" applyBorder="1" applyAlignment="1" applyProtection="1">
      <alignment horizontal="center" vertical="center"/>
      <protection hidden="1"/>
    </xf>
    <xf numFmtId="3" fontId="22" fillId="7" borderId="128" xfId="0" applyNumberFormat="1" applyFont="1" applyFill="1" applyBorder="1" applyAlignment="1" applyProtection="1">
      <alignment horizontal="right" indent="1"/>
      <protection hidden="1"/>
    </xf>
    <xf numFmtId="3" fontId="22" fillId="7" borderId="150" xfId="0" applyNumberFormat="1" applyFont="1" applyFill="1" applyBorder="1" applyAlignment="1" applyProtection="1">
      <alignment horizontal="right" indent="1"/>
      <protection hidden="1"/>
    </xf>
    <xf numFmtId="0" fontId="39" fillId="7" borderId="0" xfId="0" applyFont="1" applyFill="1" applyProtection="1"/>
    <xf numFmtId="0" fontId="53" fillId="9" borderId="53" xfId="0" applyFont="1" applyFill="1" applyBorder="1" applyAlignment="1" applyProtection="1">
      <alignment horizontal="center" vertical="center"/>
    </xf>
    <xf numFmtId="0" fontId="39" fillId="7" borderId="0" xfId="0" applyFont="1" applyFill="1" applyBorder="1" applyProtection="1">
      <protection locked="0"/>
    </xf>
    <xf numFmtId="0" fontId="77" fillId="7" borderId="0" xfId="0" applyFont="1" applyFill="1" applyProtection="1">
      <protection locked="0"/>
    </xf>
    <xf numFmtId="0" fontId="39" fillId="7" borderId="0" xfId="0" applyFont="1" applyFill="1" applyProtection="1">
      <protection locked="0"/>
    </xf>
    <xf numFmtId="0" fontId="78" fillId="7" borderId="0" xfId="0" applyFont="1" applyFill="1" applyProtection="1">
      <protection locked="0"/>
    </xf>
    <xf numFmtId="0" fontId="39" fillId="7" borderId="0" xfId="0" applyFont="1" applyFill="1" applyAlignment="1" applyProtection="1"/>
    <xf numFmtId="0" fontId="39" fillId="7" borderId="0" xfId="0" applyFont="1" applyFill="1" applyAlignment="1" applyProtection="1">
      <alignment vertical="center"/>
    </xf>
    <xf numFmtId="0" fontId="39" fillId="0" borderId="0" xfId="0" applyFont="1" applyFill="1" applyBorder="1" applyProtection="1"/>
    <xf numFmtId="0" fontId="39" fillId="0" borderId="0" xfId="0" applyFont="1" applyFill="1" applyProtection="1"/>
    <xf numFmtId="1" fontId="34" fillId="7" borderId="0" xfId="3" applyNumberFormat="1" applyFont="1" applyFill="1" applyAlignment="1" applyProtection="1">
      <alignment horizontal="center" vertical="top"/>
    </xf>
    <xf numFmtId="3" fontId="43" fillId="1" borderId="41" xfId="3" applyNumberFormat="1" applyFont="1" applyFill="1" applyBorder="1" applyAlignment="1" applyProtection="1">
      <alignment horizontal="right" wrapText="1" indent="1"/>
    </xf>
    <xf numFmtId="3" fontId="43" fillId="1" borderId="2" xfId="3" applyNumberFormat="1" applyFont="1" applyFill="1" applyBorder="1" applyAlignment="1" applyProtection="1">
      <alignment horizontal="right" wrapText="1" indent="1"/>
    </xf>
    <xf numFmtId="10" fontId="22" fillId="1" borderId="41" xfId="3" applyNumberFormat="1" applyFont="1" applyFill="1" applyBorder="1" applyAlignment="1" applyProtection="1">
      <alignment horizontal="right" indent="1"/>
    </xf>
    <xf numFmtId="3" fontId="22" fillId="1" borderId="1" xfId="0" applyNumberFormat="1" applyFont="1" applyFill="1" applyBorder="1" applyAlignment="1" applyProtection="1">
      <alignment horizontal="center"/>
    </xf>
    <xf numFmtId="3" fontId="22" fillId="1" borderId="2" xfId="0" applyNumberFormat="1" applyFont="1" applyFill="1" applyBorder="1" applyAlignment="1" applyProtection="1">
      <alignment horizontal="center"/>
    </xf>
    <xf numFmtId="3" fontId="22" fillId="1" borderId="42" xfId="0" applyNumberFormat="1" applyFont="1" applyFill="1" applyBorder="1" applyAlignment="1" applyProtection="1">
      <alignment horizontal="right"/>
    </xf>
    <xf numFmtId="3" fontId="22" fillId="1" borderId="45" xfId="0" applyNumberFormat="1" applyFont="1" applyFill="1" applyBorder="1" applyAlignment="1" applyProtection="1">
      <alignment horizontal="right"/>
    </xf>
    <xf numFmtId="3" fontId="22" fillId="1" borderId="48" xfId="0" applyNumberFormat="1" applyFont="1" applyFill="1" applyBorder="1" applyAlignment="1" applyProtection="1">
      <alignment horizontal="right" vertical="center"/>
    </xf>
    <xf numFmtId="3" fontId="22" fillId="1" borderId="8" xfId="0" applyNumberFormat="1" applyFont="1" applyFill="1" applyBorder="1" applyAlignment="1" applyProtection="1">
      <alignment horizontal="right"/>
    </xf>
    <xf numFmtId="3" fontId="22" fillId="1" borderId="43" xfId="0" applyNumberFormat="1" applyFont="1" applyFill="1" applyBorder="1" applyAlignment="1" applyProtection="1">
      <alignment horizontal="right"/>
    </xf>
    <xf numFmtId="3" fontId="22" fillId="1" borderId="44" xfId="0" applyNumberFormat="1" applyFont="1" applyFill="1" applyBorder="1" applyAlignment="1" applyProtection="1">
      <alignment horizontal="right"/>
    </xf>
    <xf numFmtId="3" fontId="22" fillId="1" borderId="46" xfId="0" applyNumberFormat="1" applyFont="1" applyFill="1" applyBorder="1" applyAlignment="1" applyProtection="1">
      <alignment horizontal="right"/>
    </xf>
    <xf numFmtId="3" fontId="22" fillId="1" borderId="47" xfId="0" applyNumberFormat="1" applyFont="1" applyFill="1" applyBorder="1" applyAlignment="1" applyProtection="1">
      <alignment horizontal="right" vertical="center"/>
    </xf>
    <xf numFmtId="3" fontId="22" fillId="1" borderId="49" xfId="0" applyNumberFormat="1" applyFont="1" applyFill="1" applyBorder="1" applyAlignment="1" applyProtection="1">
      <alignment horizontal="right" vertical="center"/>
    </xf>
    <xf numFmtId="49" fontId="22" fillId="1" borderId="105" xfId="0" applyNumberFormat="1" applyFont="1" applyFill="1" applyBorder="1" applyAlignment="1" applyProtection="1">
      <alignment horizontal="center" vertical="center"/>
      <protection hidden="1"/>
    </xf>
    <xf numFmtId="49" fontId="22" fillId="1" borderId="104" xfId="0" applyNumberFormat="1" applyFont="1" applyFill="1" applyBorder="1" applyAlignment="1" applyProtection="1">
      <alignment horizontal="center" vertical="center"/>
      <protection hidden="1"/>
    </xf>
    <xf numFmtId="167" fontId="22" fillId="20" borderId="48" xfId="0" applyNumberFormat="1" applyFont="1" applyFill="1" applyBorder="1" applyAlignment="1" applyProtection="1">
      <alignment horizontal="right" vertical="center"/>
      <protection hidden="1"/>
    </xf>
    <xf numFmtId="0" fontId="79" fillId="7" borderId="0" xfId="0" applyFont="1" applyFill="1" applyBorder="1" applyAlignment="1" applyProtection="1">
      <alignment horizontal="left" vertical="center"/>
    </xf>
    <xf numFmtId="0" fontId="41" fillId="7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/>
    <xf numFmtId="0" fontId="33" fillId="0" borderId="0" xfId="0" applyFont="1" applyFill="1" applyAlignment="1" applyProtection="1"/>
    <xf numFmtId="0" fontId="58" fillId="0" borderId="0" xfId="0" applyFont="1" applyFill="1" applyBorder="1" applyAlignment="1" applyProtection="1"/>
    <xf numFmtId="0" fontId="33" fillId="0" borderId="0" xfId="0" applyFont="1" applyFill="1" applyBorder="1"/>
    <xf numFmtId="0" fontId="33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protection locked="0"/>
    </xf>
    <xf numFmtId="0" fontId="9" fillId="0" borderId="0" xfId="0" applyFont="1" applyFill="1" applyAlignment="1" applyProtection="1"/>
    <xf numFmtId="0" fontId="33" fillId="0" borderId="0" xfId="0" applyFont="1" applyFill="1" applyBorder="1" applyAlignment="1" applyProtection="1">
      <protection locked="0"/>
    </xf>
    <xf numFmtId="0" fontId="56" fillId="0" borderId="0" xfId="0" applyFont="1" applyFill="1" applyAlignment="1" applyProtection="1"/>
    <xf numFmtId="0" fontId="22" fillId="0" borderId="0" xfId="0" quotePrefix="1" applyFont="1" applyFill="1" applyBorder="1" applyAlignment="1" applyProtection="1"/>
    <xf numFmtId="14" fontId="22" fillId="0" borderId="0" xfId="0" applyNumberFormat="1" applyFont="1" applyFill="1" applyBorder="1" applyAlignment="1" applyProtection="1">
      <protection locked="0"/>
    </xf>
    <xf numFmtId="0" fontId="33" fillId="0" borderId="0" xfId="1" applyFont="1" applyFill="1" applyAlignment="1" applyProtection="1"/>
    <xf numFmtId="3" fontId="22" fillId="0" borderId="1" xfId="0" applyNumberFormat="1" applyFont="1" applyFill="1" applyBorder="1" applyAlignment="1" applyProtection="1">
      <alignment vertical="center"/>
    </xf>
    <xf numFmtId="3" fontId="22" fillId="0" borderId="2" xfId="0" applyNumberFormat="1" applyFont="1" applyFill="1" applyBorder="1" applyAlignment="1" applyProtection="1">
      <alignment vertical="center"/>
    </xf>
    <xf numFmtId="3" fontId="22" fillId="0" borderId="3" xfId="0" applyNumberFormat="1" applyFont="1" applyFill="1" applyBorder="1" applyAlignment="1" applyProtection="1">
      <alignment vertical="center"/>
    </xf>
    <xf numFmtId="3" fontId="22" fillId="0" borderId="4" xfId="0" applyNumberFormat="1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vertical="center"/>
    </xf>
    <xf numFmtId="3" fontId="9" fillId="0" borderId="45" xfId="0" applyNumberFormat="1" applyFont="1" applyFill="1" applyBorder="1" applyAlignment="1" applyProtection="1">
      <alignment vertical="center"/>
    </xf>
    <xf numFmtId="3" fontId="22" fillId="1" borderId="2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1" borderId="76" xfId="0" applyNumberFormat="1" applyFont="1" applyFill="1" applyBorder="1" applyAlignment="1" applyProtection="1">
      <alignment vertical="center"/>
    </xf>
    <xf numFmtId="3" fontId="22" fillId="7" borderId="1" xfId="0" applyNumberFormat="1" applyFont="1" applyFill="1" applyBorder="1" applyAlignment="1" applyProtection="1">
      <alignment vertical="center"/>
    </xf>
    <xf numFmtId="3" fontId="22" fillId="7" borderId="16" xfId="0" applyNumberFormat="1" applyFont="1" applyFill="1" applyBorder="1" applyAlignment="1" applyProtection="1">
      <alignment vertical="center"/>
    </xf>
    <xf numFmtId="3" fontId="22" fillId="4" borderId="16" xfId="0" applyNumberFormat="1" applyFont="1" applyFill="1" applyBorder="1" applyAlignment="1" applyProtection="1">
      <alignment vertical="center"/>
    </xf>
    <xf numFmtId="3" fontId="22" fillId="4" borderId="17" xfId="0" applyNumberFormat="1" applyFont="1" applyFill="1" applyBorder="1" applyAlignment="1" applyProtection="1">
      <alignment vertical="center"/>
    </xf>
    <xf numFmtId="3" fontId="22" fillId="7" borderId="2" xfId="0" applyNumberFormat="1" applyFont="1" applyFill="1" applyBorder="1" applyAlignment="1" applyProtection="1">
      <alignment vertical="center"/>
    </xf>
    <xf numFmtId="3" fontId="9" fillId="0" borderId="76" xfId="0" applyNumberFormat="1" applyFont="1" applyFill="1" applyBorder="1" applyAlignment="1" applyProtection="1">
      <alignment vertical="center"/>
    </xf>
    <xf numFmtId="169" fontId="22" fillId="0" borderId="61" xfId="0" applyNumberFormat="1" applyFont="1" applyFill="1" applyBorder="1" applyAlignment="1" applyProtection="1"/>
    <xf numFmtId="169" fontId="22" fillId="0" borderId="60" xfId="0" applyNumberFormat="1" applyFont="1" applyFill="1" applyBorder="1" applyAlignment="1" applyProtection="1"/>
    <xf numFmtId="169" fontId="22" fillId="0" borderId="1" xfId="0" applyNumberFormat="1" applyFont="1" applyFill="1" applyBorder="1" applyAlignment="1" applyProtection="1"/>
    <xf numFmtId="169" fontId="22" fillId="0" borderId="2" xfId="0" applyNumberFormat="1" applyFont="1" applyFill="1" applyBorder="1" applyAlignment="1" applyProtection="1"/>
    <xf numFmtId="169" fontId="44" fillId="0" borderId="1" xfId="0" applyNumberFormat="1" applyFont="1" applyFill="1" applyBorder="1" applyAlignment="1" applyProtection="1"/>
    <xf numFmtId="169" fontId="22" fillId="0" borderId="49" xfId="0" applyNumberFormat="1" applyFont="1" applyFill="1" applyBorder="1" applyAlignment="1" applyProtection="1"/>
    <xf numFmtId="169" fontId="22" fillId="0" borderId="48" xfId="0" applyNumberFormat="1" applyFont="1" applyFill="1" applyBorder="1" applyAlignment="1" applyProtection="1"/>
    <xf numFmtId="169" fontId="22" fillId="0" borderId="5" xfId="0" applyNumberFormat="1" applyFont="1" applyFill="1" applyBorder="1" applyAlignment="1" applyProtection="1"/>
    <xf numFmtId="169" fontId="22" fillId="0" borderId="6" xfId="0" applyNumberFormat="1" applyFont="1" applyFill="1" applyBorder="1" applyAlignment="1" applyProtection="1"/>
    <xf numFmtId="169" fontId="22" fillId="0" borderId="16" xfId="0" applyNumberFormat="1" applyFont="1" applyFill="1" applyBorder="1" applyAlignment="1" applyProtection="1"/>
    <xf numFmtId="169" fontId="22" fillId="0" borderId="17" xfId="0" applyNumberFormat="1" applyFont="1" applyFill="1" applyBorder="1" applyAlignment="1" applyProtection="1"/>
    <xf numFmtId="169" fontId="22" fillId="15" borderId="1" xfId="0" applyNumberFormat="1" applyFont="1" applyFill="1" applyBorder="1" applyAlignment="1" applyProtection="1">
      <protection locked="0"/>
    </xf>
    <xf numFmtId="169" fontId="22" fillId="0" borderId="62" xfId="0" applyNumberFormat="1" applyFont="1" applyFill="1" applyBorder="1" applyAlignment="1" applyProtection="1">
      <alignment vertical="center"/>
    </xf>
    <xf numFmtId="169" fontId="22" fillId="0" borderId="56" xfId="0" applyNumberFormat="1" applyFont="1" applyFill="1" applyBorder="1" applyAlignment="1" applyProtection="1">
      <alignment vertical="center"/>
    </xf>
    <xf numFmtId="169" fontId="22" fillId="1" borderId="6" xfId="0" applyNumberFormat="1" applyFont="1" applyFill="1" applyBorder="1" applyAlignment="1" applyProtection="1"/>
    <xf numFmtId="2" fontId="22" fillId="0" borderId="1" xfId="0" applyNumberFormat="1" applyFont="1" applyFill="1" applyBorder="1" applyAlignment="1" applyProtection="1"/>
    <xf numFmtId="2" fontId="22" fillId="0" borderId="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/>
    <xf numFmtId="3" fontId="22" fillId="7" borderId="1" xfId="0" applyNumberFormat="1" applyFont="1" applyFill="1" applyBorder="1" applyAlignment="1" applyProtection="1"/>
    <xf numFmtId="170" fontId="33" fillId="19" borderId="151" xfId="0" applyNumberFormat="1" applyFont="1" applyFill="1" applyBorder="1" applyAlignment="1" applyProtection="1"/>
    <xf numFmtId="3" fontId="33" fillId="0" borderId="152" xfId="0" applyNumberFormat="1" applyFont="1" applyFill="1" applyBorder="1" applyAlignment="1" applyProtection="1"/>
    <xf numFmtId="3" fontId="22" fillId="7" borderId="127" xfId="0" applyNumberFormat="1" applyFont="1" applyFill="1" applyBorder="1" applyAlignment="1" applyProtection="1"/>
    <xf numFmtId="3" fontId="22" fillId="7" borderId="125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3" fontId="22" fillId="0" borderId="42" xfId="0" applyNumberFormat="1" applyFont="1" applyFill="1" applyBorder="1" applyAlignment="1" applyProtection="1"/>
    <xf numFmtId="3" fontId="22" fillId="0" borderId="9" xfId="0" applyNumberFormat="1" applyFont="1" applyFill="1" applyBorder="1" applyAlignment="1" applyProtection="1"/>
    <xf numFmtId="3" fontId="22" fillId="1" borderId="56" xfId="0" applyNumberFormat="1" applyFont="1" applyFill="1" applyBorder="1" applyAlignment="1" applyProtection="1"/>
    <xf numFmtId="0" fontId="22" fillId="0" borderId="61" xfId="0" applyFont="1" applyFill="1" applyBorder="1" applyAlignment="1" applyProtection="1">
      <protection hidden="1"/>
    </xf>
    <xf numFmtId="3" fontId="22" fillId="0" borderId="1" xfId="0" applyNumberFormat="1" applyFont="1" applyFill="1" applyBorder="1" applyAlignment="1" applyProtection="1">
      <protection hidden="1"/>
    </xf>
    <xf numFmtId="3" fontId="33" fillId="0" borderId="151" xfId="3" applyNumberFormat="1" applyFont="1" applyFill="1" applyBorder="1" applyAlignment="1" applyProtection="1"/>
    <xf numFmtId="3" fontId="33" fillId="0" borderId="151" xfId="0" applyNumberFormat="1" applyFont="1" applyFill="1" applyBorder="1" applyAlignment="1" applyProtection="1"/>
    <xf numFmtId="3" fontId="22" fillId="0" borderId="40" xfId="0" applyNumberFormat="1" applyFont="1" applyFill="1" applyBorder="1" applyAlignment="1" applyProtection="1"/>
    <xf numFmtId="3" fontId="22" fillId="0" borderId="127" xfId="0" applyNumberFormat="1" applyFont="1" applyFill="1" applyBorder="1" applyAlignment="1" applyProtection="1">
      <protection hidden="1"/>
    </xf>
    <xf numFmtId="3" fontId="22" fillId="0" borderId="31" xfId="0" applyNumberFormat="1" applyFont="1" applyFill="1" applyBorder="1" applyAlignment="1" applyProtection="1"/>
    <xf numFmtId="3" fontId="22" fillId="0" borderId="3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>
      <alignment horizontal="right" vertical="top"/>
    </xf>
    <xf numFmtId="3" fontId="22" fillId="0" borderId="135" xfId="0" applyNumberFormat="1" applyFont="1" applyFill="1" applyBorder="1" applyAlignment="1" applyProtection="1">
      <alignment horizontal="right" vertical="top"/>
    </xf>
    <xf numFmtId="3" fontId="22" fillId="0" borderId="141" xfId="0" applyNumberFormat="1" applyFont="1" applyFill="1" applyBorder="1" applyAlignment="1" applyProtection="1">
      <alignment horizontal="right"/>
    </xf>
    <xf numFmtId="3" fontId="22" fillId="0" borderId="142" xfId="0" applyNumberFormat="1" applyFont="1" applyFill="1" applyBorder="1" applyAlignment="1" applyProtection="1">
      <alignment horizontal="right" vertical="top"/>
    </xf>
    <xf numFmtId="3" fontId="22" fillId="0" borderId="40" xfId="0" applyNumberFormat="1" applyFont="1" applyFill="1" applyBorder="1" applyAlignment="1" applyProtection="1">
      <alignment horizontal="right" vertical="top"/>
    </xf>
    <xf numFmtId="3" fontId="22" fillId="0" borderId="122" xfId="0" applyNumberFormat="1" applyFont="1" applyFill="1" applyBorder="1" applyAlignment="1" applyProtection="1">
      <alignment horizontal="right" vertical="top"/>
    </xf>
    <xf numFmtId="3" fontId="22" fillId="0" borderId="128" xfId="0" applyNumberFormat="1" applyFont="1" applyFill="1" applyBorder="1" applyAlignment="1" applyProtection="1">
      <alignment horizontal="right" vertical="top"/>
    </xf>
    <xf numFmtId="3" fontId="22" fillId="0" borderId="1" xfId="0" applyNumberFormat="1" applyFont="1" applyFill="1" applyBorder="1" applyAlignment="1" applyProtection="1">
      <alignment horizontal="right" vertical="top"/>
    </xf>
    <xf numFmtId="3" fontId="22" fillId="7" borderId="2" xfId="0" applyNumberFormat="1" applyFont="1" applyFill="1" applyBorder="1" applyAlignment="1" applyProtection="1">
      <alignment horizontal="right" vertical="top"/>
    </xf>
    <xf numFmtId="3" fontId="22" fillId="0" borderId="85" xfId="0" applyNumberFormat="1" applyFont="1" applyFill="1" applyBorder="1" applyAlignment="1" applyProtection="1">
      <alignment horizontal="right" vertical="top"/>
    </xf>
    <xf numFmtId="3" fontId="22" fillId="0" borderId="84" xfId="0" applyNumberFormat="1" applyFont="1" applyFill="1" applyBorder="1" applyAlignment="1" applyProtection="1">
      <alignment horizontal="right" vertical="top"/>
    </xf>
    <xf numFmtId="3" fontId="22" fillId="0" borderId="86" xfId="0" applyNumberFormat="1" applyFont="1" applyFill="1" applyBorder="1" applyAlignment="1" applyProtection="1">
      <alignment horizontal="right" vertical="top"/>
    </xf>
    <xf numFmtId="3" fontId="9" fillId="0" borderId="3" xfId="0" applyNumberFormat="1" applyFont="1" applyFill="1" applyBorder="1" applyAlignment="1" applyProtection="1">
      <alignment horizontal="right" vertical="center"/>
    </xf>
    <xf numFmtId="3" fontId="9" fillId="0" borderId="51" xfId="0" applyNumberFormat="1" applyFont="1" applyFill="1" applyBorder="1" applyAlignment="1" applyProtection="1">
      <alignment horizontal="right" vertical="center"/>
    </xf>
    <xf numFmtId="3" fontId="22" fillId="0" borderId="15" xfId="0" applyNumberFormat="1" applyFont="1" applyFill="1" applyBorder="1" applyAlignment="1" applyProtection="1">
      <alignment horizontal="right" vertical="top"/>
    </xf>
    <xf numFmtId="3" fontId="22" fillId="0" borderId="14" xfId="0" applyNumberFormat="1" applyFont="1" applyFill="1" applyBorder="1" applyAlignment="1" applyProtection="1">
      <alignment horizontal="right" vertical="top"/>
    </xf>
    <xf numFmtId="3" fontId="9" fillId="0" borderId="49" xfId="0" applyNumberFormat="1" applyFont="1" applyFill="1" applyBorder="1" applyAlignment="1" applyProtection="1">
      <alignment horizontal="right" vertical="center"/>
    </xf>
    <xf numFmtId="3" fontId="9" fillId="0" borderId="48" xfId="0" applyNumberFormat="1" applyFont="1" applyFill="1" applyBorder="1" applyAlignment="1" applyProtection="1">
      <alignment horizontal="right" vertical="center"/>
    </xf>
    <xf numFmtId="3" fontId="22" fillId="0" borderId="1" xfId="0" applyNumberFormat="1" applyFont="1" applyFill="1" applyBorder="1" applyAlignment="1" applyProtection="1">
      <alignment horizontal="right"/>
    </xf>
    <xf numFmtId="3" fontId="22" fillId="0" borderId="136" xfId="0" applyNumberFormat="1" applyFont="1" applyFill="1" applyBorder="1" applyAlignment="1" applyProtection="1">
      <alignment horizontal="right"/>
    </xf>
    <xf numFmtId="3" fontId="22" fillId="0" borderId="3" xfId="0" applyNumberFormat="1" applyFont="1" applyFill="1" applyBorder="1" applyAlignment="1" applyProtection="1">
      <alignment horizontal="right" vertical="center"/>
    </xf>
    <xf numFmtId="3" fontId="22" fillId="0" borderId="49" xfId="0" applyNumberFormat="1" applyFont="1" applyFill="1" applyBorder="1" applyAlignment="1" applyProtection="1">
      <alignment horizontal="right" vertical="center"/>
    </xf>
    <xf numFmtId="3" fontId="22" fillId="0" borderId="142" xfId="0" applyNumberFormat="1" applyFont="1" applyFill="1" applyBorder="1" applyAlignment="1" applyProtection="1">
      <alignment horizontal="right"/>
    </xf>
    <xf numFmtId="3" fontId="22" fillId="7" borderId="11" xfId="0" applyNumberFormat="1" applyFont="1" applyFill="1" applyBorder="1" applyAlignment="1" applyProtection="1">
      <alignment horizontal="right" vertical="center"/>
      <protection hidden="1"/>
    </xf>
    <xf numFmtId="0" fontId="22" fillId="7" borderId="57" xfId="0" applyFont="1" applyFill="1" applyBorder="1" applyAlignment="1" applyProtection="1">
      <alignment horizontal="center" vertical="center"/>
    </xf>
    <xf numFmtId="1" fontId="22" fillId="7" borderId="57" xfId="0" applyNumberFormat="1" applyFont="1" applyFill="1" applyBorder="1" applyAlignment="1" applyProtection="1">
      <alignment horizontal="center" vertical="center"/>
    </xf>
    <xf numFmtId="0" fontId="34" fillId="7" borderId="0" xfId="0" applyFont="1" applyFill="1" applyAlignment="1" applyProtection="1">
      <protection hidden="1"/>
    </xf>
    <xf numFmtId="0" fontId="34" fillId="0" borderId="0" xfId="0" applyFont="1" applyFill="1" applyProtection="1">
      <protection hidden="1"/>
    </xf>
    <xf numFmtId="0" fontId="34" fillId="7" borderId="0" xfId="0" applyFont="1" applyFill="1" applyAlignment="1" applyProtection="1">
      <alignment horizontal="center" vertical="center"/>
      <protection hidden="1"/>
    </xf>
    <xf numFmtId="3" fontId="34" fillId="7" borderId="0" xfId="0" applyNumberFormat="1" applyFont="1" applyFill="1" applyAlignment="1" applyProtection="1">
      <alignment horizontal="center" vertical="center"/>
      <protection hidden="1"/>
    </xf>
    <xf numFmtId="0" fontId="28" fillId="7" borderId="0" xfId="0" applyFont="1" applyFill="1" applyBorder="1" applyAlignment="1" applyProtection="1"/>
    <xf numFmtId="0" fontId="28" fillId="13" borderId="0" xfId="0" applyFont="1" applyFill="1" applyBorder="1" applyAlignment="1" applyProtection="1">
      <alignment horizontal="left" indent="1"/>
      <protection locked="0"/>
    </xf>
    <xf numFmtId="14" fontId="4" fillId="7" borderId="0" xfId="0" applyNumberFormat="1" applyFont="1" applyFill="1"/>
    <xf numFmtId="0" fontId="82" fillId="7" borderId="0" xfId="0" applyFont="1" applyFill="1"/>
    <xf numFmtId="0" fontId="9" fillId="7" borderId="0" xfId="0" applyFont="1" applyFill="1" applyAlignment="1">
      <alignment horizontal="right" vertical="center" readingOrder="1"/>
    </xf>
    <xf numFmtId="0" fontId="3" fillId="7" borderId="0" xfId="1" applyFill="1" applyAlignment="1" applyProtection="1">
      <alignment vertical="center" readingOrder="1"/>
    </xf>
    <xf numFmtId="0" fontId="58" fillId="7" borderId="0" xfId="0" applyFont="1" applyFill="1" applyBorder="1" applyProtection="1">
      <protection hidden="1"/>
    </xf>
    <xf numFmtId="0" fontId="31" fillId="7" borderId="0" xfId="0" applyFont="1" applyFill="1" applyAlignment="1">
      <alignment horizontal="center" vertical="center"/>
    </xf>
    <xf numFmtId="49" fontId="34" fillId="7" borderId="0" xfId="0" applyNumberFormat="1" applyFont="1" applyFill="1" applyBorder="1" applyProtection="1"/>
    <xf numFmtId="38" fontId="34" fillId="7" borderId="0" xfId="0" applyNumberFormat="1" applyFont="1" applyFill="1" applyBorder="1" applyAlignment="1" applyProtection="1"/>
    <xf numFmtId="1" fontId="39" fillId="7" borderId="0" xfId="0" applyNumberFormat="1" applyFont="1" applyFill="1" applyAlignment="1" applyProtection="1">
      <alignment horizontal="right"/>
      <protection hidden="1"/>
    </xf>
    <xf numFmtId="1" fontId="39" fillId="7" borderId="0" xfId="0" applyNumberFormat="1" applyFont="1" applyFill="1" applyProtection="1">
      <protection hidden="1"/>
    </xf>
    <xf numFmtId="0" fontId="4" fillId="7" borderId="0" xfId="0" applyFont="1" applyFill="1" applyAlignment="1" applyProtection="1">
      <alignment horizontal="left"/>
      <protection hidden="1"/>
    </xf>
    <xf numFmtId="1" fontId="33" fillId="7" borderId="47" xfId="0" applyNumberFormat="1" applyFont="1" applyFill="1" applyBorder="1" applyAlignment="1" applyProtection="1">
      <alignment vertical="center"/>
    </xf>
    <xf numFmtId="3" fontId="22" fillId="10" borderId="1" xfId="0" applyNumberFormat="1" applyFont="1" applyFill="1" applyBorder="1" applyAlignment="1" applyProtection="1">
      <alignment horizontal="right"/>
    </xf>
    <xf numFmtId="3" fontId="22" fillId="10" borderId="2" xfId="0" applyNumberFormat="1" applyFont="1" applyFill="1" applyBorder="1" applyAlignment="1" applyProtection="1">
      <alignment horizontal="right"/>
    </xf>
    <xf numFmtId="0" fontId="22" fillId="7" borderId="0" xfId="0" applyFont="1" applyFill="1" applyBorder="1" applyAlignment="1" applyProtection="1">
      <alignment vertical="center" wrapText="1"/>
      <protection locked="0"/>
    </xf>
    <xf numFmtId="3" fontId="38" fillId="9" borderId="112" xfId="0" applyNumberFormat="1" applyFont="1" applyFill="1" applyBorder="1" applyAlignment="1" applyProtection="1">
      <alignment horizontal="center" vertical="center"/>
    </xf>
    <xf numFmtId="3" fontId="22" fillId="0" borderId="19" xfId="0" applyNumberFormat="1" applyFont="1" applyFill="1" applyBorder="1" applyAlignment="1" applyProtection="1">
      <alignment vertical="center"/>
    </xf>
    <xf numFmtId="3" fontId="47" fillId="7" borderId="0" xfId="0" applyNumberFormat="1" applyFont="1" applyFill="1" applyBorder="1" applyAlignment="1" applyProtection="1">
      <alignment horizontal="right" indent="1"/>
    </xf>
    <xf numFmtId="0" fontId="28" fillId="7" borderId="0" xfId="0" applyFont="1" applyFill="1" applyBorder="1" applyAlignment="1" applyProtection="1">
      <alignment vertical="center"/>
    </xf>
    <xf numFmtId="0" fontId="35" fillId="7" borderId="0" xfId="0" applyFont="1" applyFill="1" applyBorder="1" applyAlignment="1" applyProtection="1">
      <alignment horizontal="right" vertical="center" indent="1"/>
    </xf>
    <xf numFmtId="3" fontId="38" fillId="9" borderId="54" xfId="0" applyNumberFormat="1" applyFont="1" applyFill="1" applyBorder="1" applyAlignment="1" applyProtection="1">
      <alignment horizontal="center" vertical="center"/>
    </xf>
    <xf numFmtId="3" fontId="28" fillId="7" borderId="0" xfId="0" applyNumberFormat="1" applyFont="1" applyFill="1" applyBorder="1" applyAlignment="1" applyProtection="1">
      <alignment horizontal="right" vertical="center" indent="1"/>
    </xf>
    <xf numFmtId="3" fontId="22" fillId="0" borderId="0" xfId="0" applyNumberFormat="1" applyFont="1" applyFill="1" applyBorder="1" applyAlignment="1" applyProtection="1">
      <alignment horizontal="right" vertical="center" indent="1"/>
    </xf>
    <xf numFmtId="3" fontId="38" fillId="9" borderId="66" xfId="0" applyNumberFormat="1" applyFont="1" applyFill="1" applyBorder="1" applyAlignment="1" applyProtection="1">
      <alignment horizontal="center" vertical="center"/>
    </xf>
    <xf numFmtId="3" fontId="9" fillId="0" borderId="9" xfId="0" applyNumberFormat="1" applyFont="1" applyFill="1" applyBorder="1" applyAlignment="1" applyProtection="1">
      <alignment horizontal="left" vertical="center"/>
    </xf>
    <xf numFmtId="3" fontId="28" fillId="14" borderId="0" xfId="0" applyNumberFormat="1" applyFont="1" applyFill="1" applyBorder="1" applyAlignment="1" applyProtection="1">
      <alignment horizontal="right" vertical="center" indent="1"/>
    </xf>
    <xf numFmtId="3" fontId="22" fillId="7" borderId="0" xfId="0" applyNumberFormat="1" applyFont="1" applyFill="1" applyBorder="1" applyAlignment="1" applyProtection="1">
      <alignment horizontal="right" vertical="top"/>
    </xf>
    <xf numFmtId="0" fontId="34" fillId="7" borderId="0" xfId="0" applyFont="1" applyFill="1" applyBorder="1" applyAlignment="1" applyProtection="1">
      <alignment horizontal="right" vertical="center" indent="1"/>
      <protection hidden="1"/>
    </xf>
    <xf numFmtId="0" fontId="22" fillId="7" borderId="0" xfId="0" applyFont="1" applyFill="1" applyBorder="1" applyAlignment="1" applyProtection="1">
      <alignment horizontal="right" vertical="center" indent="1"/>
    </xf>
    <xf numFmtId="0" fontId="34" fillId="7" borderId="0" xfId="0" applyFont="1" applyFill="1" applyBorder="1" applyAlignment="1" applyProtection="1">
      <alignment horizontal="right" vertical="center" indent="1"/>
    </xf>
    <xf numFmtId="3" fontId="22" fillId="0" borderId="61" xfId="0" applyNumberFormat="1" applyFont="1" applyFill="1" applyBorder="1" applyAlignment="1" applyProtection="1">
      <alignment vertical="center"/>
    </xf>
    <xf numFmtId="3" fontId="38" fillId="9" borderId="82" xfId="0" applyNumberFormat="1" applyFont="1" applyFill="1" applyBorder="1" applyAlignment="1" applyProtection="1">
      <alignment horizontal="center" vertical="center"/>
    </xf>
    <xf numFmtId="3" fontId="22" fillId="0" borderId="72" xfId="0" applyNumberFormat="1" applyFont="1" applyFill="1" applyBorder="1" applyAlignment="1" applyProtection="1">
      <alignment vertical="center"/>
    </xf>
    <xf numFmtId="0" fontId="83" fillId="7" borderId="0" xfId="0" applyFont="1" applyFill="1" applyProtection="1"/>
    <xf numFmtId="0" fontId="42" fillId="7" borderId="0" xfId="0" applyFont="1" applyFill="1" applyProtection="1"/>
    <xf numFmtId="9" fontId="42" fillId="7" borderId="0" xfId="0" applyNumberFormat="1" applyFont="1" applyFill="1" applyProtection="1"/>
    <xf numFmtId="9" fontId="42" fillId="7" borderId="0" xfId="3" applyFont="1" applyFill="1" applyAlignment="1" applyProtection="1"/>
    <xf numFmtId="0" fontId="38" fillId="7" borderId="0" xfId="0" applyFont="1" applyFill="1" applyProtection="1"/>
    <xf numFmtId="166" fontId="38" fillId="7" borderId="0" xfId="0" applyNumberFormat="1" applyFont="1" applyFill="1" applyProtection="1"/>
    <xf numFmtId="14" fontId="38" fillId="7" borderId="0" xfId="0" applyNumberFormat="1" applyFont="1" applyFill="1" applyAlignment="1" applyProtection="1">
      <alignment horizontal="center"/>
    </xf>
    <xf numFmtId="0" fontId="53" fillId="7" borderId="0" xfId="0" applyFont="1" applyFill="1" applyProtection="1"/>
    <xf numFmtId="0" fontId="42" fillId="7" borderId="0" xfId="0" applyFont="1" applyFill="1" applyProtection="1">
      <protection locked="0"/>
    </xf>
    <xf numFmtId="0" fontId="38" fillId="0" borderId="0" xfId="0" applyFont="1" applyFill="1" applyBorder="1" applyProtection="1"/>
    <xf numFmtId="0" fontId="55" fillId="0" borderId="0" xfId="0" applyFont="1" applyFill="1" applyBorder="1" applyProtection="1"/>
    <xf numFmtId="3" fontId="22" fillId="0" borderId="60" xfId="0" applyNumberFormat="1" applyFont="1" applyFill="1" applyBorder="1" applyAlignment="1" applyProtection="1">
      <alignment vertical="center"/>
    </xf>
    <xf numFmtId="0" fontId="25" fillId="2" borderId="0" xfId="0" applyFont="1" applyFill="1" applyBorder="1" applyAlignment="1"/>
    <xf numFmtId="0" fontId="15" fillId="0" borderId="0" xfId="0" applyFont="1"/>
    <xf numFmtId="1" fontId="4" fillId="0" borderId="0" xfId="0" applyNumberFormat="1" applyFont="1" applyFill="1" applyBorder="1" applyAlignment="1" applyProtection="1">
      <alignment horizontal="center" vertical="top"/>
    </xf>
    <xf numFmtId="3" fontId="22" fillId="7" borderId="0" xfId="0" applyNumberFormat="1" applyFont="1" applyFill="1" applyAlignment="1" applyProtection="1">
      <alignment horizontal="center" vertical="center"/>
    </xf>
    <xf numFmtId="0" fontId="9" fillId="13" borderId="0" xfId="0" applyFont="1" applyFill="1" applyBorder="1" applyAlignment="1" applyProtection="1">
      <alignment horizontal="center"/>
      <protection locked="0"/>
    </xf>
    <xf numFmtId="0" fontId="77" fillId="7" borderId="0" xfId="0" applyFont="1" applyFill="1" applyProtection="1"/>
    <xf numFmtId="0" fontId="85" fillId="7" borderId="0" xfId="0" applyFont="1" applyFill="1" applyAlignment="1" applyProtection="1"/>
    <xf numFmtId="0" fontId="85" fillId="7" borderId="0" xfId="0" applyFont="1" applyFill="1" applyAlignment="1" applyProtection="1">
      <alignment vertical="center"/>
    </xf>
    <xf numFmtId="0" fontId="85" fillId="7" borderId="0" xfId="0" applyFont="1" applyFill="1" applyProtection="1"/>
    <xf numFmtId="0" fontId="84" fillId="7" borderId="0" xfId="0" applyFont="1" applyFill="1" applyProtection="1"/>
    <xf numFmtId="0" fontId="84" fillId="7" borderId="0" xfId="0" applyFont="1" applyFill="1" applyAlignment="1" applyProtection="1">
      <alignment vertical="center"/>
    </xf>
    <xf numFmtId="0" fontId="84" fillId="7" borderId="0" xfId="0" applyFont="1" applyFill="1" applyAlignment="1" applyProtection="1"/>
    <xf numFmtId="0" fontId="22" fillId="0" borderId="49" xfId="0" applyNumberFormat="1" applyFont="1" applyFill="1" applyBorder="1" applyAlignment="1" applyProtection="1">
      <alignment horizontal="left" vertical="center" wrapText="1" indent="1"/>
    </xf>
    <xf numFmtId="170" fontId="37" fillId="19" borderId="151" xfId="0" applyNumberFormat="1" applyFont="1" applyFill="1" applyBorder="1" applyAlignment="1" applyProtection="1"/>
    <xf numFmtId="3" fontId="37" fillId="0" borderId="151" xfId="3" applyNumberFormat="1" applyFont="1" applyFill="1" applyBorder="1" applyAlignment="1" applyProtection="1"/>
    <xf numFmtId="3" fontId="33" fillId="0" borderId="160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textRotation="90" wrapText="1"/>
    </xf>
    <xf numFmtId="3" fontId="22" fillId="10" borderId="161" xfId="0" applyNumberFormat="1" applyFont="1" applyFill="1" applyBorder="1" applyAlignment="1" applyProtection="1">
      <alignment horizontal="left" indent="1"/>
      <protection locked="0"/>
    </xf>
    <xf numFmtId="0" fontId="22" fillId="0" borderId="1" xfId="0" applyFont="1" applyFill="1" applyBorder="1" applyProtection="1"/>
    <xf numFmtId="3" fontId="22" fillId="10" borderId="52" xfId="0" applyNumberFormat="1" applyFont="1" applyFill="1" applyBorder="1" applyAlignment="1" applyProtection="1">
      <alignment horizontal="left" indent="1"/>
      <protection locked="0"/>
    </xf>
    <xf numFmtId="0" fontId="4" fillId="0" borderId="1" xfId="0" applyNumberFormat="1" applyFont="1" applyFill="1" applyBorder="1" applyAlignment="1" applyProtection="1">
      <alignment horizontal="center" wrapText="1"/>
    </xf>
    <xf numFmtId="0" fontId="86" fillId="0" borderId="40" xfId="0" applyNumberFormat="1" applyFont="1" applyFill="1" applyBorder="1" applyAlignment="1" applyProtection="1">
      <alignment horizontal="center" vertical="center" wrapText="1"/>
    </xf>
    <xf numFmtId="0" fontId="22" fillId="0" borderId="151" xfId="0" applyFont="1" applyFill="1" applyBorder="1" applyProtection="1"/>
    <xf numFmtId="170" fontId="33" fillId="0" borderId="130" xfId="0" applyNumberFormat="1" applyFont="1" applyFill="1" applyBorder="1" applyAlignment="1" applyProtection="1"/>
    <xf numFmtId="0" fontId="33" fillId="0" borderId="162" xfId="0" applyNumberFormat="1" applyFont="1" applyFill="1" applyBorder="1" applyAlignment="1" applyProtection="1">
      <alignment horizontal="right"/>
    </xf>
    <xf numFmtId="9" fontId="33" fillId="0" borderId="162" xfId="3" applyFont="1" applyFill="1" applyBorder="1" applyAlignment="1" applyProtection="1">
      <alignment horizontal="center"/>
    </xf>
    <xf numFmtId="170" fontId="33" fillId="0" borderId="162" xfId="0" applyNumberFormat="1" applyFont="1" applyFill="1" applyBorder="1" applyAlignment="1" applyProtection="1"/>
    <xf numFmtId="0" fontId="33" fillId="0" borderId="130" xfId="0" applyNumberFormat="1" applyFont="1" applyFill="1" applyBorder="1" applyAlignment="1" applyProtection="1">
      <alignment horizontal="right"/>
    </xf>
    <xf numFmtId="9" fontId="33" fillId="0" borderId="130" xfId="3" applyFont="1" applyFill="1" applyBorder="1" applyAlignment="1" applyProtection="1">
      <alignment horizontal="center"/>
    </xf>
    <xf numFmtId="3" fontId="33" fillId="0" borderId="156" xfId="0" applyNumberFormat="1" applyFont="1" applyFill="1" applyBorder="1" applyAlignment="1" applyProtection="1"/>
    <xf numFmtId="0" fontId="87" fillId="7" borderId="0" xfId="0" applyFont="1" applyFill="1" applyAlignment="1" applyProtection="1">
      <alignment horizontal="left"/>
    </xf>
    <xf numFmtId="0" fontId="31" fillId="7" borderId="0" xfId="0" applyFont="1" applyFill="1" applyAlignment="1" applyProtection="1">
      <alignment horizontal="center"/>
    </xf>
    <xf numFmtId="0" fontId="30" fillId="7" borderId="0" xfId="0" applyFont="1" applyFill="1" applyAlignment="1" applyProtection="1">
      <alignment horizontal="center"/>
    </xf>
    <xf numFmtId="9" fontId="7" fillId="10" borderId="65" xfId="3" applyFont="1" applyFill="1" applyBorder="1" applyAlignment="1" applyProtection="1">
      <alignment horizontal="center" vertical="center"/>
    </xf>
    <xf numFmtId="1" fontId="43" fillId="0" borderId="0" xfId="0" applyNumberFormat="1" applyFont="1" applyFill="1" applyBorder="1" applyAlignment="1" applyProtection="1"/>
    <xf numFmtId="0" fontId="43" fillId="0" borderId="0" xfId="0" applyFont="1" applyFill="1" applyBorder="1" applyAlignment="1" applyProtection="1">
      <protection hidden="1"/>
    </xf>
    <xf numFmtId="0" fontId="43" fillId="7" borderId="0" xfId="0" applyFont="1" applyFill="1" applyBorder="1" applyProtection="1"/>
    <xf numFmtId="0" fontId="43" fillId="7" borderId="0" xfId="0" applyFont="1" applyFill="1" applyBorder="1" applyAlignment="1" applyProtection="1">
      <protection hidden="1"/>
    </xf>
    <xf numFmtId="0" fontId="43" fillId="7" borderId="0" xfId="0" applyFont="1" applyFill="1" applyBorder="1" applyProtection="1">
      <protection hidden="1"/>
    </xf>
    <xf numFmtId="0" fontId="71" fillId="7" borderId="0" xfId="0" applyFont="1" applyFill="1" applyBorder="1" applyProtection="1">
      <protection hidden="1"/>
    </xf>
    <xf numFmtId="0" fontId="71" fillId="7" borderId="0" xfId="0" applyFont="1" applyFill="1" applyBorder="1" applyAlignment="1" applyProtection="1">
      <protection hidden="1"/>
    </xf>
    <xf numFmtId="0" fontId="66" fillId="7" borderId="0" xfId="0" applyFont="1" applyFill="1" applyBorder="1"/>
    <xf numFmtId="0" fontId="66" fillId="7" borderId="0" xfId="0" applyFont="1" applyFill="1"/>
    <xf numFmtId="0" fontId="9" fillId="0" borderId="0" xfId="0" applyFont="1" applyFill="1" applyBorder="1" applyAlignment="1" applyProtection="1">
      <alignment horizontal="center" vertical="top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8" fillId="0" borderId="0" xfId="0" applyNumberFormat="1" applyFont="1" applyFill="1" applyBorder="1" applyAlignment="1" applyProtection="1">
      <alignment horizontal="center" vertical="top"/>
    </xf>
    <xf numFmtId="1" fontId="28" fillId="0" borderId="0" xfId="0" applyNumberFormat="1" applyFont="1" applyFill="1" applyBorder="1" applyAlignment="1" applyProtection="1">
      <alignment horizontal="center" vertical="center"/>
    </xf>
    <xf numFmtId="9" fontId="33" fillId="7" borderId="0" xfId="3" applyFont="1" applyFill="1" applyProtection="1"/>
    <xf numFmtId="0" fontId="33" fillId="7" borderId="0" xfId="0" applyFont="1" applyFill="1"/>
    <xf numFmtId="0" fontId="33" fillId="7" borderId="0" xfId="0" applyFont="1" applyFill="1" applyAlignment="1" applyProtection="1">
      <alignment horizontal="left"/>
    </xf>
    <xf numFmtId="0" fontId="33" fillId="7" borderId="0" xfId="0" applyFont="1" applyFill="1" applyAlignment="1" applyProtection="1">
      <alignment horizontal="right"/>
    </xf>
    <xf numFmtId="0" fontId="41" fillId="7" borderId="0" xfId="0" applyFont="1" applyFill="1" applyAlignment="1" applyProtection="1">
      <alignment horizontal="center"/>
    </xf>
    <xf numFmtId="0" fontId="33" fillId="7" borderId="0" xfId="0" applyFont="1" applyFill="1" applyAlignment="1">
      <alignment horizontal="right"/>
    </xf>
    <xf numFmtId="0" fontId="2" fillId="0" borderId="0" xfId="0" applyFont="1" applyAlignment="1">
      <alignment vertical="center" wrapText="1"/>
    </xf>
    <xf numFmtId="0" fontId="43" fillId="0" borderId="0" xfId="0" applyFont="1" applyFill="1" applyProtection="1">
      <protection hidden="1"/>
    </xf>
    <xf numFmtId="0" fontId="43" fillId="6" borderId="12" xfId="0" applyFont="1" applyFill="1" applyBorder="1" applyProtection="1">
      <protection hidden="1"/>
    </xf>
    <xf numFmtId="0" fontId="43" fillId="0" borderId="91" xfId="0" applyFont="1" applyFill="1" applyBorder="1" applyAlignment="1" applyProtection="1">
      <alignment horizontal="right"/>
      <protection hidden="1"/>
    </xf>
    <xf numFmtId="0" fontId="71" fillId="0" borderId="109" xfId="0" applyFont="1" applyFill="1" applyBorder="1" applyAlignment="1" applyProtection="1">
      <alignment horizontal="center"/>
      <protection hidden="1"/>
    </xf>
    <xf numFmtId="0" fontId="43" fillId="0" borderId="107" xfId="0" applyFont="1" applyFill="1" applyBorder="1" applyAlignment="1" applyProtection="1">
      <alignment horizontal="center"/>
      <protection hidden="1"/>
    </xf>
    <xf numFmtId="0" fontId="71" fillId="0" borderId="91" xfId="0" applyFont="1" applyFill="1" applyBorder="1" applyAlignment="1" applyProtection="1">
      <alignment horizontal="center"/>
      <protection hidden="1"/>
    </xf>
    <xf numFmtId="0" fontId="71" fillId="0" borderId="62" xfId="0" applyFont="1" applyFill="1" applyBorder="1" applyAlignment="1" applyProtection="1">
      <alignment horizontal="center"/>
      <protection hidden="1"/>
    </xf>
    <xf numFmtId="0" fontId="43" fillId="0" borderId="91" xfId="0" applyFont="1" applyFill="1" applyBorder="1" applyAlignment="1" applyProtection="1">
      <alignment horizontal="center"/>
      <protection hidden="1"/>
    </xf>
    <xf numFmtId="0" fontId="71" fillId="0" borderId="107" xfId="0" applyFont="1" applyFill="1" applyBorder="1" applyAlignment="1" applyProtection="1">
      <alignment horizontal="center"/>
      <protection hidden="1"/>
    </xf>
    <xf numFmtId="0" fontId="43" fillId="0" borderId="62" xfId="0" applyFont="1" applyFill="1" applyBorder="1" applyAlignment="1" applyProtection="1">
      <alignment horizontal="center"/>
      <protection hidden="1"/>
    </xf>
    <xf numFmtId="0" fontId="43" fillId="0" borderId="108" xfId="0" applyFont="1" applyFill="1" applyBorder="1" applyAlignment="1" applyProtection="1">
      <alignment horizontal="center"/>
      <protection hidden="1"/>
    </xf>
    <xf numFmtId="0" fontId="43" fillId="0" borderId="92" xfId="0" applyFont="1" applyFill="1" applyBorder="1" applyAlignment="1" applyProtection="1">
      <alignment horizontal="right"/>
      <protection hidden="1"/>
    </xf>
    <xf numFmtId="0" fontId="43" fillId="3" borderId="25" xfId="0" applyNumberFormat="1" applyFont="1" applyFill="1" applyBorder="1" applyAlignment="1" applyProtection="1">
      <alignment horizontal="center" vertical="center"/>
      <protection hidden="1"/>
    </xf>
    <xf numFmtId="0" fontId="43" fillId="3" borderId="21" xfId="0" applyNumberFormat="1" applyFont="1" applyFill="1" applyBorder="1" applyAlignment="1" applyProtection="1">
      <alignment horizontal="center" vertical="center"/>
      <protection hidden="1"/>
    </xf>
    <xf numFmtId="0" fontId="43" fillId="3" borderId="18" xfId="0" applyNumberFormat="1" applyFont="1" applyFill="1" applyBorder="1" applyAlignment="1" applyProtection="1">
      <alignment horizontal="center" vertical="center"/>
      <protection hidden="1"/>
    </xf>
    <xf numFmtId="0" fontId="43" fillId="3" borderId="7" xfId="0" applyNumberFormat="1" applyFont="1" applyFill="1" applyBorder="1" applyAlignment="1" applyProtection="1">
      <alignment horizontal="center" vertical="center"/>
      <protection hidden="1"/>
    </xf>
    <xf numFmtId="0" fontId="43" fillId="3" borderId="3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167" fontId="71" fillId="0" borderId="26" xfId="0" applyNumberFormat="1" applyFont="1" applyFill="1" applyBorder="1" applyProtection="1">
      <protection hidden="1"/>
    </xf>
    <xf numFmtId="167" fontId="71" fillId="0" borderId="22" xfId="0" applyNumberFormat="1" applyFont="1" applyFill="1" applyBorder="1" applyProtection="1">
      <protection hidden="1"/>
    </xf>
    <xf numFmtId="167" fontId="71" fillId="0" borderId="19" xfId="0" applyNumberFormat="1" applyFont="1" applyFill="1" applyBorder="1" applyProtection="1">
      <protection hidden="1"/>
    </xf>
    <xf numFmtId="167" fontId="71" fillId="0" borderId="23" xfId="0" applyNumberFormat="1" applyFont="1" applyFill="1" applyBorder="1" applyProtection="1">
      <protection hidden="1"/>
    </xf>
    <xf numFmtId="167" fontId="71" fillId="0" borderId="3" xfId="0" applyNumberFormat="1" applyFont="1" applyFill="1" applyBorder="1" applyProtection="1">
      <protection hidden="1"/>
    </xf>
    <xf numFmtId="167" fontId="71" fillId="0" borderId="35" xfId="0" applyNumberFormat="1" applyFont="1" applyFill="1" applyBorder="1" applyProtection="1">
      <protection hidden="1"/>
    </xf>
    <xf numFmtId="167" fontId="43" fillId="0" borderId="26" xfId="0" applyNumberFormat="1" applyFont="1" applyFill="1" applyBorder="1" applyProtection="1">
      <protection hidden="1"/>
    </xf>
    <xf numFmtId="167" fontId="43" fillId="0" borderId="22" xfId="0" applyNumberFormat="1" applyFont="1" applyFill="1" applyBorder="1" applyProtection="1">
      <protection hidden="1"/>
    </xf>
    <xf numFmtId="167" fontId="43" fillId="0" borderId="19" xfId="0" applyNumberFormat="1" applyFont="1" applyFill="1" applyBorder="1" applyProtection="1">
      <protection hidden="1"/>
    </xf>
    <xf numFmtId="167" fontId="43" fillId="0" borderId="1" xfId="0" applyNumberFormat="1" applyFont="1" applyFill="1" applyBorder="1" applyProtection="1">
      <protection hidden="1"/>
    </xf>
    <xf numFmtId="167" fontId="43" fillId="0" borderId="34" xfId="0" applyNumberFormat="1" applyFont="1" applyFill="1" applyBorder="1" applyProtection="1">
      <protection hidden="1"/>
    </xf>
    <xf numFmtId="0" fontId="43" fillId="0" borderId="93" xfId="0" applyFont="1" applyFill="1" applyBorder="1" applyProtection="1">
      <protection hidden="1"/>
    </xf>
    <xf numFmtId="167" fontId="43" fillId="0" borderId="94" xfId="0" applyNumberFormat="1" applyFont="1" applyFill="1" applyBorder="1" applyProtection="1">
      <protection hidden="1"/>
    </xf>
    <xf numFmtId="167" fontId="43" fillId="0" borderId="16" xfId="0" applyNumberFormat="1" applyFont="1" applyFill="1" applyBorder="1" applyProtection="1">
      <protection hidden="1"/>
    </xf>
    <xf numFmtId="167" fontId="43" fillId="0" borderId="95" xfId="0" applyNumberFormat="1" applyFont="1" applyFill="1" applyBorder="1" applyProtection="1">
      <protection hidden="1"/>
    </xf>
    <xf numFmtId="167" fontId="43" fillId="0" borderId="27" xfId="0" applyNumberFormat="1" applyFont="1" applyFill="1" applyBorder="1" applyAlignment="1" applyProtection="1">
      <alignment horizontal="right"/>
      <protection hidden="1"/>
    </xf>
    <xf numFmtId="168" fontId="43" fillId="0" borderId="89" xfId="0" applyNumberFormat="1" applyFont="1" applyFill="1" applyBorder="1" applyAlignment="1" applyProtection="1">
      <alignment horizontal="right"/>
      <protection hidden="1"/>
    </xf>
    <xf numFmtId="168" fontId="43" fillId="0" borderId="90" xfId="0" applyNumberFormat="1" applyFont="1" applyFill="1" applyBorder="1" applyAlignment="1" applyProtection="1">
      <alignment horizontal="right"/>
      <protection hidden="1"/>
    </xf>
    <xf numFmtId="167" fontId="43" fillId="0" borderId="89" xfId="0" applyNumberFormat="1" applyFont="1" applyFill="1" applyBorder="1" applyAlignment="1" applyProtection="1">
      <alignment horizontal="right"/>
      <protection hidden="1"/>
    </xf>
    <xf numFmtId="167" fontId="43" fillId="0" borderId="43" xfId="0" applyNumberFormat="1" applyFont="1" applyFill="1" applyBorder="1" applyAlignment="1" applyProtection="1">
      <alignment horizontal="right"/>
      <protection hidden="1"/>
    </xf>
    <xf numFmtId="167" fontId="43" fillId="0" borderId="9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right"/>
      <protection hidden="1"/>
    </xf>
    <xf numFmtId="167" fontId="43" fillId="0" borderId="28" xfId="0" applyNumberFormat="1" applyFont="1" applyFill="1" applyBorder="1" applyAlignment="1" applyProtection="1">
      <alignment horizontal="right"/>
      <protection hidden="1"/>
    </xf>
    <xf numFmtId="167" fontId="43" fillId="0" borderId="24" xfId="0" applyNumberFormat="1" applyFont="1" applyFill="1" applyBorder="1" applyAlignment="1" applyProtection="1">
      <alignment horizontal="right"/>
      <protection hidden="1"/>
    </xf>
    <xf numFmtId="167" fontId="43" fillId="0" borderId="20" xfId="0" applyNumberFormat="1" applyFont="1" applyFill="1" applyBorder="1" applyAlignment="1" applyProtection="1">
      <alignment horizontal="right"/>
      <protection hidden="1"/>
    </xf>
    <xf numFmtId="167" fontId="43" fillId="0" borderId="9" xfId="0" applyNumberFormat="1" applyFont="1" applyFill="1" applyBorder="1" applyAlignment="1" applyProtection="1">
      <alignment horizontal="right"/>
      <protection hidden="1"/>
    </xf>
    <xf numFmtId="0" fontId="71" fillId="0" borderId="0" xfId="0" applyFont="1" applyFill="1" applyProtection="1">
      <protection hidden="1"/>
    </xf>
    <xf numFmtId="167" fontId="43" fillId="0" borderId="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3" fillId="6" borderId="11" xfId="0" applyFont="1" applyFill="1" applyBorder="1" applyAlignment="1" applyProtection="1">
      <alignment horizontal="center" vertical="center"/>
      <protection hidden="1"/>
    </xf>
    <xf numFmtId="167" fontId="43" fillId="0" borderId="11" xfId="0" applyNumberFormat="1" applyFont="1" applyBorder="1" applyAlignment="1" applyProtection="1">
      <alignment vertical="center"/>
      <protection hidden="1"/>
    </xf>
    <xf numFmtId="3" fontId="43" fillId="0" borderId="11" xfId="0" applyNumberFormat="1" applyFont="1" applyFill="1" applyBorder="1" applyProtection="1">
      <protection hidden="1"/>
    </xf>
    <xf numFmtId="3" fontId="43" fillId="6" borderId="11" xfId="0" applyNumberFormat="1" applyFont="1" applyFill="1" applyBorder="1" applyAlignment="1" applyProtection="1">
      <alignment horizontal="right" vertical="center"/>
      <protection hidden="1"/>
    </xf>
    <xf numFmtId="167" fontId="43" fillId="0" borderId="0" xfId="0" applyNumberFormat="1" applyFont="1" applyAlignment="1" applyProtection="1">
      <alignment vertical="center"/>
      <protection hidden="1"/>
    </xf>
    <xf numFmtId="0" fontId="43" fillId="0" borderId="53" xfId="0" applyFont="1" applyFill="1" applyBorder="1" applyProtection="1">
      <protection hidden="1"/>
    </xf>
    <xf numFmtId="0" fontId="43" fillId="6" borderId="0" xfId="0" applyFont="1" applyFill="1" applyAlignment="1" applyProtection="1">
      <alignment horizontal="center"/>
      <protection hidden="1"/>
    </xf>
    <xf numFmtId="167" fontId="43" fillId="0" borderId="0" xfId="0" applyNumberFormat="1" applyFont="1" applyFill="1" applyProtection="1">
      <protection hidden="1"/>
    </xf>
    <xf numFmtId="167" fontId="43" fillId="0" borderId="11" xfId="0" applyNumberFormat="1" applyFont="1" applyFill="1" applyBorder="1" applyProtection="1">
      <protection hidden="1"/>
    </xf>
    <xf numFmtId="0" fontId="43" fillId="0" borderId="11" xfId="0" applyFont="1" applyFill="1" applyBorder="1" applyProtection="1">
      <protection hidden="1"/>
    </xf>
    <xf numFmtId="0" fontId="71" fillId="7" borderId="0" xfId="0" applyFont="1" applyFill="1" applyProtection="1">
      <protection hidden="1"/>
    </xf>
    <xf numFmtId="0" fontId="41" fillId="9" borderId="53" xfId="0" applyNumberFormat="1" applyFont="1" applyFill="1" applyBorder="1" applyAlignment="1" applyProtection="1">
      <alignment horizontal="center" vertical="center" wrapText="1"/>
      <protection hidden="1"/>
    </xf>
    <xf numFmtId="0" fontId="31" fillId="7" borderId="0" xfId="0" applyFont="1" applyFill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 indent="1"/>
    </xf>
    <xf numFmtId="3" fontId="7" fillId="7" borderId="0" xfId="0" applyNumberFormat="1" applyFont="1" applyFill="1" applyBorder="1" applyAlignment="1" applyProtection="1">
      <alignment horizontal="right" vertical="center" indent="1"/>
    </xf>
    <xf numFmtId="0" fontId="7" fillId="7" borderId="0" xfId="0" applyFont="1" applyFill="1" applyBorder="1" applyProtection="1"/>
    <xf numFmtId="0" fontId="7" fillId="7" borderId="0" xfId="0" applyFont="1" applyFill="1" applyAlignment="1" applyProtection="1">
      <alignment vertical="center"/>
    </xf>
    <xf numFmtId="0" fontId="7" fillId="7" borderId="0" xfId="0" applyFont="1" applyFill="1" applyAlignment="1" applyProtection="1">
      <alignment horizontal="left" vertical="center"/>
    </xf>
    <xf numFmtId="1" fontId="39" fillId="7" borderId="0" xfId="0" quotePrefix="1" applyNumberFormat="1" applyFont="1" applyFill="1" applyAlignment="1" applyProtection="1">
      <alignment horizontal="right"/>
      <protection hidden="1"/>
    </xf>
    <xf numFmtId="1" fontId="39" fillId="0" borderId="0" xfId="0" quotePrefix="1" applyNumberFormat="1" applyFont="1" applyFill="1" applyProtection="1"/>
    <xf numFmtId="9" fontId="22" fillId="10" borderId="136" xfId="3" applyFont="1" applyFill="1" applyBorder="1" applyAlignment="1" applyProtection="1">
      <alignment horizontal="right"/>
      <protection locked="0"/>
    </xf>
    <xf numFmtId="0" fontId="38" fillId="9" borderId="112" xfId="0" applyFont="1" applyFill="1" applyBorder="1" applyAlignment="1" applyProtection="1">
      <alignment horizontal="center"/>
    </xf>
    <xf numFmtId="3" fontId="22" fillId="10" borderId="52" xfId="0" applyNumberFormat="1" applyFont="1" applyFill="1" applyBorder="1" applyAlignment="1" applyProtection="1">
      <alignment horizontal="right" indent="1"/>
      <protection locked="0"/>
    </xf>
    <xf numFmtId="3" fontId="22" fillId="10" borderId="157" xfId="0" applyNumberFormat="1" applyFont="1" applyFill="1" applyBorder="1" applyAlignment="1" applyProtection="1">
      <alignment horizontal="right" indent="1"/>
      <protection locked="0"/>
    </xf>
    <xf numFmtId="9" fontId="33" fillId="10" borderId="163" xfId="3" applyFont="1" applyFill="1" applyBorder="1" applyAlignment="1" applyProtection="1">
      <alignment horizontal="center"/>
      <protection locked="0"/>
    </xf>
    <xf numFmtId="9" fontId="33" fillId="10" borderId="164" xfId="3" applyFont="1" applyFill="1" applyBorder="1" applyAlignment="1" applyProtection="1">
      <alignment horizontal="center"/>
      <protection locked="0"/>
    </xf>
    <xf numFmtId="0" fontId="33" fillId="0" borderId="141" xfId="0" applyNumberFormat="1" applyFont="1" applyFill="1" applyBorder="1" applyAlignment="1" applyProtection="1">
      <alignment horizontal="right"/>
    </xf>
    <xf numFmtId="3" fontId="22" fillId="10" borderId="165" xfId="0" applyNumberFormat="1" applyFont="1" applyFill="1" applyBorder="1" applyAlignment="1" applyProtection="1">
      <alignment horizontal="right" indent="1"/>
      <protection locked="0"/>
    </xf>
    <xf numFmtId="3" fontId="22" fillId="10" borderId="165" xfId="0" applyNumberFormat="1" applyFont="1" applyFill="1" applyBorder="1" applyAlignment="1" applyProtection="1">
      <protection locked="0"/>
    </xf>
    <xf numFmtId="170" fontId="33" fillId="19" borderId="127" xfId="0" applyNumberFormat="1" applyFont="1" applyFill="1" applyBorder="1" applyAlignment="1" applyProtection="1"/>
    <xf numFmtId="0" fontId="4" fillId="0" borderId="127" xfId="0" applyNumberFormat="1" applyFont="1" applyFill="1" applyBorder="1" applyAlignment="1" applyProtection="1">
      <alignment textRotation="90" wrapText="1"/>
    </xf>
    <xf numFmtId="3" fontId="22" fillId="10" borderId="167" xfId="0" applyNumberFormat="1" applyFont="1" applyFill="1" applyBorder="1" applyAlignment="1" applyProtection="1">
      <protection locked="0"/>
    </xf>
    <xf numFmtId="0" fontId="33" fillId="7" borderId="0" xfId="0" applyFont="1" applyFill="1" applyBorder="1" applyAlignment="1" applyProtection="1">
      <alignment horizontal="center"/>
      <protection hidden="1"/>
    </xf>
    <xf numFmtId="0" fontId="33" fillId="7" borderId="30" xfId="0" applyFont="1" applyFill="1" applyBorder="1" applyAlignment="1" applyProtection="1">
      <alignment horizontal="center"/>
      <protection hidden="1"/>
    </xf>
    <xf numFmtId="0" fontId="33" fillId="7" borderId="1" xfId="0" applyFont="1" applyFill="1" applyBorder="1" applyAlignment="1" applyProtection="1">
      <alignment horizontal="center"/>
      <protection hidden="1"/>
    </xf>
    <xf numFmtId="0" fontId="33" fillId="7" borderId="126" xfId="0" applyFont="1" applyFill="1" applyBorder="1" applyAlignment="1" applyProtection="1">
      <alignment horizontal="center"/>
      <protection hidden="1"/>
    </xf>
    <xf numFmtId="0" fontId="33" fillId="7" borderId="19" xfId="0" applyFont="1" applyFill="1" applyBorder="1" applyAlignment="1" applyProtection="1">
      <alignment horizontal="center"/>
      <protection hidden="1"/>
    </xf>
    <xf numFmtId="0" fontId="33" fillId="7" borderId="154" xfId="0" applyFont="1" applyFill="1" applyBorder="1" applyAlignment="1" applyProtection="1">
      <alignment horizontal="center"/>
      <protection hidden="1"/>
    </xf>
    <xf numFmtId="0" fontId="33" fillId="0" borderId="127" xfId="0" applyNumberFormat="1" applyFont="1" applyFill="1" applyBorder="1" applyAlignment="1" applyProtection="1">
      <alignment horizontal="right"/>
    </xf>
    <xf numFmtId="1" fontId="22" fillId="0" borderId="127" xfId="0" applyNumberFormat="1" applyFont="1" applyFill="1" applyBorder="1" applyAlignment="1" applyProtection="1">
      <alignment horizontal="left"/>
      <protection hidden="1"/>
    </xf>
    <xf numFmtId="3" fontId="22" fillId="0" borderId="165" xfId="0" applyNumberFormat="1" applyFont="1" applyFill="1" applyBorder="1" applyAlignment="1" applyProtection="1">
      <alignment horizontal="right" indent="1"/>
      <protection hidden="1"/>
    </xf>
    <xf numFmtId="3" fontId="22" fillId="0" borderId="165" xfId="0" applyNumberFormat="1" applyFont="1" applyFill="1" applyBorder="1" applyAlignment="1" applyProtection="1">
      <protection hidden="1"/>
    </xf>
    <xf numFmtId="167" fontId="22" fillId="10" borderId="170" xfId="0" applyNumberFormat="1" applyFont="1" applyFill="1" applyBorder="1" applyAlignment="1" applyProtection="1">
      <alignment vertical="center"/>
      <protection locked="0"/>
    </xf>
    <xf numFmtId="1" fontId="22" fillId="10" borderId="171" xfId="2" applyNumberFormat="1" applyFont="1" applyFill="1" applyBorder="1" applyAlignment="1" applyProtection="1">
      <alignment horizontal="center" vertical="center"/>
      <protection locked="0"/>
    </xf>
    <xf numFmtId="167" fontId="22" fillId="10" borderId="174" xfId="0" applyNumberFormat="1" applyFont="1" applyFill="1" applyBorder="1" applyAlignment="1" applyProtection="1">
      <alignment vertical="center"/>
      <protection locked="0"/>
    </xf>
    <xf numFmtId="1" fontId="22" fillId="10" borderId="167" xfId="2" applyNumberFormat="1" applyFont="1" applyFill="1" applyBorder="1" applyAlignment="1" applyProtection="1">
      <alignment horizontal="center" vertical="center"/>
      <protection locked="0"/>
    </xf>
    <xf numFmtId="167" fontId="22" fillId="10" borderId="177" xfId="0" applyNumberFormat="1" applyFont="1" applyFill="1" applyBorder="1" applyAlignment="1" applyProtection="1">
      <alignment vertical="center"/>
      <protection locked="0"/>
    </xf>
    <xf numFmtId="1" fontId="22" fillId="10" borderId="146" xfId="2" applyNumberFormat="1" applyFont="1" applyFill="1" applyBorder="1" applyAlignment="1" applyProtection="1">
      <alignment horizontal="center" vertical="center"/>
      <protection locked="0"/>
    </xf>
    <xf numFmtId="167" fontId="22" fillId="10" borderId="178" xfId="0" applyNumberFormat="1" applyFont="1" applyFill="1" applyBorder="1" applyAlignment="1" applyProtection="1">
      <alignment vertical="center"/>
      <protection locked="0"/>
    </xf>
    <xf numFmtId="167" fontId="22" fillId="10" borderId="179" xfId="0" applyNumberFormat="1" applyFont="1" applyFill="1" applyBorder="1" applyAlignment="1" applyProtection="1">
      <alignment vertical="center"/>
      <protection locked="0"/>
    </xf>
    <xf numFmtId="167" fontId="22" fillId="10" borderId="182" xfId="0" applyNumberFormat="1" applyFont="1" applyFill="1" applyBorder="1" applyAlignment="1" applyProtection="1">
      <alignment vertical="center"/>
      <protection locked="0"/>
    </xf>
    <xf numFmtId="3" fontId="22" fillId="0" borderId="167" xfId="0" applyNumberFormat="1" applyFont="1" applyFill="1" applyBorder="1" applyAlignment="1" applyProtection="1"/>
    <xf numFmtId="3" fontId="22" fillId="0" borderId="183" xfId="0" applyNumberFormat="1" applyFont="1" applyFill="1" applyBorder="1" applyAlignment="1" applyProtection="1">
      <alignment horizontal="right" vertical="center" indent="1"/>
    </xf>
    <xf numFmtId="3" fontId="22" fillId="0" borderId="171" xfId="0" applyNumberFormat="1" applyFont="1" applyFill="1" applyBorder="1" applyAlignment="1" applyProtection="1">
      <alignment horizontal="right" vertical="center" indent="1"/>
    </xf>
    <xf numFmtId="3" fontId="22" fillId="0" borderId="165" xfId="0" applyNumberFormat="1" applyFont="1" applyFill="1" applyBorder="1" applyAlignment="1" applyProtection="1">
      <alignment horizontal="right" vertical="center" indent="1"/>
    </xf>
    <xf numFmtId="3" fontId="22" fillId="0" borderId="167" xfId="0" applyNumberFormat="1" applyFont="1" applyFill="1" applyBorder="1" applyAlignment="1" applyProtection="1">
      <alignment horizontal="right" vertical="center" indent="1"/>
    </xf>
    <xf numFmtId="3" fontId="22" fillId="1" borderId="165" xfId="0" applyNumberFormat="1" applyFont="1" applyFill="1" applyBorder="1" applyAlignment="1" applyProtection="1">
      <alignment horizontal="right" vertical="center" indent="1"/>
    </xf>
    <xf numFmtId="3" fontId="22" fillId="1" borderId="184" xfId="0" applyNumberFormat="1" applyFont="1" applyFill="1" applyBorder="1" applyAlignment="1" applyProtection="1">
      <alignment horizontal="right" vertical="center" indent="1"/>
    </xf>
    <xf numFmtId="3" fontId="22" fillId="1" borderId="185" xfId="0" applyNumberFormat="1" applyFont="1" applyFill="1" applyBorder="1" applyAlignment="1" applyProtection="1">
      <alignment horizontal="right" vertical="center" indent="1"/>
    </xf>
    <xf numFmtId="167" fontId="22" fillId="21" borderId="186" xfId="0" applyNumberFormat="1" applyFont="1" applyFill="1" applyBorder="1" applyAlignment="1" applyProtection="1">
      <alignment vertical="center"/>
      <protection locked="0"/>
    </xf>
    <xf numFmtId="1" fontId="22" fillId="21" borderId="186" xfId="2" applyNumberFormat="1" applyFont="1" applyFill="1" applyBorder="1" applyAlignment="1" applyProtection="1">
      <alignment horizontal="center" vertical="center"/>
      <protection locked="0"/>
    </xf>
    <xf numFmtId="167" fontId="22" fillId="21" borderId="187" xfId="0" applyNumberFormat="1" applyFont="1" applyFill="1" applyBorder="1" applyAlignment="1" applyProtection="1">
      <alignment vertical="center"/>
      <protection locked="0"/>
    </xf>
    <xf numFmtId="0" fontId="22" fillId="0" borderId="188" xfId="0" applyFont="1" applyFill="1" applyBorder="1" applyAlignment="1" applyProtection="1">
      <alignment vertical="center"/>
    </xf>
    <xf numFmtId="0" fontId="22" fillId="0" borderId="189" xfId="0" applyFont="1" applyFill="1" applyBorder="1" applyAlignment="1" applyProtection="1">
      <alignment vertical="center"/>
    </xf>
    <xf numFmtId="0" fontId="22" fillId="0" borderId="165" xfId="0" applyNumberFormat="1" applyFont="1" applyFill="1" applyBorder="1" applyAlignment="1" applyProtection="1">
      <alignment vertical="top"/>
    </xf>
    <xf numFmtId="3" fontId="22" fillId="10" borderId="165" xfId="0" applyNumberFormat="1" applyFont="1" applyFill="1" applyBorder="1" applyAlignment="1" applyProtection="1">
      <alignment horizontal="right"/>
      <protection locked="0"/>
    </xf>
    <xf numFmtId="3" fontId="22" fillId="0" borderId="167" xfId="0" applyNumberFormat="1" applyFont="1" applyFill="1" applyBorder="1" applyAlignment="1" applyProtection="1">
      <alignment horizontal="right" vertical="top"/>
    </xf>
    <xf numFmtId="0" fontId="22" fillId="10" borderId="166" xfId="0" applyNumberFormat="1" applyFont="1" applyFill="1" applyBorder="1" applyAlignment="1" applyProtection="1">
      <alignment vertical="top"/>
      <protection locked="0" hidden="1"/>
    </xf>
    <xf numFmtId="3" fontId="22" fillId="10" borderId="166" xfId="0" applyNumberFormat="1" applyFont="1" applyFill="1" applyBorder="1" applyAlignment="1" applyProtection="1">
      <alignment horizontal="right"/>
      <protection locked="0"/>
    </xf>
    <xf numFmtId="3" fontId="22" fillId="0" borderId="190" xfId="0" applyNumberFormat="1" applyFont="1" applyFill="1" applyBorder="1" applyAlignment="1" applyProtection="1">
      <alignment horizontal="right" vertical="top"/>
    </xf>
    <xf numFmtId="3" fontId="22" fillId="0" borderId="165" xfId="0" applyNumberFormat="1" applyFont="1" applyFill="1" applyBorder="1" applyAlignment="1" applyProtection="1">
      <alignment horizontal="right" vertical="top"/>
    </xf>
    <xf numFmtId="3" fontId="22" fillId="7" borderId="167" xfId="0" applyNumberFormat="1" applyFont="1" applyFill="1" applyBorder="1" applyAlignment="1" applyProtection="1">
      <alignment horizontal="right" vertical="top"/>
    </xf>
    <xf numFmtId="0" fontId="22" fillId="0" borderId="165" xfId="0" applyNumberFormat="1" applyFont="1" applyFill="1" applyBorder="1" applyAlignment="1" applyProtection="1">
      <alignment vertical="top"/>
      <protection hidden="1"/>
    </xf>
    <xf numFmtId="3" fontId="22" fillId="0" borderId="165" xfId="0" applyNumberFormat="1" applyFont="1" applyFill="1" applyBorder="1" applyAlignment="1" applyProtection="1">
      <alignment horizontal="right"/>
    </xf>
    <xf numFmtId="3" fontId="22" fillId="10" borderId="167" xfId="0" applyNumberFormat="1" applyFont="1" applyFill="1" applyBorder="1" applyAlignment="1" applyProtection="1">
      <alignment horizontal="right"/>
      <protection locked="0"/>
    </xf>
    <xf numFmtId="0" fontId="22" fillId="0" borderId="166" xfId="0" applyNumberFormat="1" applyFont="1" applyFill="1" applyBorder="1" applyAlignment="1" applyProtection="1">
      <alignment vertical="top"/>
      <protection hidden="1"/>
    </xf>
    <xf numFmtId="3" fontId="22" fillId="0" borderId="166" xfId="0" applyNumberFormat="1" applyFont="1" applyFill="1" applyBorder="1" applyAlignment="1" applyProtection="1">
      <alignment horizontal="right"/>
    </xf>
    <xf numFmtId="3" fontId="22" fillId="10" borderId="190" xfId="0" applyNumberFormat="1" applyFont="1" applyFill="1" applyBorder="1" applyAlignment="1" applyProtection="1">
      <alignment horizontal="right"/>
      <protection locked="0"/>
    </xf>
    <xf numFmtId="0" fontId="22" fillId="0" borderId="84" xfId="0" applyNumberFormat="1" applyFont="1" applyFill="1" applyBorder="1" applyAlignment="1" applyProtection="1">
      <alignment vertical="top"/>
      <protection hidden="1"/>
    </xf>
    <xf numFmtId="170" fontId="22" fillId="0" borderId="165" xfId="0" applyNumberFormat="1" applyFont="1" applyFill="1" applyBorder="1" applyAlignment="1" applyProtection="1">
      <alignment horizontal="left" vertical="top"/>
      <protection hidden="1"/>
    </xf>
    <xf numFmtId="3" fontId="22" fillId="10" borderId="165" xfId="0" applyNumberFormat="1" applyFont="1" applyFill="1" applyBorder="1" applyAlignment="1" applyProtection="1">
      <alignment vertical="center"/>
      <protection locked="0"/>
    </xf>
    <xf numFmtId="3" fontId="22" fillId="0" borderId="167" xfId="0" applyNumberFormat="1" applyFont="1" applyFill="1" applyBorder="1" applyAlignment="1" applyProtection="1">
      <alignment vertical="center"/>
    </xf>
    <xf numFmtId="3" fontId="22" fillId="10" borderId="145" xfId="0" applyNumberFormat="1" applyFont="1" applyFill="1" applyBorder="1" applyAlignment="1" applyProtection="1">
      <alignment vertical="center"/>
      <protection locked="0"/>
    </xf>
    <xf numFmtId="3" fontId="22" fillId="0" borderId="146" xfId="0" applyNumberFormat="1" applyFont="1" applyFill="1" applyBorder="1" applyAlignment="1" applyProtection="1">
      <alignment vertical="center"/>
    </xf>
    <xf numFmtId="0" fontId="22" fillId="10" borderId="175" xfId="0" applyFont="1" applyFill="1" applyBorder="1" applyAlignment="1" applyProtection="1">
      <alignment vertical="center"/>
      <protection locked="0"/>
    </xf>
    <xf numFmtId="0" fontId="22" fillId="0" borderId="172" xfId="0" applyFont="1" applyFill="1" applyBorder="1" applyAlignment="1" applyProtection="1">
      <alignment vertical="center"/>
    </xf>
    <xf numFmtId="3" fontId="22" fillId="0" borderId="165" xfId="0" applyNumberFormat="1" applyFont="1" applyFill="1" applyBorder="1" applyAlignment="1" applyProtection="1">
      <alignment vertical="center"/>
    </xf>
    <xf numFmtId="3" fontId="22" fillId="10" borderId="167" xfId="0" applyNumberFormat="1" applyFont="1" applyFill="1" applyBorder="1" applyAlignment="1" applyProtection="1">
      <alignment vertical="center"/>
      <protection locked="0"/>
    </xf>
    <xf numFmtId="3" fontId="22" fillId="0" borderId="145" xfId="0" applyNumberFormat="1" applyFont="1" applyFill="1" applyBorder="1" applyAlignment="1" applyProtection="1">
      <alignment vertical="center"/>
    </xf>
    <xf numFmtId="3" fontId="22" fillId="10" borderId="146" xfId="0" applyNumberFormat="1" applyFont="1" applyFill="1" applyBorder="1" applyAlignment="1" applyProtection="1">
      <alignment vertical="center"/>
      <protection locked="0"/>
    </xf>
    <xf numFmtId="0" fontId="22" fillId="0" borderId="167" xfId="0" applyFont="1" applyFill="1" applyBorder="1" applyAlignment="1" applyProtection="1">
      <alignment horizontal="left" indent="1"/>
    </xf>
    <xf numFmtId="167" fontId="22" fillId="11" borderId="174" xfId="0" applyNumberFormat="1" applyFont="1" applyFill="1" applyBorder="1" applyAlignment="1" applyProtection="1">
      <alignment vertical="center"/>
      <protection locked="0"/>
    </xf>
    <xf numFmtId="1" fontId="22" fillId="11" borderId="167" xfId="2" applyNumberFormat="1" applyFont="1" applyFill="1" applyBorder="1" applyAlignment="1" applyProtection="1">
      <alignment horizontal="center" vertical="center"/>
      <protection locked="0"/>
    </xf>
    <xf numFmtId="10" fontId="22" fillId="11" borderId="165" xfId="3" applyNumberFormat="1" applyFont="1" applyFill="1" applyBorder="1" applyAlignment="1" applyProtection="1">
      <alignment horizontal="center"/>
      <protection locked="0"/>
    </xf>
    <xf numFmtId="1" fontId="22" fillId="11" borderId="165" xfId="3" applyNumberFormat="1" applyFont="1" applyFill="1" applyBorder="1" applyAlignment="1" applyProtection="1">
      <alignment horizontal="center"/>
      <protection locked="0"/>
    </xf>
    <xf numFmtId="1" fontId="22" fillId="11" borderId="167" xfId="3" applyNumberFormat="1" applyFont="1" applyFill="1" applyBorder="1" applyAlignment="1" applyProtection="1">
      <alignment horizontal="center"/>
      <protection locked="0"/>
    </xf>
    <xf numFmtId="0" fontId="45" fillId="7" borderId="0" xfId="1" applyFont="1" applyFill="1" applyBorder="1" applyAlignment="1" applyProtection="1">
      <alignment horizontal="left"/>
    </xf>
    <xf numFmtId="0" fontId="88" fillId="0" borderId="0" xfId="0" applyFont="1"/>
    <xf numFmtId="0" fontId="89" fillId="0" borderId="0" xfId="0" applyFont="1"/>
    <xf numFmtId="167" fontId="22" fillId="10" borderId="179" xfId="0" applyNumberFormat="1" applyFont="1" applyFill="1" applyBorder="1" applyAlignment="1" applyProtection="1">
      <protection locked="0"/>
    </xf>
    <xf numFmtId="0" fontId="91" fillId="7" borderId="0" xfId="0" applyFont="1" applyFill="1" applyAlignment="1" applyProtection="1"/>
    <xf numFmtId="0" fontId="3" fillId="7" borderId="0" xfId="1" applyFill="1" applyBorder="1" applyAlignment="1" applyProtection="1">
      <alignment horizontal="left"/>
    </xf>
    <xf numFmtId="0" fontId="0" fillId="2" borderId="0" xfId="0" applyFill="1" applyBorder="1"/>
    <xf numFmtId="0" fontId="13" fillId="2" borderId="0" xfId="0" applyFont="1" applyFill="1" applyBorder="1"/>
    <xf numFmtId="0" fontId="0" fillId="0" borderId="0" xfId="0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81" fillId="9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14" fillId="2" borderId="0" xfId="0" applyFont="1" applyFill="1" applyBorder="1"/>
    <xf numFmtId="0" fontId="14" fillId="2" borderId="0" xfId="0" quotePrefix="1" applyFont="1" applyFill="1" applyBorder="1"/>
    <xf numFmtId="0" fontId="0" fillId="2" borderId="0" xfId="0" quotePrefix="1" applyFill="1" applyBorder="1"/>
    <xf numFmtId="0" fontId="92" fillId="0" borderId="0" xfId="0" applyFont="1" applyBorder="1"/>
    <xf numFmtId="0" fontId="93" fillId="0" borderId="0" xfId="0" applyFont="1" applyBorder="1"/>
    <xf numFmtId="0" fontId="21" fillId="2" borderId="0" xfId="0" applyFont="1" applyFill="1" applyBorder="1"/>
    <xf numFmtId="0" fontId="28" fillId="0" borderId="0" xfId="0" applyFont="1" applyBorder="1"/>
    <xf numFmtId="0" fontId="24" fillId="0" borderId="0" xfId="0" applyFont="1" applyBorder="1"/>
    <xf numFmtId="0" fontId="4" fillId="7" borderId="0" xfId="0" applyFont="1" applyFill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 wrapText="1"/>
    </xf>
    <xf numFmtId="0" fontId="94" fillId="0" borderId="0" xfId="0" applyFont="1" applyFill="1" applyBorder="1" applyAlignment="1" applyProtection="1">
      <alignment vertical="center"/>
    </xf>
    <xf numFmtId="1" fontId="33" fillId="7" borderId="191" xfId="0" applyNumberFormat="1" applyFont="1" applyFill="1" applyBorder="1" applyAlignment="1" applyProtection="1">
      <alignment horizontal="center" vertical="top"/>
    </xf>
    <xf numFmtId="0" fontId="22" fillId="0" borderId="149" xfId="0" applyNumberFormat="1" applyFont="1" applyFill="1" applyBorder="1" applyAlignment="1" applyProtection="1">
      <alignment vertical="top"/>
    </xf>
    <xf numFmtId="3" fontId="22" fillId="0" borderId="149" xfId="0" applyNumberFormat="1" applyFont="1" applyFill="1" applyBorder="1" applyAlignment="1" applyProtection="1">
      <alignment horizontal="right"/>
    </xf>
    <xf numFmtId="3" fontId="22" fillId="0" borderId="150" xfId="0" applyNumberFormat="1" applyFont="1" applyFill="1" applyBorder="1" applyAlignment="1" applyProtection="1">
      <alignment horizontal="right" vertical="top"/>
    </xf>
    <xf numFmtId="0" fontId="22" fillId="0" borderId="149" xfId="0" applyNumberFormat="1" applyFont="1" applyFill="1" applyBorder="1" applyAlignment="1" applyProtection="1">
      <alignment vertical="top"/>
      <protection hidden="1"/>
    </xf>
    <xf numFmtId="3" fontId="22" fillId="0" borderId="150" xfId="0" applyNumberFormat="1" applyFont="1" applyFill="1" applyBorder="1" applyAlignment="1" applyProtection="1">
      <alignment horizontal="right"/>
    </xf>
    <xf numFmtId="3" fontId="22" fillId="10" borderId="87" xfId="0" applyNumberFormat="1" applyFont="1" applyFill="1" applyBorder="1" applyAlignment="1" applyProtection="1">
      <alignment horizontal="left" indent="1"/>
      <protection locked="0"/>
    </xf>
    <xf numFmtId="9" fontId="33" fillId="10" borderId="192" xfId="3" applyFont="1" applyFill="1" applyBorder="1" applyAlignment="1" applyProtection="1">
      <alignment horizontal="center"/>
      <protection locked="0"/>
    </xf>
    <xf numFmtId="49" fontId="33" fillId="7" borderId="68" xfId="0" applyNumberFormat="1" applyFont="1" applyFill="1" applyBorder="1" applyAlignment="1" applyProtection="1">
      <alignment horizontal="center"/>
    </xf>
    <xf numFmtId="1" fontId="22" fillId="7" borderId="193" xfId="0" applyNumberFormat="1" applyFont="1" applyFill="1" applyBorder="1" applyAlignment="1" applyProtection="1">
      <alignment horizontal="left"/>
    </xf>
    <xf numFmtId="0" fontId="22" fillId="7" borderId="193" xfId="0" applyFont="1" applyFill="1" applyBorder="1" applyAlignment="1" applyProtection="1">
      <alignment horizontal="center"/>
      <protection hidden="1"/>
    </xf>
    <xf numFmtId="3" fontId="22" fillId="0" borderId="193" xfId="0" applyNumberFormat="1" applyFont="1" applyFill="1" applyBorder="1" applyAlignment="1" applyProtection="1"/>
    <xf numFmtId="3" fontId="22" fillId="0" borderId="194" xfId="0" applyNumberFormat="1" applyFont="1" applyFill="1" applyBorder="1" applyAlignment="1" applyProtection="1"/>
    <xf numFmtId="1" fontId="22" fillId="0" borderId="193" xfId="0" applyNumberFormat="1" applyFont="1" applyFill="1" applyBorder="1" applyAlignment="1" applyProtection="1">
      <alignment horizontal="left"/>
    </xf>
    <xf numFmtId="3" fontId="22" fillId="7" borderId="193" xfId="0" applyNumberFormat="1" applyFont="1" applyFill="1" applyBorder="1" applyAlignment="1" applyProtection="1"/>
    <xf numFmtId="3" fontId="22" fillId="0" borderId="127" xfId="0" applyNumberFormat="1" applyFont="1" applyFill="1" applyBorder="1" applyAlignment="1" applyProtection="1">
      <alignment horizontal="right" indent="1"/>
      <protection hidden="1"/>
    </xf>
    <xf numFmtId="1" fontId="22" fillId="0" borderId="195" xfId="0" applyNumberFormat="1" applyFont="1" applyFill="1" applyBorder="1" applyAlignment="1" applyProtection="1">
      <alignment horizontal="left"/>
      <protection hidden="1"/>
    </xf>
    <xf numFmtId="9" fontId="33" fillId="7" borderId="163" xfId="0" applyNumberFormat="1" applyFont="1" applyFill="1" applyBorder="1" applyAlignment="1" applyProtection="1">
      <alignment horizontal="center"/>
      <protection hidden="1"/>
    </xf>
    <xf numFmtId="0" fontId="22" fillId="7" borderId="0" xfId="0" applyFont="1" applyFill="1" applyAlignment="1" applyProtection="1">
      <alignment horizontal="right" vertical="center"/>
    </xf>
    <xf numFmtId="3" fontId="43" fillId="7" borderId="0" xfId="0" applyNumberFormat="1" applyFont="1" applyFill="1" applyBorder="1" applyAlignment="1" applyProtection="1">
      <alignment vertical="center"/>
      <protection hidden="1"/>
    </xf>
    <xf numFmtId="49" fontId="22" fillId="0" borderId="0" xfId="0" applyNumberFormat="1" applyFont="1" applyFill="1" applyBorder="1" applyAlignment="1" applyProtection="1">
      <alignment wrapText="1"/>
    </xf>
    <xf numFmtId="0" fontId="22" fillId="7" borderId="71" xfId="0" applyFont="1" applyFill="1" applyBorder="1" applyAlignment="1" applyProtection="1">
      <alignment horizontal="center"/>
    </xf>
    <xf numFmtId="0" fontId="22" fillId="7" borderId="64" xfId="0" applyFont="1" applyFill="1" applyBorder="1" applyAlignment="1" applyProtection="1">
      <alignment horizontal="center"/>
    </xf>
    <xf numFmtId="0" fontId="22" fillId="7" borderId="63" xfId="0" applyFont="1" applyFill="1" applyBorder="1" applyAlignment="1" applyProtection="1">
      <alignment horizontal="center"/>
    </xf>
    <xf numFmtId="176" fontId="22" fillId="7" borderId="0" xfId="4" applyNumberFormat="1" applyFont="1" applyFill="1" applyBorder="1" applyAlignment="1" applyProtection="1"/>
    <xf numFmtId="176" fontId="4" fillId="7" borderId="171" xfId="4" applyNumberFormat="1" applyFont="1" applyFill="1" applyBorder="1" applyAlignment="1" applyProtection="1"/>
    <xf numFmtId="176" fontId="4" fillId="7" borderId="165" xfId="4" applyNumberFormat="1" applyFont="1" applyFill="1" applyBorder="1" applyAlignment="1" applyProtection="1"/>
    <xf numFmtId="176" fontId="4" fillId="7" borderId="167" xfId="4" applyNumberFormat="1" applyFont="1" applyFill="1" applyBorder="1" applyAlignment="1" applyProtection="1"/>
    <xf numFmtId="0" fontId="38" fillId="9" borderId="71" xfId="0" applyNumberFormat="1" applyFont="1" applyFill="1" applyBorder="1" applyAlignment="1" applyProtection="1">
      <alignment horizontal="center" vertical="center" wrapText="1"/>
    </xf>
    <xf numFmtId="0" fontId="38" fillId="9" borderId="63" xfId="0" applyNumberFormat="1" applyFont="1" applyFill="1" applyBorder="1" applyAlignment="1" applyProtection="1">
      <alignment horizontal="center" vertical="center" wrapText="1"/>
    </xf>
    <xf numFmtId="0" fontId="72" fillId="9" borderId="63" xfId="0" applyNumberFormat="1" applyFont="1" applyFill="1" applyBorder="1" applyAlignment="1" applyProtection="1">
      <alignment horizontal="center" vertical="center" wrapText="1"/>
    </xf>
    <xf numFmtId="1" fontId="4" fillId="0" borderId="171" xfId="2" applyNumberFormat="1" applyFont="1" applyFill="1" applyBorder="1" applyAlignment="1" applyProtection="1">
      <alignment horizontal="center" vertical="center"/>
    </xf>
    <xf numFmtId="1" fontId="4" fillId="0" borderId="167" xfId="2" applyNumberFormat="1" applyFont="1" applyFill="1" applyBorder="1" applyAlignment="1" applyProtection="1">
      <alignment horizontal="center" vertical="center"/>
    </xf>
    <xf numFmtId="1" fontId="4" fillId="0" borderId="146" xfId="2" applyNumberFormat="1" applyFont="1" applyFill="1" applyBorder="1" applyAlignment="1" applyProtection="1">
      <alignment horizontal="center" vertical="center"/>
    </xf>
    <xf numFmtId="167" fontId="4" fillId="0" borderId="47" xfId="0" applyNumberFormat="1" applyFont="1" applyFill="1" applyBorder="1" applyAlignment="1" applyProtection="1">
      <alignment horizontal="left" vertical="center"/>
    </xf>
    <xf numFmtId="3" fontId="43" fillId="7" borderId="0" xfId="0" applyNumberFormat="1" applyFont="1" applyFill="1" applyBorder="1" applyAlignment="1" applyProtection="1">
      <alignment vertical="center"/>
    </xf>
    <xf numFmtId="176" fontId="4" fillId="7" borderId="196" xfId="4" applyNumberFormat="1" applyFont="1" applyFill="1" applyBorder="1" applyAlignment="1" applyProtection="1"/>
    <xf numFmtId="176" fontId="22" fillId="7" borderId="74" xfId="4" applyNumberFormat="1" applyFont="1" applyFill="1" applyBorder="1" applyAlignment="1" applyProtection="1"/>
    <xf numFmtId="176" fontId="22" fillId="7" borderId="48" xfId="0" applyNumberFormat="1" applyFont="1" applyFill="1" applyBorder="1" applyProtection="1">
      <protection hidden="1"/>
    </xf>
    <xf numFmtId="176" fontId="4" fillId="7" borderId="199" xfId="4" applyNumberFormat="1" applyFont="1" applyFill="1" applyBorder="1" applyAlignment="1" applyProtection="1"/>
    <xf numFmtId="176" fontId="4" fillId="7" borderId="198" xfId="4" applyNumberFormat="1" applyFont="1" applyFill="1" applyBorder="1" applyAlignment="1" applyProtection="1"/>
    <xf numFmtId="167" fontId="4" fillId="0" borderId="184" xfId="0" applyNumberFormat="1" applyFont="1" applyFill="1" applyBorder="1" applyAlignment="1" applyProtection="1">
      <alignment horizontal="left" vertical="center"/>
    </xf>
    <xf numFmtId="167" fontId="4" fillId="0" borderId="187" xfId="0" applyNumberFormat="1" applyFont="1" applyFill="1" applyBorder="1" applyAlignment="1" applyProtection="1">
      <alignment horizontal="left" vertical="center"/>
    </xf>
    <xf numFmtId="176" fontId="4" fillId="7" borderId="200" xfId="4" applyNumberFormat="1" applyFont="1" applyFill="1" applyBorder="1" applyAlignment="1" applyProtection="1"/>
    <xf numFmtId="176" fontId="4" fillId="7" borderId="186" xfId="4" applyNumberFormat="1" applyFont="1" applyFill="1" applyBorder="1" applyAlignment="1" applyProtection="1"/>
    <xf numFmtId="176" fontId="4" fillId="7" borderId="187" xfId="4" applyNumberFormat="1" applyFont="1" applyFill="1" applyBorder="1" applyAlignment="1" applyProtection="1"/>
    <xf numFmtId="1" fontId="4" fillId="22" borderId="76" xfId="2" applyNumberFormat="1" applyFont="1" applyFill="1" applyBorder="1" applyAlignment="1" applyProtection="1">
      <alignment horizontal="center" vertical="center"/>
    </xf>
    <xf numFmtId="167" fontId="4" fillId="0" borderId="103" xfId="0" applyNumberFormat="1" applyFont="1" applyFill="1" applyBorder="1" applyAlignment="1" applyProtection="1">
      <alignment horizontal="right" vertical="center"/>
    </xf>
    <xf numFmtId="3" fontId="22" fillId="7" borderId="103" xfId="0" applyNumberFormat="1" applyFont="1" applyFill="1" applyBorder="1" applyAlignment="1" applyProtection="1">
      <alignment horizontal="center"/>
    </xf>
    <xf numFmtId="3" fontId="4" fillId="0" borderId="183" xfId="2" applyNumberFormat="1" applyFont="1" applyFill="1" applyBorder="1" applyAlignment="1" applyProtection="1">
      <alignment horizontal="center" vertical="center"/>
    </xf>
    <xf numFmtId="1" fontId="4" fillId="0" borderId="183" xfId="2" applyNumberFormat="1" applyFont="1" applyFill="1" applyBorder="1" applyAlignment="1" applyProtection="1">
      <alignment horizontal="center" vertical="center"/>
    </xf>
    <xf numFmtId="3" fontId="4" fillId="0" borderId="165" xfId="2" applyNumberFormat="1" applyFont="1" applyFill="1" applyBorder="1" applyAlignment="1" applyProtection="1">
      <alignment horizontal="center" vertical="center"/>
    </xf>
    <xf numFmtId="1" fontId="4" fillId="0" borderId="165" xfId="2" applyNumberFormat="1" applyFont="1" applyFill="1" applyBorder="1" applyAlignment="1" applyProtection="1">
      <alignment horizontal="center" vertical="center"/>
    </xf>
    <xf numFmtId="3" fontId="4" fillId="0" borderId="145" xfId="2" applyNumberFormat="1" applyFont="1" applyFill="1" applyBorder="1" applyAlignment="1" applyProtection="1">
      <alignment horizontal="center" vertical="center"/>
    </xf>
    <xf numFmtId="1" fontId="4" fillId="0" borderId="145" xfId="2" applyNumberFormat="1" applyFont="1" applyFill="1" applyBorder="1" applyAlignment="1" applyProtection="1">
      <alignment horizontal="center" vertical="center"/>
    </xf>
    <xf numFmtId="1" fontId="4" fillId="22" borderId="11" xfId="2" applyNumberFormat="1" applyFont="1" applyFill="1" applyBorder="1" applyAlignment="1" applyProtection="1">
      <alignment horizontal="center" vertical="center"/>
    </xf>
    <xf numFmtId="1" fontId="4" fillId="22" borderId="46" xfId="2" applyNumberFormat="1" applyFont="1" applyFill="1" applyBorder="1" applyAlignment="1" applyProtection="1">
      <alignment horizontal="center" vertical="center"/>
    </xf>
    <xf numFmtId="1" fontId="4" fillId="0" borderId="9" xfId="2" applyNumberFormat="1" applyFont="1" applyFill="1" applyBorder="1" applyAlignment="1" applyProtection="1">
      <alignment horizontal="center" vertical="center"/>
    </xf>
    <xf numFmtId="1" fontId="4" fillId="22" borderId="9" xfId="2" applyNumberFormat="1" applyFont="1" applyFill="1" applyBorder="1" applyAlignment="1" applyProtection="1">
      <alignment horizontal="center" vertical="center"/>
    </xf>
    <xf numFmtId="1" fontId="4" fillId="1" borderId="11" xfId="2" applyNumberFormat="1" applyFont="1" applyFill="1" applyBorder="1" applyAlignment="1" applyProtection="1">
      <alignment horizontal="center" vertical="center"/>
    </xf>
    <xf numFmtId="1" fontId="4" fillId="1" borderId="9" xfId="2" applyNumberFormat="1" applyFont="1" applyFill="1" applyBorder="1" applyAlignment="1" applyProtection="1">
      <alignment horizontal="center" vertical="center"/>
    </xf>
    <xf numFmtId="173" fontId="22" fillId="0" borderId="12" xfId="4" applyNumberFormat="1" applyFont="1" applyFill="1" applyBorder="1" applyAlignment="1" applyProtection="1">
      <alignment vertical="center"/>
    </xf>
    <xf numFmtId="173" fontId="22" fillId="0" borderId="12" xfId="4" applyNumberFormat="1" applyFont="1" applyFill="1" applyBorder="1" applyAlignment="1" applyProtection="1">
      <alignment horizontal="right" vertical="center"/>
    </xf>
    <xf numFmtId="0" fontId="22" fillId="10" borderId="178" xfId="0" applyNumberFormat="1" applyFont="1" applyFill="1" applyBorder="1" applyAlignment="1" applyProtection="1">
      <alignment horizontal="center" vertical="center"/>
      <protection locked="0"/>
    </xf>
    <xf numFmtId="0" fontId="22" fillId="10" borderId="179" xfId="0" applyNumberFormat="1" applyFont="1" applyFill="1" applyBorder="1" applyAlignment="1" applyProtection="1">
      <alignment horizontal="center" vertical="center"/>
      <protection locked="0"/>
    </xf>
    <xf numFmtId="0" fontId="22" fillId="0" borderId="102" xfId="0" applyNumberFormat="1" applyFont="1" applyFill="1" applyBorder="1" applyAlignment="1" applyProtection="1">
      <alignment horizontal="center" vertical="center"/>
      <protection hidden="1"/>
    </xf>
    <xf numFmtId="0" fontId="39" fillId="11" borderId="84" xfId="7" applyFont="1" applyFill="1" applyBorder="1" applyAlignment="1" applyProtection="1">
      <alignment vertical="center"/>
      <protection locked="0"/>
    </xf>
    <xf numFmtId="0" fontId="39" fillId="11" borderId="11" xfId="7" applyFont="1" applyFill="1" applyBorder="1" applyAlignment="1" applyProtection="1">
      <alignment vertical="center"/>
      <protection locked="0"/>
    </xf>
    <xf numFmtId="170" fontId="22" fillId="10" borderId="1" xfId="0" applyNumberFormat="1" applyFont="1" applyFill="1" applyBorder="1" applyAlignment="1" applyProtection="1">
      <alignment horizontal="left"/>
      <protection locked="0"/>
    </xf>
    <xf numFmtId="0" fontId="39" fillId="11" borderId="201" xfId="7" applyFont="1" applyFill="1" applyBorder="1" applyAlignment="1" applyProtection="1">
      <alignment vertical="center"/>
      <protection locked="0"/>
    </xf>
    <xf numFmtId="170" fontId="22" fillId="0" borderId="19" xfId="0" applyNumberFormat="1" applyFont="1" applyFill="1" applyBorder="1" applyAlignment="1" applyProtection="1">
      <alignment horizontal="right"/>
    </xf>
    <xf numFmtId="170" fontId="22" fillId="10" borderId="0" xfId="0" applyNumberFormat="1" applyFont="1" applyFill="1" applyBorder="1" applyAlignment="1" applyProtection="1">
      <alignment horizontal="right"/>
      <protection locked="0"/>
    </xf>
    <xf numFmtId="170" fontId="22" fillId="0" borderId="157" xfId="0" applyNumberFormat="1" applyFont="1" applyFill="1" applyBorder="1" applyAlignment="1" applyProtection="1">
      <alignment horizontal="right"/>
    </xf>
    <xf numFmtId="170" fontId="22" fillId="0" borderId="20" xfId="0" applyNumberFormat="1" applyFont="1" applyFill="1" applyBorder="1" applyAlignment="1" applyProtection="1">
      <alignment horizontal="right" vertical="center"/>
    </xf>
    <xf numFmtId="0" fontId="38" fillId="9" borderId="64" xfId="0" applyNumberFormat="1" applyFont="1" applyFill="1" applyBorder="1" applyAlignment="1" applyProtection="1">
      <alignment horizontal="left"/>
    </xf>
    <xf numFmtId="0" fontId="49" fillId="7" borderId="0" xfId="0" applyFont="1" applyFill="1" applyAlignment="1" applyProtection="1"/>
    <xf numFmtId="0" fontId="49" fillId="7" borderId="0" xfId="0" applyFont="1" applyFill="1" applyAlignment="1" applyProtection="1">
      <alignment vertical="center"/>
      <protection hidden="1"/>
    </xf>
    <xf numFmtId="0" fontId="58" fillId="7" borderId="0" xfId="0" applyFont="1" applyFill="1" applyBorder="1" applyAlignment="1" applyProtection="1"/>
    <xf numFmtId="170" fontId="39" fillId="7" borderId="0" xfId="0" applyNumberFormat="1" applyFont="1" applyFill="1" applyAlignment="1" applyProtection="1">
      <alignment horizontal="right" vertical="top" indent="1"/>
    </xf>
    <xf numFmtId="9" fontId="39" fillId="7" borderId="0" xfId="0" applyNumberFormat="1" applyFont="1" applyFill="1" applyAlignment="1" applyProtection="1">
      <alignment vertical="top"/>
    </xf>
    <xf numFmtId="0" fontId="39" fillId="7" borderId="0" xfId="0" applyFont="1" applyFill="1" applyAlignment="1" applyProtection="1">
      <alignment horizontal="center" vertical="top"/>
    </xf>
    <xf numFmtId="1" fontId="39" fillId="7" borderId="0" xfId="0" applyNumberFormat="1" applyFont="1" applyFill="1" applyAlignment="1" applyProtection="1">
      <alignment horizontal="right" vertical="center"/>
    </xf>
    <xf numFmtId="0" fontId="81" fillId="7" borderId="0" xfId="0" applyFont="1" applyFill="1" applyBorder="1" applyAlignment="1" applyProtection="1">
      <alignment textRotation="90" wrapText="1"/>
    </xf>
    <xf numFmtId="3" fontId="39" fillId="7" borderId="0" xfId="0" applyNumberFormat="1" applyFont="1" applyFill="1" applyAlignment="1" applyProtection="1">
      <alignment vertical="center"/>
    </xf>
    <xf numFmtId="0" fontId="95" fillId="7" borderId="0" xfId="0" applyFont="1" applyFill="1" applyAlignment="1" applyProtection="1">
      <alignment vertical="center"/>
    </xf>
    <xf numFmtId="170" fontId="39" fillId="7" borderId="0" xfId="0" applyNumberFormat="1" applyFont="1" applyFill="1" applyBorder="1" applyAlignment="1" applyProtection="1">
      <alignment horizontal="right" vertical="center" indent="1"/>
    </xf>
    <xf numFmtId="170" fontId="39" fillId="7" borderId="0" xfId="0" applyNumberFormat="1" applyFont="1" applyFill="1" applyAlignment="1" applyProtection="1">
      <alignment horizontal="right" vertical="center" indent="1"/>
    </xf>
    <xf numFmtId="170" fontId="53" fillId="7" borderId="0" xfId="0" applyNumberFormat="1" applyFont="1" applyFill="1" applyBorder="1" applyAlignment="1" applyProtection="1">
      <alignment horizontal="center" vertical="center"/>
    </xf>
    <xf numFmtId="170" fontId="39" fillId="7" borderId="0" xfId="0" applyNumberFormat="1" applyFont="1" applyFill="1" applyBorder="1" applyAlignment="1" applyProtection="1">
      <alignment horizontal="right" vertical="top" indent="1"/>
    </xf>
    <xf numFmtId="170" fontId="39" fillId="7" borderId="0" xfId="0" applyNumberFormat="1" applyFont="1" applyFill="1" applyBorder="1" applyAlignment="1" applyProtection="1">
      <alignment horizontal="right" vertical="center"/>
    </xf>
    <xf numFmtId="170" fontId="39" fillId="7" borderId="0" xfId="0" applyNumberFormat="1" applyFont="1" applyFill="1" applyAlignment="1" applyProtection="1">
      <alignment horizontal="right" vertical="top"/>
    </xf>
    <xf numFmtId="170" fontId="39" fillId="7" borderId="0" xfId="0" applyNumberFormat="1" applyFont="1" applyFill="1" applyBorder="1" applyAlignment="1" applyProtection="1">
      <alignment horizontal="right" vertical="top"/>
    </xf>
    <xf numFmtId="0" fontId="39" fillId="7" borderId="0" xfId="0" applyFont="1" applyFill="1" applyBorder="1" applyAlignment="1" applyProtection="1">
      <alignment horizontal="center" vertical="top"/>
    </xf>
    <xf numFmtId="0" fontId="95" fillId="7" borderId="0" xfId="0" applyFont="1" applyFill="1" applyBorder="1" applyAlignment="1" applyProtection="1">
      <alignment horizontal="center" vertical="top"/>
    </xf>
    <xf numFmtId="172" fontId="22" fillId="0" borderId="99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vertical="center"/>
    </xf>
    <xf numFmtId="9" fontId="34" fillId="7" borderId="0" xfId="0" applyNumberFormat="1" applyFont="1" applyFill="1" applyAlignment="1" applyProtection="1">
      <alignment horizontal="center" vertical="top"/>
    </xf>
    <xf numFmtId="0" fontId="25" fillId="7" borderId="38" xfId="0" applyFont="1" applyFill="1" applyBorder="1" applyAlignment="1" applyProtection="1">
      <alignment textRotation="90" wrapText="1"/>
    </xf>
    <xf numFmtId="0" fontId="25" fillId="7" borderId="38" xfId="0" applyFont="1" applyFill="1" applyBorder="1" applyAlignment="1" applyProtection="1">
      <alignment horizontal="center" vertical="center" wrapText="1"/>
    </xf>
    <xf numFmtId="0" fontId="50" fillId="7" borderId="0" xfId="0" applyFont="1" applyFill="1" applyAlignment="1" applyProtection="1">
      <alignment horizontal="center" vertical="top"/>
    </xf>
    <xf numFmtId="170" fontId="34" fillId="7" borderId="0" xfId="0" applyNumberFormat="1" applyFont="1" applyFill="1" applyBorder="1" applyAlignment="1" applyProtection="1">
      <alignment horizontal="right" vertical="center" indent="1"/>
    </xf>
    <xf numFmtId="170" fontId="34" fillId="7" borderId="0" xfId="0" applyNumberFormat="1" applyFont="1" applyFill="1" applyBorder="1" applyAlignment="1" applyProtection="1">
      <alignment horizontal="right" vertical="center"/>
    </xf>
    <xf numFmtId="0" fontId="25" fillId="7" borderId="0" xfId="0" applyFont="1" applyFill="1" applyBorder="1" applyAlignment="1" applyProtection="1">
      <alignment textRotation="90" wrapText="1"/>
    </xf>
    <xf numFmtId="0" fontId="25" fillId="7" borderId="0" xfId="0" applyFont="1" applyFill="1" applyBorder="1" applyAlignment="1" applyProtection="1">
      <alignment horizontal="center" vertical="center" wrapText="1"/>
    </xf>
    <xf numFmtId="3" fontId="25" fillId="7" borderId="0" xfId="0" applyNumberFormat="1" applyFont="1" applyFill="1" applyAlignment="1" applyProtection="1">
      <alignment horizontal="center" vertical="top"/>
    </xf>
    <xf numFmtId="0" fontId="25" fillId="7" borderId="38" xfId="0" applyFont="1" applyFill="1" applyBorder="1" applyAlignment="1" applyProtection="1">
      <alignment vertical="center" wrapText="1"/>
    </xf>
    <xf numFmtId="0" fontId="25" fillId="7" borderId="0" xfId="0" applyFont="1" applyFill="1" applyBorder="1" applyAlignment="1" applyProtection="1">
      <alignment vertical="center" wrapText="1"/>
    </xf>
    <xf numFmtId="0" fontId="22" fillId="7" borderId="0" xfId="0" applyFont="1" applyFill="1" applyBorder="1" applyAlignment="1" applyProtection="1">
      <alignment horizontal="center" vertical="center"/>
    </xf>
    <xf numFmtId="3" fontId="22" fillId="0" borderId="11" xfId="0" applyNumberFormat="1" applyFont="1" applyFill="1" applyBorder="1" applyAlignment="1" applyProtection="1">
      <alignment horizontal="right" vertical="top"/>
    </xf>
    <xf numFmtId="0" fontId="12" fillId="2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20" fillId="7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protection locked="0"/>
    </xf>
    <xf numFmtId="0" fontId="28" fillId="10" borderId="0" xfId="0" applyFont="1" applyFill="1" applyBorder="1" applyAlignment="1" applyProtection="1">
      <alignment horizontal="left" vertical="center" indent="1"/>
      <protection locked="0"/>
    </xf>
    <xf numFmtId="0" fontId="66" fillId="7" borderId="0" xfId="0" applyFont="1" applyFill="1" applyBorder="1" applyAlignment="1" applyProtection="1">
      <alignment horizontal="center" vertical="center"/>
    </xf>
    <xf numFmtId="0" fontId="66" fillId="7" borderId="0" xfId="0" applyFont="1" applyFill="1" applyAlignment="1" applyProtection="1">
      <alignment horizontal="center" vertical="center"/>
    </xf>
    <xf numFmtId="0" fontId="4" fillId="10" borderId="0" xfId="0" applyFont="1" applyFill="1" applyBorder="1" applyAlignment="1" applyProtection="1">
      <alignment horizontal="left" indent="1"/>
      <protection locked="0"/>
    </xf>
    <xf numFmtId="14" fontId="28" fillId="10" borderId="0" xfId="0" applyNumberFormat="1" applyFont="1" applyFill="1" applyBorder="1" applyAlignment="1" applyProtection="1">
      <alignment horizontal="left" indent="1"/>
      <protection locked="0"/>
    </xf>
    <xf numFmtId="0" fontId="28" fillId="13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indent="1"/>
      <protection locked="0"/>
    </xf>
    <xf numFmtId="0" fontId="28" fillId="11" borderId="0" xfId="0" applyFont="1" applyFill="1" applyBorder="1" applyAlignment="1" applyProtection="1">
      <alignment horizontal="left" indent="1"/>
      <protection locked="0"/>
    </xf>
    <xf numFmtId="0" fontId="4" fillId="10" borderId="0" xfId="0" applyFont="1" applyFill="1" applyBorder="1" applyAlignment="1" applyProtection="1">
      <alignment horizontal="left" vertical="center" indent="1"/>
      <protection locked="0"/>
    </xf>
    <xf numFmtId="0" fontId="30" fillId="7" borderId="0" xfId="0" applyFont="1" applyFill="1" applyBorder="1" applyAlignment="1" applyProtection="1">
      <alignment horizontal="left" vertical="top"/>
    </xf>
    <xf numFmtId="167" fontId="33" fillId="0" borderId="111" xfId="0" applyNumberFormat="1" applyFont="1" applyFill="1" applyBorder="1" applyAlignment="1" applyProtection="1">
      <alignment horizontal="left" vertical="center"/>
    </xf>
    <xf numFmtId="167" fontId="33" fillId="0" borderId="104" xfId="0" applyNumberFormat="1" applyFont="1" applyFill="1" applyBorder="1" applyAlignment="1" applyProtection="1">
      <alignment horizontal="left" vertical="center"/>
    </xf>
    <xf numFmtId="0" fontId="38" fillId="9" borderId="67" xfId="0" applyNumberFormat="1" applyFont="1" applyFill="1" applyBorder="1" applyAlignment="1" applyProtection="1">
      <alignment horizontal="center" vertical="center" wrapText="1"/>
    </xf>
    <xf numFmtId="0" fontId="38" fillId="9" borderId="82" xfId="0" applyNumberFormat="1" applyFont="1" applyFill="1" applyBorder="1" applyAlignment="1" applyProtection="1">
      <alignment horizontal="center" vertical="center" wrapText="1"/>
    </xf>
    <xf numFmtId="167" fontId="33" fillId="0" borderId="47" xfId="0" applyNumberFormat="1" applyFont="1" applyFill="1" applyBorder="1" applyAlignment="1" applyProtection="1">
      <alignment horizontal="left" vertical="center"/>
    </xf>
    <xf numFmtId="167" fontId="33" fillId="0" borderId="48" xfId="0" applyNumberFormat="1" applyFont="1" applyFill="1" applyBorder="1" applyAlignment="1" applyProtection="1">
      <alignment horizontal="left" vertical="center"/>
    </xf>
    <xf numFmtId="0" fontId="4" fillId="0" borderId="174" xfId="0" applyFont="1" applyFill="1" applyBorder="1" applyAlignment="1" applyProtection="1">
      <alignment horizontal="left" vertical="center"/>
    </xf>
    <xf numFmtId="0" fontId="4" fillId="0" borderId="165" xfId="0" applyFont="1" applyFill="1" applyBorder="1" applyAlignment="1" applyProtection="1">
      <alignment horizontal="left" vertical="center"/>
    </xf>
    <xf numFmtId="167" fontId="4" fillId="1" borderId="106" xfId="0" applyNumberFormat="1" applyFont="1" applyFill="1" applyBorder="1" applyAlignment="1" applyProtection="1">
      <alignment horizontal="left" vertical="center"/>
    </xf>
    <xf numFmtId="167" fontId="4" fillId="1" borderId="11" xfId="0" applyNumberFormat="1" applyFont="1" applyFill="1" applyBorder="1" applyAlignment="1" applyProtection="1">
      <alignment horizontal="left" vertical="center"/>
    </xf>
    <xf numFmtId="167" fontId="4" fillId="0" borderId="106" xfId="0" applyNumberFormat="1" applyFont="1" applyFill="1" applyBorder="1" applyAlignment="1" applyProtection="1">
      <alignment horizontal="left" vertical="center"/>
    </xf>
    <xf numFmtId="167" fontId="4" fillId="0" borderId="11" xfId="0" applyNumberFormat="1" applyFont="1" applyFill="1" applyBorder="1" applyAlignment="1" applyProtection="1">
      <alignment horizontal="left" vertical="center"/>
    </xf>
    <xf numFmtId="0" fontId="4" fillId="0" borderId="170" xfId="0" applyFont="1" applyFill="1" applyBorder="1" applyAlignment="1" applyProtection="1">
      <alignment horizontal="left" vertical="center"/>
    </xf>
    <xf numFmtId="0" fontId="4" fillId="0" borderId="183" xfId="0" applyFont="1" applyFill="1" applyBorder="1" applyAlignment="1" applyProtection="1">
      <alignment horizontal="left" vertical="center"/>
    </xf>
    <xf numFmtId="0" fontId="4" fillId="0" borderId="172" xfId="0" applyFont="1" applyFill="1" applyBorder="1" applyAlignment="1" applyProtection="1">
      <alignment horizontal="left" vertical="center"/>
    </xf>
    <xf numFmtId="0" fontId="4" fillId="0" borderId="173" xfId="0" applyFont="1" applyFill="1" applyBorder="1" applyAlignment="1" applyProtection="1">
      <alignment horizontal="left" vertical="center"/>
    </xf>
    <xf numFmtId="0" fontId="4" fillId="0" borderId="188" xfId="0" applyFont="1" applyFill="1" applyBorder="1" applyAlignment="1" applyProtection="1">
      <alignment horizontal="left" vertical="center"/>
    </xf>
    <xf numFmtId="0" fontId="4" fillId="0" borderId="189" xfId="0" applyFont="1" applyFill="1" applyBorder="1" applyAlignment="1" applyProtection="1">
      <alignment horizontal="left" vertical="center"/>
    </xf>
    <xf numFmtId="167" fontId="4" fillId="0" borderId="197" xfId="0" applyNumberFormat="1" applyFont="1" applyFill="1" applyBorder="1" applyAlignment="1" applyProtection="1">
      <alignment horizontal="left" vertical="center"/>
    </xf>
    <xf numFmtId="167" fontId="4" fillId="0" borderId="198" xfId="0" applyNumberFormat="1" applyFont="1" applyFill="1" applyBorder="1" applyAlignment="1" applyProtection="1">
      <alignment horizontal="left" vertical="center"/>
    </xf>
    <xf numFmtId="0" fontId="43" fillId="10" borderId="19" xfId="0" applyFont="1" applyFill="1" applyBorder="1" applyAlignment="1" applyProtection="1">
      <alignment horizontal="left"/>
      <protection hidden="1"/>
    </xf>
    <xf numFmtId="0" fontId="43" fillId="10" borderId="72" xfId="0" applyFont="1" applyFill="1" applyBorder="1" applyAlignment="1" applyProtection="1">
      <protection hidden="1"/>
    </xf>
    <xf numFmtId="0" fontId="22" fillId="0" borderId="168" xfId="0" applyFont="1" applyFill="1" applyBorder="1" applyAlignment="1" applyProtection="1">
      <alignment horizontal="left" vertical="center"/>
    </xf>
    <xf numFmtId="0" fontId="22" fillId="0" borderId="169" xfId="0" applyFont="1" applyFill="1" applyBorder="1" applyAlignment="1" applyProtection="1">
      <alignment horizontal="left" vertical="center"/>
    </xf>
    <xf numFmtId="0" fontId="22" fillId="0" borderId="172" xfId="0" applyFont="1" applyFill="1" applyBorder="1" applyAlignment="1" applyProtection="1">
      <alignment horizontal="left" vertical="center"/>
    </xf>
    <xf numFmtId="0" fontId="22" fillId="0" borderId="173" xfId="0" applyFont="1" applyFill="1" applyBorder="1" applyAlignment="1" applyProtection="1">
      <alignment horizontal="left" vertical="center"/>
    </xf>
    <xf numFmtId="0" fontId="3" fillId="7" borderId="0" xfId="1" applyFill="1" applyAlignment="1" applyProtection="1">
      <alignment horizontal="left"/>
    </xf>
    <xf numFmtId="0" fontId="43" fillId="6" borderId="39" xfId="0" applyFont="1" applyFill="1" applyBorder="1" applyAlignment="1" applyProtection="1">
      <alignment horizontal="center"/>
      <protection hidden="1"/>
    </xf>
    <xf numFmtId="0" fontId="43" fillId="6" borderId="13" xfId="0" applyFont="1" applyFill="1" applyBorder="1" applyAlignment="1" applyProtection="1">
      <alignment horizontal="center"/>
      <protection hidden="1"/>
    </xf>
    <xf numFmtId="0" fontId="43" fillId="6" borderId="70" xfId="0" applyFont="1" applyFill="1" applyBorder="1" applyAlignment="1" applyProtection="1">
      <alignment horizontal="center"/>
      <protection hidden="1"/>
    </xf>
    <xf numFmtId="0" fontId="22" fillId="6" borderId="39" xfId="0" applyFont="1" applyFill="1" applyBorder="1" applyAlignment="1" applyProtection="1">
      <alignment horizontal="center"/>
      <protection hidden="1"/>
    </xf>
    <xf numFmtId="0" fontId="22" fillId="6" borderId="13" xfId="0" applyFont="1" applyFill="1" applyBorder="1" applyAlignment="1" applyProtection="1">
      <alignment horizontal="center"/>
      <protection hidden="1"/>
    </xf>
    <xf numFmtId="0" fontId="22" fillId="6" borderId="70" xfId="0" applyFont="1" applyFill="1" applyBorder="1" applyAlignment="1" applyProtection="1">
      <alignment horizontal="center"/>
      <protection hidden="1"/>
    </xf>
    <xf numFmtId="0" fontId="22" fillId="10" borderId="180" xfId="0" applyFont="1" applyFill="1" applyBorder="1" applyAlignment="1" applyProtection="1">
      <alignment horizontal="left" vertical="center"/>
      <protection locked="0"/>
    </xf>
    <xf numFmtId="0" fontId="22" fillId="10" borderId="181" xfId="0" applyFont="1" applyFill="1" applyBorder="1" applyAlignment="1" applyProtection="1">
      <alignment horizontal="left" vertical="center"/>
      <protection locked="0"/>
    </xf>
    <xf numFmtId="0" fontId="43" fillId="3" borderId="77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NumberFormat="1" applyFont="1" applyFill="1" applyBorder="1" applyAlignment="1" applyProtection="1">
      <alignment horizontal="center" vertical="center"/>
      <protection hidden="1"/>
    </xf>
    <xf numFmtId="0" fontId="38" fillId="9" borderId="67" xfId="0" applyFont="1" applyFill="1" applyBorder="1" applyAlignment="1" applyProtection="1">
      <alignment horizontal="left" vertical="center" indent="1"/>
    </xf>
    <xf numFmtId="0" fontId="38" fillId="9" borderId="54" xfId="0" applyFont="1" applyFill="1" applyBorder="1" applyAlignment="1" applyProtection="1">
      <alignment horizontal="left" vertical="center" indent="1"/>
    </xf>
    <xf numFmtId="0" fontId="38" fillId="9" borderId="82" xfId="0" applyFont="1" applyFill="1" applyBorder="1" applyAlignment="1" applyProtection="1">
      <alignment horizontal="left" vertical="center" indent="1"/>
    </xf>
    <xf numFmtId="0" fontId="38" fillId="9" borderId="111" xfId="0" applyFont="1" applyFill="1" applyBorder="1" applyAlignment="1" applyProtection="1">
      <alignment horizontal="left" vertical="center" indent="1"/>
    </xf>
    <xf numFmtId="0" fontId="38" fillId="9" borderId="105" xfId="0" applyFont="1" applyFill="1" applyBorder="1" applyAlignment="1" applyProtection="1">
      <alignment horizontal="left" vertical="center" indent="1"/>
    </xf>
    <xf numFmtId="0" fontId="38" fillId="9" borderId="104" xfId="0" applyFont="1" applyFill="1" applyBorder="1" applyAlignment="1" applyProtection="1">
      <alignment horizontal="left" vertical="center" indent="1"/>
    </xf>
    <xf numFmtId="0" fontId="38" fillId="9" borderId="67" xfId="0" applyNumberFormat="1" applyFont="1" applyFill="1" applyBorder="1" applyAlignment="1" applyProtection="1">
      <alignment horizontal="left" vertical="center" wrapText="1"/>
      <protection hidden="1"/>
    </xf>
    <xf numFmtId="0" fontId="38" fillId="9" borderId="82" xfId="0" applyNumberFormat="1" applyFont="1" applyFill="1" applyBorder="1" applyAlignment="1" applyProtection="1">
      <alignment horizontal="left" vertical="center" wrapText="1"/>
      <protection hidden="1"/>
    </xf>
    <xf numFmtId="0" fontId="43" fillId="0" borderId="19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protection hidden="1"/>
    </xf>
    <xf numFmtId="0" fontId="43" fillId="10" borderId="72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alignment horizontal="left"/>
      <protection hidden="1"/>
    </xf>
    <xf numFmtId="0" fontId="38" fillId="9" borderId="67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82" xfId="0" applyNumberFormat="1" applyFont="1" applyFill="1" applyBorder="1" applyAlignment="1" applyProtection="1">
      <alignment horizontal="center" vertical="center" wrapText="1"/>
      <protection hidden="1"/>
    </xf>
    <xf numFmtId="0" fontId="22" fillId="10" borderId="172" xfId="0" applyFont="1" applyFill="1" applyBorder="1" applyAlignment="1" applyProtection="1">
      <alignment horizontal="left" vertical="center"/>
      <protection locked="0"/>
    </xf>
    <xf numFmtId="0" fontId="22" fillId="10" borderId="173" xfId="0" applyFont="1" applyFill="1" applyBorder="1" applyAlignment="1" applyProtection="1">
      <alignment horizontal="left" vertical="center"/>
      <protection locked="0"/>
    </xf>
    <xf numFmtId="0" fontId="22" fillId="10" borderId="175" xfId="0" applyFont="1" applyFill="1" applyBorder="1" applyAlignment="1" applyProtection="1">
      <alignment horizontal="left" vertical="center"/>
      <protection locked="0"/>
    </xf>
    <xf numFmtId="0" fontId="22" fillId="10" borderId="176" xfId="0" applyFont="1" applyFill="1" applyBorder="1" applyAlignment="1" applyProtection="1">
      <alignment horizontal="left" vertical="center"/>
      <protection locked="0"/>
    </xf>
    <xf numFmtId="0" fontId="22" fillId="10" borderId="168" xfId="0" applyFont="1" applyFill="1" applyBorder="1" applyAlignment="1" applyProtection="1">
      <alignment horizontal="left" vertical="center"/>
      <protection locked="0"/>
    </xf>
    <xf numFmtId="0" fontId="22" fillId="10" borderId="169" xfId="0" applyFont="1" applyFill="1" applyBorder="1" applyAlignment="1" applyProtection="1">
      <alignment horizontal="left" vertical="center"/>
      <protection locked="0"/>
    </xf>
    <xf numFmtId="167" fontId="22" fillId="0" borderId="158" xfId="0" applyNumberFormat="1" applyFont="1" applyFill="1" applyBorder="1" applyAlignment="1" applyProtection="1">
      <alignment horizontal="left" vertical="center"/>
      <protection hidden="1"/>
    </xf>
    <xf numFmtId="167" fontId="22" fillId="0" borderId="159" xfId="0" applyNumberFormat="1" applyFont="1" applyFill="1" applyBorder="1" applyAlignment="1" applyProtection="1">
      <alignment horizontal="left" vertical="center"/>
      <protection hidden="1"/>
    </xf>
    <xf numFmtId="0" fontId="22" fillId="0" borderId="67" xfId="0" applyFont="1" applyFill="1" applyBorder="1" applyAlignment="1" applyProtection="1">
      <alignment horizontal="left" vertical="center" indent="1"/>
    </xf>
    <xf numFmtId="0" fontId="22" fillId="0" borderId="54" xfId="0" applyFont="1" applyFill="1" applyBorder="1" applyAlignment="1" applyProtection="1">
      <alignment horizontal="left" vertical="center" indent="1"/>
    </xf>
    <xf numFmtId="0" fontId="22" fillId="0" borderId="82" xfId="0" applyFont="1" applyFill="1" applyBorder="1" applyAlignment="1" applyProtection="1">
      <alignment horizontal="left" vertical="center" indent="1"/>
    </xf>
    <xf numFmtId="0" fontId="25" fillId="7" borderId="0" xfId="0" applyFont="1" applyFill="1" applyBorder="1" applyAlignment="1" applyProtection="1">
      <alignment horizontal="center" vertical="center" wrapText="1"/>
    </xf>
    <xf numFmtId="0" fontId="37" fillId="7" borderId="0" xfId="0" applyFont="1" applyFill="1" applyBorder="1" applyAlignment="1" applyProtection="1">
      <alignment horizontal="center" vertical="center" wrapText="1"/>
    </xf>
    <xf numFmtId="0" fontId="25" fillId="7" borderId="38" xfId="0" applyFont="1" applyFill="1" applyBorder="1" applyAlignment="1" applyProtection="1">
      <alignment horizontal="center" vertical="center" wrapText="1"/>
    </xf>
    <xf numFmtId="0" fontId="37" fillId="7" borderId="38" xfId="0" applyFont="1" applyFill="1" applyBorder="1" applyAlignment="1" applyProtection="1">
      <alignment horizontal="center" vertical="center" wrapText="1"/>
    </xf>
    <xf numFmtId="0" fontId="50" fillId="7" borderId="0" xfId="0" applyFont="1" applyFill="1" applyBorder="1" applyAlignment="1" applyProtection="1">
      <alignment horizontal="center" textRotation="90" wrapText="1"/>
    </xf>
    <xf numFmtId="0" fontId="28" fillId="7" borderId="79" xfId="0" applyFont="1" applyFill="1" applyBorder="1" applyAlignment="1" applyProtection="1">
      <alignment vertical="top" wrapText="1"/>
      <protection locked="0"/>
    </xf>
    <xf numFmtId="0" fontId="28" fillId="7" borderId="80" xfId="0" applyFont="1" applyFill="1" applyBorder="1" applyAlignment="1" applyProtection="1">
      <alignment vertical="top" wrapText="1"/>
      <protection locked="0"/>
    </xf>
    <xf numFmtId="0" fontId="28" fillId="7" borderId="81" xfId="0" applyFont="1" applyFill="1" applyBorder="1" applyAlignment="1" applyProtection="1">
      <alignment vertical="top" wrapText="1"/>
      <protection locked="0"/>
    </xf>
    <xf numFmtId="0" fontId="28" fillId="7" borderId="38" xfId="0" applyFont="1" applyFill="1" applyBorder="1" applyAlignment="1" applyProtection="1">
      <alignment vertical="top" wrapText="1"/>
      <protection locked="0"/>
    </xf>
    <xf numFmtId="0" fontId="28" fillId="7" borderId="0" xfId="0" applyFont="1" applyFill="1" applyBorder="1" applyAlignment="1" applyProtection="1">
      <alignment vertical="top" wrapText="1"/>
      <protection locked="0"/>
    </xf>
    <xf numFmtId="0" fontId="28" fillId="7" borderId="72" xfId="0" applyFont="1" applyFill="1" applyBorder="1" applyAlignment="1" applyProtection="1">
      <alignment vertical="top" wrapText="1"/>
      <protection locked="0"/>
    </xf>
    <xf numFmtId="0" fontId="28" fillId="7" borderId="39" xfId="0" applyFont="1" applyFill="1" applyBorder="1" applyAlignment="1" applyProtection="1">
      <alignment vertical="top" wrapText="1"/>
      <protection locked="0"/>
    </xf>
    <xf numFmtId="0" fontId="28" fillId="7" borderId="13" xfId="0" applyFont="1" applyFill="1" applyBorder="1" applyAlignment="1" applyProtection="1">
      <alignment vertical="top" wrapText="1"/>
      <protection locked="0"/>
    </xf>
    <xf numFmtId="0" fontId="28" fillId="7" borderId="70" xfId="0" applyFont="1" applyFill="1" applyBorder="1" applyAlignment="1" applyProtection="1">
      <alignment vertical="top" wrapText="1"/>
      <protection locked="0"/>
    </xf>
    <xf numFmtId="1" fontId="38" fillId="9" borderId="67" xfId="0" applyNumberFormat="1" applyFont="1" applyFill="1" applyBorder="1" applyAlignment="1" applyProtection="1">
      <alignment horizontal="center" vertical="center"/>
    </xf>
    <xf numFmtId="1" fontId="38" fillId="9" borderId="54" xfId="0" applyNumberFormat="1" applyFont="1" applyFill="1" applyBorder="1" applyAlignment="1" applyProtection="1">
      <alignment horizontal="center" vertical="center"/>
    </xf>
    <xf numFmtId="1" fontId="38" fillId="9" borderId="82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1" fontId="38" fillId="9" borderId="59" xfId="0" applyNumberFormat="1" applyFont="1" applyFill="1" applyBorder="1" applyAlignment="1" applyProtection="1">
      <alignment horizontal="center" vertical="center"/>
    </xf>
    <xf numFmtId="1" fontId="38" fillId="9" borderId="68" xfId="0" applyNumberFormat="1" applyFont="1" applyFill="1" applyBorder="1" applyAlignment="1" applyProtection="1">
      <alignment horizontal="center" vertical="center"/>
    </xf>
    <xf numFmtId="0" fontId="38" fillId="9" borderId="60" xfId="0" applyFont="1" applyFill="1" applyBorder="1" applyAlignment="1" applyProtection="1">
      <alignment horizontal="left" vertical="center" indent="1"/>
    </xf>
    <xf numFmtId="0" fontId="38" fillId="9" borderId="56" xfId="0" applyFont="1" applyFill="1" applyBorder="1" applyAlignment="1" applyProtection="1">
      <alignment horizontal="left" vertical="center" indent="1"/>
    </xf>
    <xf numFmtId="0" fontId="22" fillId="0" borderId="111" xfId="0" applyFont="1" applyFill="1" applyBorder="1" applyAlignment="1" applyProtection="1">
      <alignment horizontal="left"/>
    </xf>
    <xf numFmtId="0" fontId="22" fillId="0" borderId="104" xfId="0" applyFont="1" applyFill="1" applyBorder="1" applyAlignment="1" applyProtection="1">
      <alignment horizontal="left"/>
    </xf>
  </cellXfs>
  <cellStyles count="11">
    <cellStyle name="20 % - Akzent3" xfId="7" builtinId="38"/>
    <cellStyle name="40 % - Akzent3" xfId="8" builtinId="39"/>
    <cellStyle name="60 % - Akzent3" xfId="9" builtinId="40"/>
    <cellStyle name="Komma" xfId="4" builtinId="3"/>
    <cellStyle name="Komma 2" xfId="6"/>
    <cellStyle name="Link" xfId="1" builtinId="8"/>
    <cellStyle name="Neutral" xfId="2" builtinId="28"/>
    <cellStyle name="Prozent" xfId="3" builtinId="5"/>
    <cellStyle name="Standard" xfId="0" builtinId="0"/>
    <cellStyle name="Standard 2" xfId="5"/>
    <cellStyle name="Standard 3" xfId="10"/>
  </cellStyles>
  <dxfs count="731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</dxfs>
  <tableStyles count="0" defaultTableStyle="TableStyleMedium9" defaultPivotStyle="PivotStyleLight16"/>
  <colors>
    <mruColors>
      <color rgb="FFFF7C80"/>
      <color rgb="FFFF9999"/>
      <color rgb="FFDEDBD1"/>
      <color rgb="FFDADBD1"/>
      <color rgb="FFE3DFCB"/>
      <color rgb="FFE9E6D7"/>
      <color rgb="FFEFEFEE"/>
      <color rgb="FFEEEEE2"/>
      <color rgb="FFECF0E4"/>
      <color rgb="FFE7E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6245603632819"/>
          <c:y val="4.4757532723249532E-2"/>
          <c:w val="0.92778640991153849"/>
          <c:h val="0.888033918216970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'1 Pers.Ausgaben|Pers Expenses'!$D$97:$H$97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'1 Pers.Ausgaben|Pers Expenses'!$D$104:$H$104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468564552"/>
        <c:axId val="467051744"/>
      </c:barChart>
      <c:catAx>
        <c:axId val="468564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67051744"/>
        <c:crosses val="autoZero"/>
        <c:auto val="1"/>
        <c:lblAlgn val="ctr"/>
        <c:lblOffset val="100"/>
        <c:noMultiLvlLbl val="0"/>
      </c:catAx>
      <c:valAx>
        <c:axId val="467051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68564552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184440658231832E-2"/>
          <c:y val="6.8366187901967454E-2"/>
          <c:w val="0.94117508132359384"/>
          <c:h val="0.7657062183552584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 Liquiditaet|Liquidity'!$D$202:$O$202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 Liquiditaet|Liquidity'!$D$203:$O$203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246667936"/>
        <c:axId val="246668328"/>
      </c:barChart>
      <c:catAx>
        <c:axId val="246667936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246668328"/>
        <c:crosses val="autoZero"/>
        <c:auto val="1"/>
        <c:lblAlgn val="ctr"/>
        <c:lblOffset val="100"/>
        <c:noMultiLvlLbl val="0"/>
      </c:catAx>
      <c:valAx>
        <c:axId val="2466683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2466679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184440658231832E-2"/>
          <c:y val="0.1295027164851332"/>
          <c:w val="0.94117508132359384"/>
          <c:h val="0.6310616592035959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 Liquiditaet|Liquidity'!$D$41:$O$41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 Liquiditaet|Liquidity'!$D$207:$O$207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'6  Liquiditaet|Liquidity'!$D$206:$O$206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246670288"/>
        <c:axId val="465606296"/>
      </c:barChart>
      <c:catAx>
        <c:axId val="24667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75000"/>
                <a:lumOff val="2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65606296"/>
        <c:crosses val="autoZero"/>
        <c:auto val="1"/>
        <c:lblAlgn val="ctr"/>
        <c:lblOffset val="100"/>
        <c:noMultiLvlLbl val="0"/>
      </c:catAx>
      <c:valAx>
        <c:axId val="4656062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2466702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26973296920533E-2"/>
          <c:y val="5.9550570786301132E-2"/>
          <c:w val="0.92676645735949725"/>
          <c:h val="0.754067012760962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 Liquiditaet|Liquidity'!$M$95</c:f>
              <c:strCache>
                <c:ptCount val="1"/>
                <c:pt idx="0">
                  <c:v>Liquiditätssaldo für die Jahre 2019 bis 2023 (EUR)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 Liquiditaet|Liquidity'!$D$210:$H$210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 Liquiditaet|Liquidity'!$D$211:$H$211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 Liquiditaet|Liquidity'!$D$210:$H$210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 Liquiditaet|Liquidity'!$D$212:$H$212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5607080"/>
        <c:axId val="465608648"/>
      </c:barChart>
      <c:catAx>
        <c:axId val="465607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65608648"/>
        <c:crosses val="autoZero"/>
        <c:auto val="1"/>
        <c:lblAlgn val="ctr"/>
        <c:lblOffset val="100"/>
        <c:noMultiLvlLbl val="0"/>
      </c:catAx>
      <c:valAx>
        <c:axId val="4656086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656070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70654728614681E-2"/>
          <c:y val="0.18601563737803392"/>
          <c:w val="0.95332934527138535"/>
          <c:h val="0.640539141584441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5609040"/>
        <c:axId val="465603944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47478872"/>
        <c:axId val="247474952"/>
      </c:barChart>
      <c:catAx>
        <c:axId val="465609040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65603944"/>
        <c:crosses val="autoZero"/>
        <c:auto val="1"/>
        <c:lblAlgn val="ctr"/>
        <c:lblOffset val="100"/>
        <c:tickMarkSkip val="2"/>
        <c:noMultiLvlLbl val="0"/>
      </c:catAx>
      <c:valAx>
        <c:axId val="465603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65609040"/>
        <c:crosses val="autoZero"/>
        <c:crossBetween val="between"/>
      </c:valAx>
      <c:valAx>
        <c:axId val="24747495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247478872"/>
        <c:crosses val="max"/>
        <c:crossBetween val="between"/>
      </c:valAx>
      <c:catAx>
        <c:axId val="247478872"/>
        <c:scaling>
          <c:orientation val="minMax"/>
        </c:scaling>
        <c:delete val="1"/>
        <c:axPos val="b"/>
        <c:majorTickMark val="out"/>
        <c:minorTickMark val="none"/>
        <c:tickLblPos val="none"/>
        <c:crossAx val="247474952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684355806668616E-2"/>
          <c:y val="0.15762325259232254"/>
          <c:w val="0.97021715543973808"/>
          <c:h val="0.66646180014125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 Finanzierung|Financing'!$D$112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1.2019</c:v>
                </c:pt>
                <c:pt idx="1">
                  <c:v>2.2019</c:v>
                </c:pt>
                <c:pt idx="2">
                  <c:v>3.2019</c:v>
                </c:pt>
                <c:pt idx="3">
                  <c:v>4.2019</c:v>
                </c:pt>
                <c:pt idx="4">
                  <c:v>5.2019</c:v>
                </c:pt>
                <c:pt idx="5">
                  <c:v>6.2019</c:v>
                </c:pt>
                <c:pt idx="6">
                  <c:v>7.2019</c:v>
                </c:pt>
                <c:pt idx="7">
                  <c:v>8.2019</c:v>
                </c:pt>
                <c:pt idx="8">
                  <c:v>9.2019</c:v>
                </c:pt>
                <c:pt idx="9">
                  <c:v>10.2019</c:v>
                </c:pt>
                <c:pt idx="10">
                  <c:v>11.2019</c:v>
                </c:pt>
                <c:pt idx="11">
                  <c:v>12.2019</c:v>
                </c:pt>
                <c:pt idx="12">
                  <c:v>1.2020</c:v>
                </c:pt>
                <c:pt idx="13">
                  <c:v>2.2020</c:v>
                </c:pt>
                <c:pt idx="14">
                  <c:v>3.2020</c:v>
                </c:pt>
                <c:pt idx="15">
                  <c:v>4.2020</c:v>
                </c:pt>
                <c:pt idx="16">
                  <c:v>5.2020</c:v>
                </c:pt>
                <c:pt idx="17">
                  <c:v>6.2020</c:v>
                </c:pt>
                <c:pt idx="18">
                  <c:v>7.2020</c:v>
                </c:pt>
                <c:pt idx="19">
                  <c:v>8.2020</c:v>
                </c:pt>
                <c:pt idx="20">
                  <c:v>9.2020</c:v>
                </c:pt>
                <c:pt idx="21">
                  <c:v>10.2020</c:v>
                </c:pt>
                <c:pt idx="22">
                  <c:v>11.2020</c:v>
                </c:pt>
                <c:pt idx="23">
                  <c:v>12.2020</c:v>
                </c:pt>
              </c:strCache>
            </c:strRef>
          </c:cat>
          <c:val>
            <c:numRef>
              <c:f>'7 Finanzierung|Financing'!$C$103:$Z$103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'7 Finanzierung|Financing'!$D$113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1.2019</c:v>
                </c:pt>
                <c:pt idx="1">
                  <c:v>2.2019</c:v>
                </c:pt>
                <c:pt idx="2">
                  <c:v>3.2019</c:v>
                </c:pt>
                <c:pt idx="3">
                  <c:v>4.2019</c:v>
                </c:pt>
                <c:pt idx="4">
                  <c:v>5.2019</c:v>
                </c:pt>
                <c:pt idx="5">
                  <c:v>6.2019</c:v>
                </c:pt>
                <c:pt idx="6">
                  <c:v>7.2019</c:v>
                </c:pt>
                <c:pt idx="7">
                  <c:v>8.2019</c:v>
                </c:pt>
                <c:pt idx="8">
                  <c:v>9.2019</c:v>
                </c:pt>
                <c:pt idx="9">
                  <c:v>10.2019</c:v>
                </c:pt>
                <c:pt idx="10">
                  <c:v>11.2019</c:v>
                </c:pt>
                <c:pt idx="11">
                  <c:v>12.2019</c:v>
                </c:pt>
                <c:pt idx="12">
                  <c:v>1.2020</c:v>
                </c:pt>
                <c:pt idx="13">
                  <c:v>2.2020</c:v>
                </c:pt>
                <c:pt idx="14">
                  <c:v>3.2020</c:v>
                </c:pt>
                <c:pt idx="15">
                  <c:v>4.2020</c:v>
                </c:pt>
                <c:pt idx="16">
                  <c:v>5.2020</c:v>
                </c:pt>
                <c:pt idx="17">
                  <c:v>6.2020</c:v>
                </c:pt>
                <c:pt idx="18">
                  <c:v>7.2020</c:v>
                </c:pt>
                <c:pt idx="19">
                  <c:v>8.2020</c:v>
                </c:pt>
                <c:pt idx="20">
                  <c:v>9.2020</c:v>
                </c:pt>
                <c:pt idx="21">
                  <c:v>10.2020</c:v>
                </c:pt>
                <c:pt idx="22">
                  <c:v>11.2020</c:v>
                </c:pt>
                <c:pt idx="23">
                  <c:v>12.2020</c:v>
                </c:pt>
              </c:strCache>
            </c:strRef>
          </c:cat>
          <c:val>
            <c:numRef>
              <c:f>'7 Finanzierung|Financing'!$C$104:$Z$104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48214224"/>
        <c:axId val="539627128"/>
      </c:barChart>
      <c:catAx>
        <c:axId val="24821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400"/>
            </a:pPr>
            <a:endParaRPr lang="de-DE"/>
          </a:p>
        </c:txPr>
        <c:crossAx val="539627128"/>
        <c:crosses val="autoZero"/>
        <c:auto val="1"/>
        <c:lblAlgn val="ctr"/>
        <c:lblOffset val="100"/>
        <c:noMultiLvlLbl val="0"/>
      </c:catAx>
      <c:valAx>
        <c:axId val="539627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24821422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1475579993396738"/>
          <c:y val="1.4932509204065853E-2"/>
          <c:w val="0.25462039166570877"/>
          <c:h val="0.1446473078292525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1481817960753E-2"/>
          <c:y val="0.12651687213254736"/>
          <c:w val="0.90958767568519561"/>
          <c:h val="0.774477553067090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 Umsatz|Sales'!$C$74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Umsatz|Sales'!$E$81:$I$81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 Umsatz|Sales'!$C$82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Umsatz|Sales'!$E$89:$I$89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 Umsatz|Sales'!$C$90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Umsatz|Sales'!$E$94:$I$94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 Umsatz|Sales'!$C$95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Umsatz|Sales'!$E$99:$I$99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9631048"/>
        <c:axId val="539627912"/>
      </c:barChart>
      <c:catAx>
        <c:axId val="539631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600" baseline="0"/>
            </a:pPr>
            <a:endParaRPr lang="de-DE"/>
          </a:p>
        </c:txPr>
        <c:crossAx val="539627912"/>
        <c:crosses val="autoZero"/>
        <c:auto val="1"/>
        <c:lblAlgn val="ctr"/>
        <c:lblOffset val="100"/>
        <c:noMultiLvlLbl val="0"/>
      </c:catAx>
      <c:valAx>
        <c:axId val="5396279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39631048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2.7142807149106402E-2"/>
          <c:y val="9.4188179383487506E-3"/>
          <c:w val="0.9"/>
          <c:h val="8.7931091103807896E-2"/>
        </c:manualLayout>
      </c:layout>
      <c:overlay val="0"/>
      <c:txPr>
        <a:bodyPr/>
        <a:lstStyle/>
        <a:p>
          <a:pPr>
            <a:defRPr sz="10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94128342319091E-2"/>
          <c:y val="0.12376324865310638"/>
          <c:w val="0.89956446970205506"/>
          <c:h val="0.771427128752123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39625560"/>
        <c:axId val="539625952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39632224"/>
        <c:axId val="539626736"/>
      </c:barChart>
      <c:catAx>
        <c:axId val="539625560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39625952"/>
        <c:crosses val="autoZero"/>
        <c:auto val="1"/>
        <c:lblAlgn val="ctr"/>
        <c:lblOffset val="100"/>
        <c:tickMarkSkip val="2"/>
        <c:noMultiLvlLbl val="0"/>
      </c:catAx>
      <c:valAx>
        <c:axId val="5396259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39625560"/>
        <c:crosses val="autoZero"/>
        <c:crossBetween val="between"/>
      </c:valAx>
      <c:valAx>
        <c:axId val="53962673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539632224"/>
        <c:crosses val="max"/>
        <c:crossBetween val="between"/>
      </c:valAx>
      <c:catAx>
        <c:axId val="539632224"/>
        <c:scaling>
          <c:orientation val="minMax"/>
        </c:scaling>
        <c:delete val="1"/>
        <c:axPos val="b"/>
        <c:majorTickMark val="out"/>
        <c:minorTickMark val="none"/>
        <c:tickLblPos val="none"/>
        <c:crossAx val="539626736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5776393469779695"/>
          <c:y val="2.0305007183094307E-2"/>
          <c:w val="0.78505129457743061"/>
          <c:h val="0.11111627612931059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04374338708753E-2"/>
          <c:y val="0.12629743124673651"/>
          <c:w val="0.90192814116287567"/>
          <c:h val="0.77469696920460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 Liquiditaet|Liquidity'!$B$40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 Liquiditaet|Liquidity'!$D$76:$H$76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 Liquiditaet|Liquidity'!$D$211:$H$211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 Liquiditaet|Liquidity'!$B$40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 Liquiditaet|Liquidity'!$D$76:$H$76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'6  Liquiditaet|Liquidity'!$D$212:$H$212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9631832"/>
        <c:axId val="539626344"/>
      </c:barChart>
      <c:catAx>
        <c:axId val="539631832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 b="0"/>
            </a:pPr>
            <a:endParaRPr lang="de-DE"/>
          </a:p>
        </c:txPr>
        <c:crossAx val="539626344"/>
        <c:crosses val="autoZero"/>
        <c:auto val="1"/>
        <c:lblAlgn val="ctr"/>
        <c:lblOffset val="100"/>
        <c:noMultiLvlLbl val="0"/>
      </c:catAx>
      <c:valAx>
        <c:axId val="5396263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396318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1318517041272E-2"/>
          <c:y val="0.12493982005258349"/>
          <c:w val="0.90958782219484524"/>
          <c:h val="0.77605460514705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 Betriebskosten|Operation Ex'!$C$217</c:f>
              <c:strCache>
                <c:ptCount val="1"/>
                <c:pt idx="0">
                  <c:v>Summe Betriebskosten II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'4  Betriebskosten|Operation Ex'!$D$153:$H$153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'4  Betriebskosten|Operation Ex'!$D$217:$H$217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9628304"/>
        <c:axId val="539628696"/>
      </c:barChart>
      <c:catAx>
        <c:axId val="53962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39628696"/>
        <c:crosses val="autoZero"/>
        <c:auto val="1"/>
        <c:lblAlgn val="ctr"/>
        <c:lblOffset val="100"/>
        <c:noMultiLvlLbl val="0"/>
      </c:catAx>
      <c:valAx>
        <c:axId val="53962869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3962830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1469238674696E-2"/>
          <c:y val="0.12495784902940904"/>
          <c:w val="0.90958769386156568"/>
          <c:h val="0.77603655142193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 Rentabilitaet|Profit'!$C$125</c:f>
              <c:strCache>
                <c:ptCount val="1"/>
                <c:pt idx="0">
                  <c:v>+  Jahreswerte  -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'5  Rentabilitaet|Profit'!$D$49:$H$49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 Rentabilitaet|Profit'!$C$124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 Rentabilitaet|Profit'!$D$50:$H$50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39629480"/>
        <c:axId val="539630656"/>
      </c:barChart>
      <c:lineChart>
        <c:grouping val="stacked"/>
        <c:varyColors val="0"/>
        <c:ser>
          <c:idx val="2"/>
          <c:order val="2"/>
          <c:tx>
            <c:strRef>
              <c:f>'5  Rentabilitaet|Profit'!$C$126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 Liquiditaet|Liquidity'!$D$76:$H$76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  Rentabilitaet|Profit'!$D$126:$H$126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29480"/>
        <c:axId val="539630656"/>
      </c:lineChart>
      <c:catAx>
        <c:axId val="539629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39630656"/>
        <c:crosses val="autoZero"/>
        <c:auto val="1"/>
        <c:lblAlgn val="ctr"/>
        <c:lblOffset val="100"/>
        <c:noMultiLvlLbl val="0"/>
      </c:catAx>
      <c:valAx>
        <c:axId val="5396306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de-DE"/>
          </a:p>
        </c:txPr>
        <c:crossAx val="53962948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18211829596427004"/>
          <c:y val="2.7065909356420625E-2"/>
          <c:w val="0.55464586384513759"/>
          <c:h val="5.3865723766466027E-2"/>
        </c:manualLayout>
      </c:layout>
      <c:overlay val="0"/>
      <c:txPr>
        <a:bodyPr/>
        <a:lstStyle/>
        <a:p>
          <a:pPr>
            <a:defRPr sz="11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36395843692772E-2"/>
          <c:y val="0.27722367163744555"/>
          <c:w val="0.96487846154855328"/>
          <c:h val="0.606344310770986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  Umsatz|Sales'!$C$74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2019</c:v>
                </c:pt>
                <c:pt idx="1">
                  <c:v>Feb. 2019</c:v>
                </c:pt>
                <c:pt idx="2">
                  <c:v>März2019</c:v>
                </c:pt>
                <c:pt idx="3">
                  <c:v>April 2019</c:v>
                </c:pt>
                <c:pt idx="4">
                  <c:v>Mai 2019</c:v>
                </c:pt>
                <c:pt idx="5">
                  <c:v>Juni 2019</c:v>
                </c:pt>
                <c:pt idx="6">
                  <c:v>Juli 2019</c:v>
                </c:pt>
                <c:pt idx="7">
                  <c:v>Aug. 2019</c:v>
                </c:pt>
                <c:pt idx="8">
                  <c:v>Sept. 2019</c:v>
                </c:pt>
                <c:pt idx="9">
                  <c:v>Okt. 2019</c:v>
                </c:pt>
                <c:pt idx="10">
                  <c:v>Nov. 2019</c:v>
                </c:pt>
                <c:pt idx="11">
                  <c:v>Dez. 2019</c:v>
                </c:pt>
                <c:pt idx="12">
                  <c:v>Jan. 2020</c:v>
                </c:pt>
                <c:pt idx="13">
                  <c:v>Feb. 2020</c:v>
                </c:pt>
                <c:pt idx="14">
                  <c:v>März 2020</c:v>
                </c:pt>
                <c:pt idx="15">
                  <c:v>April 2020</c:v>
                </c:pt>
                <c:pt idx="16">
                  <c:v>Mai 2020</c:v>
                </c:pt>
                <c:pt idx="17">
                  <c:v>Juni 2020</c:v>
                </c:pt>
                <c:pt idx="18">
                  <c:v>Juli 2020</c:v>
                </c:pt>
                <c:pt idx="19">
                  <c:v>Aug. 2020</c:v>
                </c:pt>
                <c:pt idx="20">
                  <c:v>Sept. 2020</c:v>
                </c:pt>
                <c:pt idx="21">
                  <c:v>Okt. 2020</c:v>
                </c:pt>
                <c:pt idx="22">
                  <c:v>Nov. 2020</c:v>
                </c:pt>
                <c:pt idx="23">
                  <c:v>Dez. 2020</c:v>
                </c:pt>
              </c:strCache>
            </c:strRef>
          </c:cat>
          <c:val>
            <c:numRef>
              <c:f>'2  Umsatz|Sales'!$E$176:$AB$176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ser>
          <c:idx val="1"/>
          <c:order val="1"/>
          <c:tx>
            <c:strRef>
              <c:f>'2  Umsatz|Sales'!$C$82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2019</c:v>
                </c:pt>
                <c:pt idx="1">
                  <c:v>Feb. 2019</c:v>
                </c:pt>
                <c:pt idx="2">
                  <c:v>März2019</c:v>
                </c:pt>
                <c:pt idx="3">
                  <c:v>April 2019</c:v>
                </c:pt>
                <c:pt idx="4">
                  <c:v>Mai 2019</c:v>
                </c:pt>
                <c:pt idx="5">
                  <c:v>Juni 2019</c:v>
                </c:pt>
                <c:pt idx="6">
                  <c:v>Juli 2019</c:v>
                </c:pt>
                <c:pt idx="7">
                  <c:v>Aug. 2019</c:v>
                </c:pt>
                <c:pt idx="8">
                  <c:v>Sept. 2019</c:v>
                </c:pt>
                <c:pt idx="9">
                  <c:v>Okt. 2019</c:v>
                </c:pt>
                <c:pt idx="10">
                  <c:v>Nov. 2019</c:v>
                </c:pt>
                <c:pt idx="11">
                  <c:v>Dez. 2019</c:v>
                </c:pt>
                <c:pt idx="12">
                  <c:v>Jan. 2020</c:v>
                </c:pt>
                <c:pt idx="13">
                  <c:v>Feb. 2020</c:v>
                </c:pt>
                <c:pt idx="14">
                  <c:v>März 2020</c:v>
                </c:pt>
                <c:pt idx="15">
                  <c:v>April 2020</c:v>
                </c:pt>
                <c:pt idx="16">
                  <c:v>Mai 2020</c:v>
                </c:pt>
                <c:pt idx="17">
                  <c:v>Juni 2020</c:v>
                </c:pt>
                <c:pt idx="18">
                  <c:v>Juli 2020</c:v>
                </c:pt>
                <c:pt idx="19">
                  <c:v>Aug. 2020</c:v>
                </c:pt>
                <c:pt idx="20">
                  <c:v>Sept. 2020</c:v>
                </c:pt>
                <c:pt idx="21">
                  <c:v>Okt. 2020</c:v>
                </c:pt>
                <c:pt idx="22">
                  <c:v>Nov. 2020</c:v>
                </c:pt>
                <c:pt idx="23">
                  <c:v>Dez. 2020</c:v>
                </c:pt>
              </c:strCache>
            </c:strRef>
          </c:cat>
          <c:val>
            <c:numRef>
              <c:f>'2  Umsatz|Sales'!$E$177:$AB$177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ser>
          <c:idx val="2"/>
          <c:order val="2"/>
          <c:tx>
            <c:strRef>
              <c:f>'2  Umsatz|Sales'!$C$90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2019</c:v>
                </c:pt>
                <c:pt idx="1">
                  <c:v>Feb. 2019</c:v>
                </c:pt>
                <c:pt idx="2">
                  <c:v>März2019</c:v>
                </c:pt>
                <c:pt idx="3">
                  <c:v>April 2019</c:v>
                </c:pt>
                <c:pt idx="4">
                  <c:v>Mai 2019</c:v>
                </c:pt>
                <c:pt idx="5">
                  <c:v>Juni 2019</c:v>
                </c:pt>
                <c:pt idx="6">
                  <c:v>Juli 2019</c:v>
                </c:pt>
                <c:pt idx="7">
                  <c:v>Aug. 2019</c:v>
                </c:pt>
                <c:pt idx="8">
                  <c:v>Sept. 2019</c:v>
                </c:pt>
                <c:pt idx="9">
                  <c:v>Okt. 2019</c:v>
                </c:pt>
                <c:pt idx="10">
                  <c:v>Nov. 2019</c:v>
                </c:pt>
                <c:pt idx="11">
                  <c:v>Dez. 2019</c:v>
                </c:pt>
                <c:pt idx="12">
                  <c:v>Jan. 2020</c:v>
                </c:pt>
                <c:pt idx="13">
                  <c:v>Feb. 2020</c:v>
                </c:pt>
                <c:pt idx="14">
                  <c:v>März 2020</c:v>
                </c:pt>
                <c:pt idx="15">
                  <c:v>April 2020</c:v>
                </c:pt>
                <c:pt idx="16">
                  <c:v>Mai 2020</c:v>
                </c:pt>
                <c:pt idx="17">
                  <c:v>Juni 2020</c:v>
                </c:pt>
                <c:pt idx="18">
                  <c:v>Juli 2020</c:v>
                </c:pt>
                <c:pt idx="19">
                  <c:v>Aug. 2020</c:v>
                </c:pt>
                <c:pt idx="20">
                  <c:v>Sept. 2020</c:v>
                </c:pt>
                <c:pt idx="21">
                  <c:v>Okt. 2020</c:v>
                </c:pt>
                <c:pt idx="22">
                  <c:v>Nov. 2020</c:v>
                </c:pt>
                <c:pt idx="23">
                  <c:v>Dez. 2020</c:v>
                </c:pt>
              </c:strCache>
            </c:strRef>
          </c:cat>
          <c:val>
            <c:numRef>
              <c:f>'2  Umsatz|Sales'!$E$178:$AB$178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ser>
          <c:idx val="3"/>
          <c:order val="3"/>
          <c:tx>
            <c:strRef>
              <c:f>'2  Umsatz|Sales'!$C$95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2019</c:v>
                </c:pt>
                <c:pt idx="1">
                  <c:v>Feb. 2019</c:v>
                </c:pt>
                <c:pt idx="2">
                  <c:v>März2019</c:v>
                </c:pt>
                <c:pt idx="3">
                  <c:v>April 2019</c:v>
                </c:pt>
                <c:pt idx="4">
                  <c:v>Mai 2019</c:v>
                </c:pt>
                <c:pt idx="5">
                  <c:v>Juni 2019</c:v>
                </c:pt>
                <c:pt idx="6">
                  <c:v>Juli 2019</c:v>
                </c:pt>
                <c:pt idx="7">
                  <c:v>Aug. 2019</c:v>
                </c:pt>
                <c:pt idx="8">
                  <c:v>Sept. 2019</c:v>
                </c:pt>
                <c:pt idx="9">
                  <c:v>Okt. 2019</c:v>
                </c:pt>
                <c:pt idx="10">
                  <c:v>Nov. 2019</c:v>
                </c:pt>
                <c:pt idx="11">
                  <c:v>Dez. 2019</c:v>
                </c:pt>
                <c:pt idx="12">
                  <c:v>Jan. 2020</c:v>
                </c:pt>
                <c:pt idx="13">
                  <c:v>Feb. 2020</c:v>
                </c:pt>
                <c:pt idx="14">
                  <c:v>März 2020</c:v>
                </c:pt>
                <c:pt idx="15">
                  <c:v>April 2020</c:v>
                </c:pt>
                <c:pt idx="16">
                  <c:v>Mai 2020</c:v>
                </c:pt>
                <c:pt idx="17">
                  <c:v>Juni 2020</c:v>
                </c:pt>
                <c:pt idx="18">
                  <c:v>Juli 2020</c:v>
                </c:pt>
                <c:pt idx="19">
                  <c:v>Aug. 2020</c:v>
                </c:pt>
                <c:pt idx="20">
                  <c:v>Sept. 2020</c:v>
                </c:pt>
                <c:pt idx="21">
                  <c:v>Okt. 2020</c:v>
                </c:pt>
                <c:pt idx="22">
                  <c:v>Nov. 2020</c:v>
                </c:pt>
                <c:pt idx="23">
                  <c:v>Dez. 2020</c:v>
                </c:pt>
              </c:strCache>
            </c:strRef>
          </c:cat>
          <c:val>
            <c:numRef>
              <c:f>'2  Umsatz|Sales'!$E$179:$AB$179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534498264"/>
        <c:axId val="534499048"/>
      </c:barChart>
      <c:catAx>
        <c:axId val="534498264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de-DE"/>
          </a:p>
        </c:txPr>
        <c:crossAx val="534499048"/>
        <c:crosses val="autoZero"/>
        <c:auto val="1"/>
        <c:lblAlgn val="ctr"/>
        <c:lblOffset val="100"/>
        <c:noMultiLvlLbl val="0"/>
      </c:catAx>
      <c:valAx>
        <c:axId val="5344990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3449826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0.13510134029168977"/>
          <c:y val="8.5785446062924528E-2"/>
          <c:w val="0.73772405379570793"/>
          <c:h val="0.10289102751045009"/>
        </c:manualLayout>
      </c:layout>
      <c:overlay val="0"/>
      <c:txPr>
        <a:bodyPr/>
        <a:lstStyle/>
        <a:p>
          <a:pPr>
            <a:defRPr sz="20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80314954" l="0.70866141732283761" r="0.70866141732283761" t="0.78740157480314954" header="0.31496062992126223" footer="0.3149606299212622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3E-2"/>
          <c:y val="0.20921888266647751"/>
          <c:w val="0.93332523067120932"/>
          <c:h val="0.655385799494195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47478480"/>
        <c:axId val="247477696"/>
      </c:barChart>
      <c:valAx>
        <c:axId val="24747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47478480"/>
        <c:crosses val="autoZero"/>
        <c:crossBetween val="between"/>
      </c:valAx>
      <c:catAx>
        <c:axId val="247478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47477696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4334812557687747E-2"/>
          <c:y val="0.11589826505048954"/>
          <c:w val="0.81331926659492226"/>
          <c:h val="9.1595503411650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589618238942342E-2"/>
          <c:y val="0.12414985582906851"/>
          <c:w val="0.92368656196453236"/>
          <c:h val="0.800807514266443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 Umsatz|Sales'!$C$74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Umsatz|Sales'!$E$81:$I$81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 Umsatz|Sales'!$C$82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Umsatz|Sales'!$E$89:$I$89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 Umsatz|Sales'!$C$90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Umsatz|Sales'!$E$94:$I$94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 Umsatz|Sales'!$C$95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'2  Umsatz|Sales'!$E$99:$I$99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1"/>
        <c:overlap val="100"/>
        <c:axId val="534499832"/>
        <c:axId val="534497088"/>
      </c:barChart>
      <c:catAx>
        <c:axId val="534499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34497088"/>
        <c:crosses val="autoZero"/>
        <c:auto val="1"/>
        <c:lblAlgn val="ctr"/>
        <c:lblOffset val="100"/>
        <c:noMultiLvlLbl val="0"/>
      </c:catAx>
      <c:valAx>
        <c:axId val="534497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500894406021778E-2"/>
              <c:y val="3.248028002906876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344998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8.3166834015408128E-2"/>
          <c:y val="9.7345892617878207E-3"/>
          <c:w val="0.89999991263226764"/>
          <c:h val="8.2592319464598635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noFill/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3E-2"/>
          <c:y val="0.18887332880155397"/>
          <c:w val="0.93332523067120932"/>
          <c:h val="0.6666299848262953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2019</c:v>
                </c:pt>
                <c:pt idx="2">
                  <c:v>2020</c:v>
                </c:pt>
                <c:pt idx="4">
                  <c:v>2021</c:v>
                </c:pt>
                <c:pt idx="6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39758840"/>
        <c:axId val="468563376"/>
      </c:barChart>
      <c:valAx>
        <c:axId val="46856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9758840"/>
        <c:crosses val="autoZero"/>
        <c:crossBetween val="between"/>
      </c:valAx>
      <c:catAx>
        <c:axId val="539758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563376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0518893912746"/>
          <c:y val="0.10790528125390406"/>
          <c:w val="0.79693407984554998"/>
          <c:h val="9.1595503411650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962629975268941E-2"/>
          <c:y val="5.1812936998221114E-2"/>
          <c:w val="0.93586071241928859"/>
          <c:h val="0.8240999181448924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 Betriebskosten|Operation Ex'!$D$153:$H$153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'4  Betriebskosten|Operation Ex'!$D$217:$H$217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539756488"/>
        <c:axId val="539758056"/>
      </c:barChart>
      <c:catAx>
        <c:axId val="539756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39758056"/>
        <c:crosses val="autoZero"/>
        <c:auto val="1"/>
        <c:lblAlgn val="ctr"/>
        <c:lblOffset val="100"/>
        <c:noMultiLvlLbl val="0"/>
      </c:catAx>
      <c:valAx>
        <c:axId val="539758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39756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latin typeface="Verdana" panose="020B0604030504040204" pitchFamily="34" charset="0"/>
              <a:ea typeface="Verdana" panose="020B0604030504040204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2.2222222222222251E-2"/>
          <c:y val="0.14675332526376095"/>
          <c:w val="0.9592592592592597"/>
          <c:h val="0.732415362230829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 Betriebskosten|Operation Ex'!$I$150</c:f>
              <c:strCache>
                <c:ptCount val="1"/>
                <c:pt idx="0">
                  <c:v>Betriebskosten II (ohne MwSt) für das Jahr 2019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 Betriebskosten|Operation Ex'!$D$5:$O$5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 Betriebskosten|Operation Ex'!$D$69:$O$69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39755312"/>
        <c:axId val="539756880"/>
      </c:barChart>
      <c:catAx>
        <c:axId val="539755312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39756880"/>
        <c:crosses val="autoZero"/>
        <c:auto val="1"/>
        <c:lblAlgn val="ctr"/>
        <c:lblOffset val="100"/>
        <c:noMultiLvlLbl val="0"/>
      </c:catAx>
      <c:valAx>
        <c:axId val="5397568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6.9882768903873748E-3"/>
              <c:y val="2.660097539908879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397553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latin typeface="Verdana" panose="020B0604030504040204" pitchFamily="34" charset="0"/>
              <a:ea typeface="Verdana" panose="020B0604030504040204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0308259491767496E-2"/>
          <c:y val="0.13184631862131196"/>
          <c:w val="0.94495877458191058"/>
          <c:h val="0.744533906102291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 Betriebskosten|Operation Ex'!$K$150</c:f>
              <c:strCache>
                <c:ptCount val="1"/>
                <c:pt idx="0">
                  <c:v>Betriebskosten II (ohne MwSt) für das Jahr 2020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Pt>
            <c:idx val="6"/>
            <c:invertIfNegative val="0"/>
            <c:bubble3D val="0"/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 Betriebskosten|Operation Ex'!$D$79:$O$79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 Betriebskosten|Operation Ex'!$D$143:$O$143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39756096"/>
        <c:axId val="539757664"/>
      </c:barChart>
      <c:catAx>
        <c:axId val="539756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39757664"/>
        <c:crosses val="autoZero"/>
        <c:auto val="1"/>
        <c:lblAlgn val="ctr"/>
        <c:lblOffset val="100"/>
        <c:noMultiLvlLbl val="0"/>
      </c:catAx>
      <c:valAx>
        <c:axId val="539757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3975609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57553851764864E-2"/>
          <c:y val="0.13005846041290936"/>
          <c:w val="0.9188794433829377"/>
          <c:h val="0.758409174770745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  Rentabilitaet|Profit'!$C$125</c:f>
              <c:strCache>
                <c:ptCount val="1"/>
                <c:pt idx="0">
                  <c:v>+  Jahreswerte  -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 Rentabilitaet|Profit'!$D$123:$H$123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  Rentabilitaet|Profit'!$D$125:$H$125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1"/>
          <c:tx>
            <c:strRef>
              <c:f>'5  Rentabilitaet|Profit'!$C$124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 Rentabilitaet|Profit'!$D$123:$H$123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'5  Rentabilitaet|Profit'!$D$124:$H$124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37266816"/>
        <c:axId val="537273480"/>
      </c:barChart>
      <c:lineChart>
        <c:grouping val="stacked"/>
        <c:varyColors val="0"/>
        <c:ser>
          <c:idx val="2"/>
          <c:order val="2"/>
          <c:tx>
            <c:strRef>
              <c:f>'5  Rentabilitaet|Profit'!$C$126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 Rentabilitaet|Profit'!$D$126:$H$126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266816"/>
        <c:axId val="537273480"/>
      </c:lineChart>
      <c:catAx>
        <c:axId val="537266816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noFill/>
          <a:ln w="25400">
            <a:solidFill>
              <a:schemeClr val="tx1">
                <a:lumMod val="75000"/>
                <a:lumOff val="2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37273480"/>
        <c:crosses val="autoZero"/>
        <c:auto val="1"/>
        <c:lblAlgn val="ctr"/>
        <c:lblOffset val="100"/>
        <c:noMultiLvlLbl val="0"/>
      </c:catAx>
      <c:valAx>
        <c:axId val="5372734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8.5960451694422728E-3"/>
              <c:y val="1.47606465849432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3726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601680905565654"/>
          <c:y val="2.9243738501108767E-2"/>
          <c:w val="0.38796624790074458"/>
          <c:h val="5.996002588185991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 sz="1200"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910533578468521E-2"/>
          <c:y val="0.23368860382878817"/>
          <c:w val="0.97808758494229242"/>
          <c:h val="0.58441674115306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 Rentabilitaet|Profit'!$C$119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  Rentabilitaet|Profit'!$D$118:$AA$118</c:f>
              <c:strCache>
                <c:ptCount val="24"/>
                <c:pt idx="0">
                  <c:v> 1.19 </c:v>
                </c:pt>
                <c:pt idx="1">
                  <c:v> 2.19 </c:v>
                </c:pt>
                <c:pt idx="2">
                  <c:v> 3.19 </c:v>
                </c:pt>
                <c:pt idx="3">
                  <c:v> 4.19 </c:v>
                </c:pt>
                <c:pt idx="4">
                  <c:v> 5.19 </c:v>
                </c:pt>
                <c:pt idx="5">
                  <c:v> 6.19 </c:v>
                </c:pt>
                <c:pt idx="6">
                  <c:v> 7.19 </c:v>
                </c:pt>
                <c:pt idx="7">
                  <c:v> 8.19 </c:v>
                </c:pt>
                <c:pt idx="8">
                  <c:v> 9.19 </c:v>
                </c:pt>
                <c:pt idx="9">
                  <c:v> 10.19 </c:v>
                </c:pt>
                <c:pt idx="10">
                  <c:v> 11.19 </c:v>
                </c:pt>
                <c:pt idx="11">
                  <c:v> 12.19 </c:v>
                </c:pt>
                <c:pt idx="12">
                  <c:v> 1.20 </c:v>
                </c:pt>
                <c:pt idx="13">
                  <c:v> 2.20 </c:v>
                </c:pt>
                <c:pt idx="14">
                  <c:v> 3.20 </c:v>
                </c:pt>
                <c:pt idx="15">
                  <c:v> 4.20 </c:v>
                </c:pt>
                <c:pt idx="16">
                  <c:v> 5.20 </c:v>
                </c:pt>
                <c:pt idx="17">
                  <c:v> 6.20 </c:v>
                </c:pt>
                <c:pt idx="18">
                  <c:v> 7.20 </c:v>
                </c:pt>
                <c:pt idx="19">
                  <c:v> 8.20 </c:v>
                </c:pt>
                <c:pt idx="20">
                  <c:v> 9.20 </c:v>
                </c:pt>
                <c:pt idx="21">
                  <c:v> 10.20 </c:v>
                </c:pt>
                <c:pt idx="22">
                  <c:v> 11.20 </c:v>
                </c:pt>
                <c:pt idx="23">
                  <c:v> 12.20 </c:v>
                </c:pt>
              </c:strCache>
            </c:strRef>
          </c:cat>
          <c:val>
            <c:numRef>
              <c:f>'5  Rentabilitaet|Profit'!$D$120:$AA$120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 Rentabilitaet|Profit'!$C$120</c:f>
              <c:strCache>
                <c:ptCount val="1"/>
                <c:pt idx="0">
                  <c:v>+  Monatswerte  -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  Rentabilitaet|Profit'!$D$118:$AA$118</c:f>
              <c:strCache>
                <c:ptCount val="24"/>
                <c:pt idx="0">
                  <c:v> 1.19 </c:v>
                </c:pt>
                <c:pt idx="1">
                  <c:v> 2.19 </c:v>
                </c:pt>
                <c:pt idx="2">
                  <c:v> 3.19 </c:v>
                </c:pt>
                <c:pt idx="3">
                  <c:v> 4.19 </c:v>
                </c:pt>
                <c:pt idx="4">
                  <c:v> 5.19 </c:v>
                </c:pt>
                <c:pt idx="5">
                  <c:v> 6.19 </c:v>
                </c:pt>
                <c:pt idx="6">
                  <c:v> 7.19 </c:v>
                </c:pt>
                <c:pt idx="7">
                  <c:v> 8.19 </c:v>
                </c:pt>
                <c:pt idx="8">
                  <c:v> 9.19 </c:v>
                </c:pt>
                <c:pt idx="9">
                  <c:v> 10.19 </c:v>
                </c:pt>
                <c:pt idx="10">
                  <c:v> 11.19 </c:v>
                </c:pt>
                <c:pt idx="11">
                  <c:v> 12.19 </c:v>
                </c:pt>
                <c:pt idx="12">
                  <c:v> 1.20 </c:v>
                </c:pt>
                <c:pt idx="13">
                  <c:v> 2.20 </c:v>
                </c:pt>
                <c:pt idx="14">
                  <c:v> 3.20 </c:v>
                </c:pt>
                <c:pt idx="15">
                  <c:v> 4.20 </c:v>
                </c:pt>
                <c:pt idx="16">
                  <c:v> 5.20 </c:v>
                </c:pt>
                <c:pt idx="17">
                  <c:v> 6.20 </c:v>
                </c:pt>
                <c:pt idx="18">
                  <c:v> 7.20 </c:v>
                </c:pt>
                <c:pt idx="19">
                  <c:v> 8.20 </c:v>
                </c:pt>
                <c:pt idx="20">
                  <c:v> 9.20 </c:v>
                </c:pt>
                <c:pt idx="21">
                  <c:v> 10.20 </c:v>
                </c:pt>
                <c:pt idx="22">
                  <c:v> 11.20 </c:v>
                </c:pt>
                <c:pt idx="23">
                  <c:v> 12.20 </c:v>
                </c:pt>
              </c:strCache>
            </c:strRef>
          </c:cat>
          <c:val>
            <c:numRef>
              <c:f>'5  Rentabilitaet|Profit'!$D$119:$AA$119</c:f>
              <c:numCache>
                <c:formatCode>_-* #,##0\ _€_-;\-* #,##0\ _€_-;_-* "-"??\ _€_-;_-@_-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44258432"/>
        <c:axId val="544257648"/>
      </c:barChart>
      <c:lineChart>
        <c:grouping val="stacked"/>
        <c:varyColors val="0"/>
        <c:ser>
          <c:idx val="2"/>
          <c:order val="2"/>
          <c:tx>
            <c:strRef>
              <c:f>'5  Rentabilitaet|Profit'!$C$121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 Rentabilitaet|Profit'!$D$121:$AA$121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258432"/>
        <c:axId val="544257648"/>
      </c:lineChart>
      <c:catAx>
        <c:axId val="544258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75000"/>
                <a:lumOff val="2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44257648"/>
        <c:crosses val="autoZero"/>
        <c:auto val="1"/>
        <c:lblAlgn val="ctr"/>
        <c:lblOffset val="100"/>
        <c:noMultiLvlLbl val="0"/>
      </c:catAx>
      <c:valAx>
        <c:axId val="5442576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44258432"/>
        <c:crosses val="autoZero"/>
        <c:crossBetween val="between"/>
      </c:valAx>
      <c:spPr>
        <a:noFill/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7.xml"/><Relationship Id="rId7" Type="http://schemas.openxmlformats.org/officeDocument/2006/relationships/image" Target="../media/image6.jpe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7.jpeg"/><Relationship Id="rId5" Type="http://schemas.openxmlformats.org/officeDocument/2006/relationships/chart" Target="../charts/chart19.xml"/><Relationship Id="rId4" Type="http://schemas.openxmlformats.org/officeDocument/2006/relationships/chart" Target="../charts/chart18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6.jpe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1.jpeg"/><Relationship Id="rId1" Type="http://schemas.openxmlformats.org/officeDocument/2006/relationships/chart" Target="../charts/chart4.xml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5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5.png"/><Relationship Id="rId4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5.png"/><Relationship Id="rId5" Type="http://schemas.openxmlformats.org/officeDocument/2006/relationships/image" Target="../media/image1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103974</xdr:rowOff>
    </xdr:from>
    <xdr:to>
      <xdr:col>11</xdr:col>
      <xdr:colOff>0</xdr:colOff>
      <xdr:row>22</xdr:row>
      <xdr:rowOff>37111</xdr:rowOff>
    </xdr:to>
    <xdr:grpSp>
      <xdr:nvGrpSpPr>
        <xdr:cNvPr id="30" name="Gruppieren 29"/>
        <xdr:cNvGrpSpPr/>
      </xdr:nvGrpSpPr>
      <xdr:grpSpPr>
        <a:xfrm>
          <a:off x="0" y="1227924"/>
          <a:ext cx="9277350" cy="3838387"/>
          <a:chOff x="73230" y="4491339"/>
          <a:chExt cx="9238299" cy="3534241"/>
        </a:xfrm>
      </xdr:grpSpPr>
      <xdr:pic>
        <xdr:nvPicPr>
          <xdr:cNvPr id="13" name="Grafik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0" y="4491339"/>
            <a:ext cx="9238299" cy="3534241"/>
          </a:xfrm>
          <a:prstGeom prst="rect">
            <a:avLst/>
          </a:prstGeom>
        </xdr:spPr>
      </xdr:pic>
      <xdr:sp macro="" textlink="C6">
        <xdr:nvSpPr>
          <xdr:cNvPr id="4" name="Textfeld 3"/>
          <xdr:cNvSpPr txBox="1"/>
        </xdr:nvSpPr>
        <xdr:spPr>
          <a:xfrm>
            <a:off x="224118" y="4629429"/>
            <a:ext cx="5658971" cy="462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D3CC7DDB-CEC0-4FB1-B308-688521039BED}" type="TxLink">
              <a:rPr lang="en-US" sz="120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NEU MIT GRAPHISCHER DARSTELLUNG DER ERGEBNISSE</a:t>
            </a:fld>
            <a:endParaRPr lang="de-DE" sz="12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9">
        <xdr:nvSpPr>
          <xdr:cNvPr id="5" name="Textfeld 4"/>
          <xdr:cNvSpPr txBox="1"/>
        </xdr:nvSpPr>
        <xdr:spPr>
          <a:xfrm>
            <a:off x="224118" y="5203763"/>
            <a:ext cx="6128219" cy="294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482DFA5-6A56-4D44-8824-5EEAD96F1D8D}" type="TxLink">
              <a:rPr lang="en-US" sz="12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Finanzplanung für GründerInnen leicht gemacht</a:t>
            </a:fld>
            <a:endParaRPr lang="de-DE" sz="12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4">
        <xdr:nvSpPr>
          <xdr:cNvPr id="6" name="Textfeld 5"/>
          <xdr:cNvSpPr txBox="1"/>
        </xdr:nvSpPr>
        <xdr:spPr>
          <a:xfrm>
            <a:off x="875460" y="6387384"/>
            <a:ext cx="2808474" cy="273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A1940BE-BEF1-4F59-8278-4B492C6E565D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von der Umsatzprognose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9">
        <xdr:nvSpPr>
          <xdr:cNvPr id="10" name="Textfeld 9"/>
          <xdr:cNvSpPr txBox="1"/>
        </xdr:nvSpPr>
        <xdr:spPr>
          <a:xfrm>
            <a:off x="224118" y="7199810"/>
            <a:ext cx="5245754" cy="3852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891923F5-4125-4A65-83E6-E12542162DF7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Vielfach bewährt für Tragfähigkeitsbescheinigungen</a:t>
            </a:fld>
            <a:endParaRPr lang="de-DE" sz="11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0">
        <xdr:nvSpPr>
          <xdr:cNvPr id="19" name="Textfeld 18"/>
          <xdr:cNvSpPr txBox="1"/>
        </xdr:nvSpPr>
        <xdr:spPr>
          <a:xfrm>
            <a:off x="224118" y="5497920"/>
            <a:ext cx="6128219" cy="294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77F398BF-F42A-4374-8A86-9130FE1D15AE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Für Freiberufler, Einzelunternehmen, Einzelhandel, Personen-und Kapitalgesellschaften</a:t>
            </a:fld>
            <a:endParaRPr lang="de-DE" sz="1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3">
        <xdr:nvSpPr>
          <xdr:cNvPr id="20" name="Textfeld 19"/>
          <xdr:cNvSpPr txBox="1"/>
        </xdr:nvSpPr>
        <xdr:spPr>
          <a:xfrm>
            <a:off x="224118" y="6086188"/>
            <a:ext cx="6128219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B25B037-A9C7-4F0A-B3C0-EC3D77E5802B}" type="TxLink">
              <a:rPr lang="en-US" sz="105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In Tabellen-Schritten</a:t>
            </a:fld>
            <a:endParaRPr lang="de-DE" sz="105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6">
        <xdr:nvSpPr>
          <xdr:cNvPr id="21" name="Textfeld 20"/>
          <xdr:cNvSpPr txBox="1"/>
        </xdr:nvSpPr>
        <xdr:spPr>
          <a:xfrm>
            <a:off x="875460" y="6625493"/>
            <a:ext cx="2808474" cy="2801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A7DEBAC-C5E5-4FC6-81F6-94E99BE417B6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zum Liquiditätsplan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7">
        <xdr:nvSpPr>
          <xdr:cNvPr id="22" name="Textfeld 21"/>
          <xdr:cNvSpPr txBox="1"/>
        </xdr:nvSpPr>
        <xdr:spPr>
          <a:xfrm>
            <a:off x="875460" y="6870638"/>
            <a:ext cx="2808474" cy="2591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AC214E6-E58D-408D-B18E-48056B7E7A0A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bis zur Finanzierung</a:t>
            </a:fld>
            <a:endParaRPr lang="de-DE" sz="105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10891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720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7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696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77036</xdr:colOff>
      <xdr:row>0</xdr:row>
      <xdr:rowOff>0</xdr:rowOff>
    </xdr:from>
    <xdr:to>
      <xdr:col>10</xdr:col>
      <xdr:colOff>1947022</xdr:colOff>
      <xdr:row>2</xdr:row>
      <xdr:rowOff>23252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6" y="0"/>
          <a:ext cx="9181824" cy="1148603"/>
        </a:xfrm>
        <a:prstGeom prst="rect">
          <a:avLst/>
        </a:prstGeom>
      </xdr:spPr>
    </xdr:pic>
    <xdr:clientData/>
  </xdr:twoCellAnchor>
  <xdr:twoCellAnchor editAs="oneCell">
    <xdr:from>
      <xdr:col>0</xdr:col>
      <xdr:colOff>176492</xdr:colOff>
      <xdr:row>1</xdr:row>
      <xdr:rowOff>14007</xdr:rowOff>
    </xdr:from>
    <xdr:to>
      <xdr:col>1</xdr:col>
      <xdr:colOff>78774</xdr:colOff>
      <xdr:row>1</xdr:row>
      <xdr:rowOff>841444</xdr:rowOff>
    </xdr:to>
    <xdr:pic>
      <xdr:nvPicPr>
        <xdr:cNvPr id="9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492" y="14007"/>
          <a:ext cx="889800" cy="8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1044132</xdr:colOff>
      <xdr:row>1</xdr:row>
      <xdr:rowOff>21012</xdr:rowOff>
    </xdr:from>
    <xdr:to>
      <xdr:col>10</xdr:col>
      <xdr:colOff>1941907</xdr:colOff>
      <xdr:row>1</xdr:row>
      <xdr:rowOff>859538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970" y="21012"/>
          <a:ext cx="897775" cy="840767"/>
        </a:xfrm>
        <a:prstGeom prst="rect">
          <a:avLst/>
        </a:prstGeom>
      </xdr:spPr>
    </xdr:pic>
    <xdr:clientData/>
  </xdr:twoCellAnchor>
  <xdr:twoCellAnchor>
    <xdr:from>
      <xdr:col>7</xdr:col>
      <xdr:colOff>684677</xdr:colOff>
      <xdr:row>3</xdr:row>
      <xdr:rowOff>20732</xdr:rowOff>
    </xdr:from>
    <xdr:to>
      <xdr:col>8</xdr:col>
      <xdr:colOff>334493</xdr:colOff>
      <xdr:row>6</xdr:row>
      <xdr:rowOff>122145</xdr:rowOff>
    </xdr:to>
    <xdr:sp macro="" textlink="">
      <xdr:nvSpPr>
        <xdr:cNvPr id="15" name="Rechtwinkliges Dreieck 14"/>
        <xdr:cNvSpPr/>
      </xdr:nvSpPr>
      <xdr:spPr>
        <a:xfrm flipH="1">
          <a:off x="5704352" y="1725707"/>
          <a:ext cx="411816" cy="615763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</xdr:col>
      <xdr:colOff>247650</xdr:colOff>
      <xdr:row>1</xdr:row>
      <xdr:rowOff>19050</xdr:rowOff>
    </xdr:from>
    <xdr:to>
      <xdr:col>8</xdr:col>
      <xdr:colOff>492715</xdr:colOff>
      <xdr:row>1</xdr:row>
      <xdr:rowOff>843450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52750" y="180975"/>
          <a:ext cx="3321640" cy="824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88194</xdr:rowOff>
    </xdr:from>
    <xdr:to>
      <xdr:col>15</xdr:col>
      <xdr:colOff>989203</xdr:colOff>
      <xdr:row>60</xdr:row>
      <xdr:rowOff>85479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163521</xdr:colOff>
      <xdr:row>62</xdr:row>
      <xdr:rowOff>105834</xdr:rowOff>
    </xdr:from>
    <xdr:to>
      <xdr:col>15</xdr:col>
      <xdr:colOff>1023056</xdr:colOff>
      <xdr:row>76</xdr:row>
      <xdr:rowOff>17639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176389</xdr:colOff>
      <xdr:row>0</xdr:row>
      <xdr:rowOff>17640</xdr:rowOff>
    </xdr:from>
    <xdr:to>
      <xdr:col>16</xdr:col>
      <xdr:colOff>2039</xdr:colOff>
      <xdr:row>1</xdr:row>
      <xdr:rowOff>8602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1111" y="1764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</xdr:colOff>
      <xdr:row>0</xdr:row>
      <xdr:rowOff>0</xdr:rowOff>
    </xdr:from>
    <xdr:to>
      <xdr:col>2</xdr:col>
      <xdr:colOff>162800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05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406214</xdr:colOff>
      <xdr:row>0</xdr:row>
      <xdr:rowOff>0</xdr:rowOff>
    </xdr:from>
    <xdr:to>
      <xdr:col>9</xdr:col>
      <xdr:colOff>450133</xdr:colOff>
      <xdr:row>0</xdr:row>
      <xdr:rowOff>824400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45699" y="0"/>
          <a:ext cx="3321640" cy="82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1586</xdr:colOff>
      <xdr:row>4</xdr:row>
      <xdr:rowOff>30238</xdr:rowOff>
    </xdr:from>
    <xdr:to>
      <xdr:col>8</xdr:col>
      <xdr:colOff>1586</xdr:colOff>
      <xdr:row>28</xdr:row>
      <xdr:rowOff>2</xdr:rowOff>
    </xdr:to>
    <xdr:graphicFrame macro="">
      <xdr:nvGraphicFramePr>
        <xdr:cNvPr id="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</xdr:colOff>
      <xdr:row>31</xdr:row>
      <xdr:rowOff>45358</xdr:rowOff>
    </xdr:from>
    <xdr:to>
      <xdr:col>22</xdr:col>
      <xdr:colOff>1</xdr:colOff>
      <xdr:row>55</xdr:row>
      <xdr:rowOff>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</xdr:colOff>
      <xdr:row>31</xdr:row>
      <xdr:rowOff>60477</xdr:rowOff>
    </xdr:from>
    <xdr:to>
      <xdr:col>15</xdr:col>
      <xdr:colOff>3</xdr:colOff>
      <xdr:row>55</xdr:row>
      <xdr:rowOff>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</xdr:colOff>
      <xdr:row>4</xdr:row>
      <xdr:rowOff>30238</xdr:rowOff>
    </xdr:from>
    <xdr:to>
      <xdr:col>22</xdr:col>
      <xdr:colOff>0</xdr:colOff>
      <xdr:row>28</xdr:row>
      <xdr:rowOff>2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45358</xdr:rowOff>
    </xdr:from>
    <xdr:to>
      <xdr:col>8</xdr:col>
      <xdr:colOff>1</xdr:colOff>
      <xdr:row>55</xdr:row>
      <xdr:rowOff>0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20</xdr:col>
      <xdr:colOff>514047</xdr:colOff>
      <xdr:row>0</xdr:row>
      <xdr:rowOff>0</xdr:rowOff>
    </xdr:from>
    <xdr:to>
      <xdr:col>21</xdr:col>
      <xdr:colOff>704866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6071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36287</xdr:colOff>
      <xdr:row>0</xdr:row>
      <xdr:rowOff>31749</xdr:rowOff>
    </xdr:from>
    <xdr:to>
      <xdr:col>3</xdr:col>
      <xdr:colOff>180984</xdr:colOff>
      <xdr:row>1</xdr:row>
      <xdr:rowOff>13553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249" y="31749"/>
          <a:ext cx="865177" cy="824400"/>
        </a:xfrm>
        <a:prstGeom prst="rect">
          <a:avLst/>
        </a:prstGeom>
      </xdr:spPr>
    </xdr:pic>
    <xdr:clientData/>
  </xdr:twoCellAnchor>
  <xdr:twoCellAnchor>
    <xdr:from>
      <xdr:col>8</xdr:col>
      <xdr:colOff>63943</xdr:colOff>
      <xdr:row>2</xdr:row>
      <xdr:rowOff>53287</xdr:rowOff>
    </xdr:from>
    <xdr:to>
      <xdr:col>14</xdr:col>
      <xdr:colOff>703385</xdr:colOff>
      <xdr:row>28</xdr:row>
      <xdr:rowOff>138545</xdr:rowOff>
    </xdr:to>
    <xdr:graphicFrame macro="">
      <xdr:nvGraphicFramePr>
        <xdr:cNvPr id="13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549519</xdr:colOff>
      <xdr:row>0</xdr:row>
      <xdr:rowOff>0</xdr:rowOff>
    </xdr:from>
    <xdr:to>
      <xdr:col>14</xdr:col>
      <xdr:colOff>268755</xdr:colOff>
      <xdr:row>0</xdr:row>
      <xdr:rowOff>824400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98846" y="0"/>
          <a:ext cx="3321640" cy="82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11616</xdr:colOff>
      <xdr:row>0</xdr:row>
      <xdr:rowOff>11616</xdr:rowOff>
    </xdr:from>
    <xdr:to>
      <xdr:col>2</xdr:col>
      <xdr:colOff>60408</xdr:colOff>
      <xdr:row>1</xdr:row>
      <xdr:rowOff>1109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262" y="11616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627256</xdr:colOff>
      <xdr:row>0</xdr:row>
      <xdr:rowOff>11616</xdr:rowOff>
    </xdr:from>
    <xdr:to>
      <xdr:col>15</xdr:col>
      <xdr:colOff>762024</xdr:colOff>
      <xdr:row>1</xdr:row>
      <xdr:rowOff>1109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0305" y="1161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0</xdr:rowOff>
    </xdr:from>
    <xdr:to>
      <xdr:col>10</xdr:col>
      <xdr:colOff>702265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19688" y="0"/>
          <a:ext cx="3321640" cy="82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35541</xdr:colOff>
      <xdr:row>4</xdr:row>
      <xdr:rowOff>14216</xdr:rowOff>
    </xdr:from>
    <xdr:to>
      <xdr:col>0</xdr:col>
      <xdr:colOff>850980</xdr:colOff>
      <xdr:row>4</xdr:row>
      <xdr:rowOff>840507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1" y="547332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2094622</xdr:colOff>
      <xdr:row>4</xdr:row>
      <xdr:rowOff>24590</xdr:rowOff>
    </xdr:from>
    <xdr:to>
      <xdr:col>11</xdr:col>
      <xdr:colOff>16941</xdr:colOff>
      <xdr:row>4</xdr:row>
      <xdr:rowOff>855643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916" y="718522"/>
          <a:ext cx="900444" cy="83105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0</xdr:rowOff>
    </xdr:from>
    <xdr:to>
      <xdr:col>6</xdr:col>
      <xdr:colOff>1083265</xdr:colOff>
      <xdr:row>4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76600" y="0"/>
          <a:ext cx="3321640" cy="82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850446</xdr:colOff>
      <xdr:row>49</xdr:row>
      <xdr:rowOff>96456</xdr:rowOff>
    </xdr:from>
    <xdr:to>
      <xdr:col>15</xdr:col>
      <xdr:colOff>554491</xdr:colOff>
      <xdr:row>90</xdr:row>
      <xdr:rowOff>96456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17009</xdr:colOff>
      <xdr:row>0</xdr:row>
      <xdr:rowOff>0</xdr:rowOff>
    </xdr:from>
    <xdr:to>
      <xdr:col>2</xdr:col>
      <xdr:colOff>441242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9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85045</xdr:colOff>
      <xdr:row>0</xdr:row>
      <xdr:rowOff>17009</xdr:rowOff>
    </xdr:from>
    <xdr:to>
      <xdr:col>16</xdr:col>
      <xdr:colOff>1482</xdr:colOff>
      <xdr:row>1</xdr:row>
      <xdr:rowOff>7971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661" y="17009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0</xdr:row>
      <xdr:rowOff>0</xdr:rowOff>
    </xdr:from>
    <xdr:to>
      <xdr:col>8</xdr:col>
      <xdr:colOff>797515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00" y="0"/>
          <a:ext cx="3321640" cy="8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89657</xdr:colOff>
      <xdr:row>109</xdr:row>
      <xdr:rowOff>87668</xdr:rowOff>
    </xdr:from>
    <xdr:to>
      <xdr:col>16</xdr:col>
      <xdr:colOff>876929</xdr:colOff>
      <xdr:row>123</xdr:row>
      <xdr:rowOff>163736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</xdr:colOff>
      <xdr:row>71</xdr:row>
      <xdr:rowOff>125328</xdr:rowOff>
    </xdr:from>
    <xdr:to>
      <xdr:col>16</xdr:col>
      <xdr:colOff>903904</xdr:colOff>
      <xdr:row>103</xdr:row>
      <xdr:rowOff>155509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89858</xdr:colOff>
      <xdr:row>0</xdr:row>
      <xdr:rowOff>0</xdr:rowOff>
    </xdr:from>
    <xdr:to>
      <xdr:col>17</xdr:col>
      <xdr:colOff>1080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8443" y="0"/>
          <a:ext cx="899664" cy="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143774</xdr:colOff>
      <xdr:row>0</xdr:row>
      <xdr:rowOff>17971</xdr:rowOff>
    </xdr:from>
    <xdr:to>
      <xdr:col>2</xdr:col>
      <xdr:colOff>204402</xdr:colOff>
      <xdr:row>1</xdr:row>
      <xdr:rowOff>2667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4" y="17971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0</xdr:rowOff>
    </xdr:from>
    <xdr:to>
      <xdr:col>9</xdr:col>
      <xdr:colOff>868953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84219" y="0"/>
          <a:ext cx="3321640" cy="82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708569</xdr:colOff>
      <xdr:row>38</xdr:row>
      <xdr:rowOff>166254</xdr:rowOff>
    </xdr:from>
    <xdr:to>
      <xdr:col>15</xdr:col>
      <xdr:colOff>1114511</xdr:colOff>
      <xdr:row>55</xdr:row>
      <xdr:rowOff>149578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238125</xdr:colOff>
      <xdr:row>0</xdr:row>
      <xdr:rowOff>15876</xdr:rowOff>
    </xdr:from>
    <xdr:to>
      <xdr:col>16</xdr:col>
      <xdr:colOff>12414</xdr:colOff>
      <xdr:row>1</xdr:row>
      <xdr:rowOff>1169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1587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0</xdr:row>
      <xdr:rowOff>0</xdr:rowOff>
    </xdr:from>
    <xdr:to>
      <xdr:col>2</xdr:col>
      <xdr:colOff>323314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778099</xdr:colOff>
      <xdr:row>0</xdr:row>
      <xdr:rowOff>0</xdr:rowOff>
    </xdr:from>
    <xdr:to>
      <xdr:col>10</xdr:col>
      <xdr:colOff>719034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8979" y="0"/>
          <a:ext cx="3321640" cy="82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447092</xdr:colOff>
      <xdr:row>197</xdr:row>
      <xdr:rowOff>97194</xdr:rowOff>
    </xdr:from>
    <xdr:to>
      <xdr:col>15</xdr:col>
      <xdr:colOff>938893</xdr:colOff>
      <xdr:row>217</xdr:row>
      <xdr:rowOff>155510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503463</xdr:colOff>
      <xdr:row>150</xdr:row>
      <xdr:rowOff>194388</xdr:rowOff>
    </xdr:from>
    <xdr:to>
      <xdr:col>15</xdr:col>
      <xdr:colOff>938892</xdr:colOff>
      <xdr:row>172</xdr:row>
      <xdr:rowOff>27214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427654</xdr:colOff>
      <xdr:row>172</xdr:row>
      <xdr:rowOff>136073</xdr:rowOff>
    </xdr:from>
    <xdr:to>
      <xdr:col>15</xdr:col>
      <xdr:colOff>938894</xdr:colOff>
      <xdr:row>194</xdr:row>
      <xdr:rowOff>81643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408213</xdr:colOff>
      <xdr:row>0</xdr:row>
      <xdr:rowOff>11711</xdr:rowOff>
    </xdr:from>
    <xdr:to>
      <xdr:col>2</xdr:col>
      <xdr:colOff>427652</xdr:colOff>
      <xdr:row>1</xdr:row>
      <xdr:rowOff>1245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3" y="11711"/>
          <a:ext cx="816429" cy="825401"/>
        </a:xfrm>
        <a:prstGeom prst="rect">
          <a:avLst/>
        </a:prstGeom>
      </xdr:spPr>
    </xdr:pic>
    <xdr:clientData/>
  </xdr:twoCellAnchor>
  <xdr:twoCellAnchor editAs="oneCell">
    <xdr:from>
      <xdr:col>15</xdr:col>
      <xdr:colOff>58316</xdr:colOff>
      <xdr:row>0</xdr:row>
      <xdr:rowOff>1</xdr:rowOff>
    </xdr:from>
    <xdr:to>
      <xdr:col>15</xdr:col>
      <xdr:colOff>959730</xdr:colOff>
      <xdr:row>0</xdr:row>
      <xdr:rowOff>824401</xdr:rowOff>
    </xdr:to>
    <xdr:pic>
      <xdr:nvPicPr>
        <xdr:cNvPr id="6" name="Grafik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592" y="1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9</xdr:col>
      <xdr:colOff>406990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43850" y="0"/>
          <a:ext cx="3321640" cy="82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375486</xdr:colOff>
      <xdr:row>39</xdr:row>
      <xdr:rowOff>109904</xdr:rowOff>
    </xdr:from>
    <xdr:to>
      <xdr:col>15</xdr:col>
      <xdr:colOff>914901</xdr:colOff>
      <xdr:row>61</xdr:row>
      <xdr:rowOff>18319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292100</xdr:colOff>
      <xdr:row>27</xdr:row>
      <xdr:rowOff>109904</xdr:rowOff>
    </xdr:from>
    <xdr:to>
      <xdr:col>15</xdr:col>
      <xdr:colOff>952500</xdr:colOff>
      <xdr:row>37</xdr:row>
      <xdr:rowOff>50800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18317</xdr:colOff>
      <xdr:row>0</xdr:row>
      <xdr:rowOff>0</xdr:rowOff>
    </xdr:from>
    <xdr:to>
      <xdr:col>2</xdr:col>
      <xdr:colOff>833756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02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91587</xdr:colOff>
      <xdr:row>0</xdr:row>
      <xdr:rowOff>18318</xdr:rowOff>
    </xdr:from>
    <xdr:to>
      <xdr:col>16</xdr:col>
      <xdr:colOff>3867</xdr:colOff>
      <xdr:row>1</xdr:row>
      <xdr:rowOff>122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3222" y="18318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4</xdr:col>
      <xdr:colOff>825499</xdr:colOff>
      <xdr:row>0</xdr:row>
      <xdr:rowOff>0</xdr:rowOff>
    </xdr:from>
    <xdr:to>
      <xdr:col>8</xdr:col>
      <xdr:colOff>210139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27874" y="0"/>
          <a:ext cx="3321640" cy="82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27214</xdr:colOff>
      <xdr:row>74</xdr:row>
      <xdr:rowOff>1</xdr:rowOff>
    </xdr:from>
    <xdr:to>
      <xdr:col>15</xdr:col>
      <xdr:colOff>952499</xdr:colOff>
      <xdr:row>82</xdr:row>
      <xdr:rowOff>1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27214</xdr:colOff>
      <xdr:row>85</xdr:row>
      <xdr:rowOff>0</xdr:rowOff>
    </xdr:from>
    <xdr:to>
      <xdr:col>15</xdr:col>
      <xdr:colOff>952499</xdr:colOff>
      <xdr:row>93</xdr:row>
      <xdr:rowOff>1807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13608</xdr:colOff>
      <xdr:row>95</xdr:row>
      <xdr:rowOff>26095</xdr:rowOff>
    </xdr:from>
    <xdr:to>
      <xdr:col>15</xdr:col>
      <xdr:colOff>938893</xdr:colOff>
      <xdr:row>106</xdr:row>
      <xdr:rowOff>141763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13607</xdr:colOff>
      <xdr:row>0</xdr:row>
      <xdr:rowOff>0</xdr:rowOff>
    </xdr:from>
    <xdr:to>
      <xdr:col>2</xdr:col>
      <xdr:colOff>434439</xdr:colOff>
      <xdr:row>0</xdr:row>
      <xdr:rowOff>824400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65767</xdr:colOff>
      <xdr:row>0</xdr:row>
      <xdr:rowOff>0</xdr:rowOff>
    </xdr:from>
    <xdr:to>
      <xdr:col>15</xdr:col>
      <xdr:colOff>971717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7392" y="0"/>
          <a:ext cx="905950" cy="8244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8</xdr:col>
      <xdr:colOff>273640</xdr:colOff>
      <xdr:row>0</xdr:row>
      <xdr:rowOff>824400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1" y="0"/>
          <a:ext cx="3321639" cy="82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kindermanns.de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kindermanns.de/" TargetMode="External"/><Relationship Id="rId1" Type="http://schemas.openxmlformats.org/officeDocument/2006/relationships/hyperlink" Target="http://kindermanns.de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eter.kindermann@senioren-der-wirtschaft.de" TargetMode="External"/><Relationship Id="rId4" Type="http://schemas.openxmlformats.org/officeDocument/2006/relationships/hyperlink" Target="mailto:juergen.erlewein@senioren-der-wirtschaft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e.wikipedia.org/wiki/Rechtsfor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ok-business.de/tools-service/gehaltsrechner/gehaltsrechner-2014/" TargetMode="External"/><Relationship Id="rId1" Type="http://schemas.openxmlformats.org/officeDocument/2006/relationships/hyperlink" Target="http://www.aok-business.de/tools-service/gehaltsrechner/gehaltsrechner-2014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de.wikipedia.org/wiki/Abschreibung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de.wikipedia.org/wiki/Geringwertiges_Wirtschaftsgut" TargetMode="External"/><Relationship Id="rId1" Type="http://schemas.openxmlformats.org/officeDocument/2006/relationships/hyperlink" Target="http://de.wikipedia.org/wiki/Geringwertiges_Wirtschaftsgu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de.wikipedia.org/wiki/Geringwertiges_Wirtschaftsgut" TargetMode="External"/><Relationship Id="rId4" Type="http://schemas.openxmlformats.org/officeDocument/2006/relationships/hyperlink" Target="http://de.wikipedia.org/wiki/Abschreibu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euerformen.de/koerperschaftssteuer.htm" TargetMode="External"/><Relationship Id="rId13" Type="http://schemas.openxmlformats.org/officeDocument/2006/relationships/drawing" Target="../drawings/drawing8.xml"/><Relationship Id="rId3" Type="http://schemas.openxmlformats.org/officeDocument/2006/relationships/hyperlink" Target="http://www.abgabenrechner.de/ekst" TargetMode="External"/><Relationship Id="rId7" Type="http://schemas.openxmlformats.org/officeDocument/2006/relationships/hyperlink" Target="http://www.n-heydorn.de/gewerbesteuerrechner.html" TargetMode="External"/><Relationship Id="rId12" Type="http://schemas.openxmlformats.org/officeDocument/2006/relationships/printerSettings" Target="../printerSettings/printerSettings8.bin"/><Relationship Id="rId2" Type="http://schemas.openxmlformats.org/officeDocument/2006/relationships/hyperlink" Target="http://www.n-heydorn.de/gewerbesteuerrechner.html" TargetMode="External"/><Relationship Id="rId1" Type="http://schemas.openxmlformats.org/officeDocument/2006/relationships/hyperlink" Target="http://www.abgabenrechner.de/ekst" TargetMode="External"/><Relationship Id="rId6" Type="http://schemas.openxmlformats.org/officeDocument/2006/relationships/hyperlink" Target="http://www.abgabenrechner.de/ekst" TargetMode="External"/><Relationship Id="rId11" Type="http://schemas.openxmlformats.org/officeDocument/2006/relationships/hyperlink" Target="http://www.n-heydorn.de/gewerbesteuerrechner.html" TargetMode="External"/><Relationship Id="rId5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10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4" Type="http://schemas.openxmlformats.org/officeDocument/2006/relationships/hyperlink" Target="http://www.steuerformen.de/koerperschaftssteuer.htm" TargetMode="External"/><Relationship Id="rId9" Type="http://schemas.openxmlformats.org/officeDocument/2006/relationships/hyperlink" Target="http://m.stuttgart.ihk24.de/linkableblob/971854/.22./data/Gewerbesteuer_Hebesaetze_Region_Stuttgart-data.pdf;jsessionid=23C404C1BDF1F3C801BF943489AC12A7.repl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Z29"/>
  <sheetViews>
    <sheetView showGridLines="0" tabSelected="1" zoomScaleNormal="100" zoomScaleSheetLayoutView="100" workbookViewId="0">
      <selection activeCell="M7" sqref="M7"/>
    </sheetView>
  </sheetViews>
  <sheetFormatPr baseColWidth="10" defaultColWidth="11.42578125" defaultRowHeight="12.75" x14ac:dyDescent="0.2"/>
  <cols>
    <col min="1" max="1" width="14.85546875" style="1467" customWidth="1"/>
    <col min="2" max="2" width="2.85546875" style="1467" customWidth="1"/>
    <col min="3" max="5" width="11.42578125" style="1467" customWidth="1"/>
    <col min="6" max="6" width="11.85546875" style="1467" customWidth="1"/>
    <col min="7" max="10" width="11.42578125" style="1467" customWidth="1"/>
    <col min="11" max="11" width="29.5703125" style="1467" customWidth="1"/>
    <col min="12" max="12" width="7.5703125" style="1467" customWidth="1"/>
    <col min="13" max="13" width="17" style="1467" customWidth="1"/>
    <col min="14" max="14" width="28.28515625" style="1467" customWidth="1"/>
    <col min="15" max="17" width="12.5703125" style="1467" customWidth="1"/>
    <col min="18" max="19" width="14.7109375" style="1467" customWidth="1"/>
    <col min="20" max="36" width="11.42578125" style="1467" customWidth="1"/>
    <col min="37" max="37" width="7.85546875" style="1467" hidden="1" customWidth="1"/>
    <col min="38" max="99" width="11.42578125" style="1467" hidden="1" customWidth="1"/>
    <col min="100" max="100" width="76.85546875" style="2" hidden="1" customWidth="1"/>
    <col min="101" max="101" width="38.5703125" style="2" hidden="1" customWidth="1"/>
    <col min="102" max="156" width="11.42578125" style="1467" hidden="1" customWidth="1"/>
    <col min="157" max="16384" width="11.42578125" style="1467"/>
  </cols>
  <sheetData>
    <row r="1" spans="1:101" x14ac:dyDescent="0.2">
      <c r="A1" s="11"/>
      <c r="B1" s="1"/>
      <c r="C1" s="1"/>
      <c r="D1" s="1"/>
      <c r="E1" s="1"/>
      <c r="F1" s="1"/>
      <c r="G1" s="1"/>
      <c r="H1" s="1"/>
      <c r="I1" s="1"/>
      <c r="J1" s="1"/>
      <c r="AK1" s="1468" t="s">
        <v>257</v>
      </c>
    </row>
    <row r="2" spans="1:101" ht="75.75" customHeight="1" x14ac:dyDescent="0.2">
      <c r="A2" s="8"/>
      <c r="B2" s="8"/>
      <c r="C2" s="1263" t="s">
        <v>631</v>
      </c>
      <c r="D2" s="8"/>
      <c r="E2" s="8"/>
      <c r="H2" s="1"/>
      <c r="I2" s="1"/>
      <c r="K2" s="1469"/>
      <c r="O2" s="1598"/>
      <c r="P2" s="1598"/>
      <c r="AK2" s="1468" t="s">
        <v>306</v>
      </c>
    </row>
    <row r="3" spans="1:101" ht="45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O3" s="1598"/>
      <c r="P3" s="1598"/>
    </row>
    <row r="4" spans="1:101" ht="14.1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O4" s="1470"/>
      <c r="P4" s="1470"/>
    </row>
    <row r="5" spans="1:101" ht="14.1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1" ht="14.1" customHeight="1" x14ac:dyDescent="0.2">
      <c r="A6" s="1"/>
      <c r="B6" s="1"/>
      <c r="C6" s="1471" t="str">
        <f>IF($M$7="English",CW6,CV6)</f>
        <v>NEU MIT GRAPHISCHER DARSTELLUNG DER ERGEBNISSE</v>
      </c>
      <c r="D6" s="1"/>
      <c r="E6" s="1"/>
      <c r="F6" s="1"/>
      <c r="G6" s="1"/>
      <c r="H6" s="1"/>
      <c r="I6" s="1"/>
      <c r="J6" s="1"/>
      <c r="M6" s="1472" t="s">
        <v>603</v>
      </c>
      <c r="CV6" s="2" t="s">
        <v>746</v>
      </c>
      <c r="CW6" s="2" t="s">
        <v>747</v>
      </c>
    </row>
    <row r="7" spans="1:101" ht="14.1" customHeight="1" x14ac:dyDescent="0.2">
      <c r="A7" s="1"/>
      <c r="B7" s="1"/>
      <c r="C7" s="1471"/>
      <c r="D7" s="1"/>
      <c r="E7" s="1"/>
      <c r="F7" s="1"/>
      <c r="G7" s="1"/>
      <c r="H7" s="1"/>
      <c r="I7" s="1"/>
      <c r="J7" s="1"/>
      <c r="M7" s="1473" t="s">
        <v>257</v>
      </c>
    </row>
    <row r="8" spans="1:101" ht="14.1" customHeight="1" x14ac:dyDescent="0.2">
      <c r="A8" s="1"/>
      <c r="B8" s="1"/>
      <c r="C8" s="1471"/>
      <c r="D8" s="1"/>
      <c r="E8" s="1"/>
      <c r="F8" s="1"/>
      <c r="G8" s="1474"/>
      <c r="H8" s="1"/>
      <c r="I8" s="1"/>
      <c r="J8" s="1"/>
      <c r="K8" s="1472"/>
    </row>
    <row r="9" spans="1:101" ht="14.1" customHeight="1" x14ac:dyDescent="0.2">
      <c r="A9" s="1"/>
      <c r="B9" s="1"/>
      <c r="C9" s="1471" t="str">
        <f t="shared" ref="C9:C19" si="0">IF($M$7="English",CW9,CV9)</f>
        <v>Finanzplanung für GründerInnen leicht gemacht</v>
      </c>
      <c r="D9" s="1"/>
      <c r="E9" s="1"/>
      <c r="F9" s="6"/>
      <c r="H9" s="1"/>
      <c r="I9" s="1"/>
      <c r="J9" s="1"/>
      <c r="CV9" s="2" t="s">
        <v>748</v>
      </c>
      <c r="CW9" s="2" t="s">
        <v>749</v>
      </c>
    </row>
    <row r="10" spans="1:101" ht="14.1" customHeight="1" x14ac:dyDescent="0.2">
      <c r="A10" s="1"/>
      <c r="B10" s="1"/>
      <c r="C10" s="1471" t="str">
        <f t="shared" si="0"/>
        <v>Für Freiberufler, Einzelunternehmen, Einzelhandel, Personen-und Kapitalgesellschaften</v>
      </c>
      <c r="D10" s="1"/>
      <c r="E10" s="1"/>
      <c r="F10" s="6"/>
      <c r="H10" s="1"/>
      <c r="I10" s="1"/>
      <c r="J10" s="1"/>
      <c r="CV10" s="2" t="s">
        <v>750</v>
      </c>
      <c r="CW10" s="2" t="s">
        <v>751</v>
      </c>
    </row>
    <row r="11" spans="1:101" ht="15.75" x14ac:dyDescent="0.25">
      <c r="A11" s="13"/>
      <c r="B11" s="13"/>
      <c r="C11" s="1471"/>
      <c r="D11" s="13"/>
      <c r="E11" s="1475"/>
      <c r="F11" s="1475"/>
      <c r="G11" s="14"/>
      <c r="H11" s="13"/>
      <c r="I11" s="13"/>
      <c r="J11" s="13"/>
      <c r="K11" s="1475"/>
    </row>
    <row r="12" spans="1:101" ht="15.75" x14ac:dyDescent="0.25">
      <c r="A12" s="1475"/>
      <c r="B12" s="13"/>
      <c r="C12" s="1471"/>
      <c r="D12" s="13"/>
      <c r="E12" s="1475"/>
      <c r="F12" s="1475"/>
      <c r="G12" s="1475"/>
      <c r="H12" s="13"/>
      <c r="I12" s="13"/>
      <c r="J12" s="13"/>
      <c r="K12" s="1475"/>
    </row>
    <row r="13" spans="1:101" ht="15.75" x14ac:dyDescent="0.25">
      <c r="A13" s="1475"/>
      <c r="B13" s="13"/>
      <c r="C13" s="1471" t="str">
        <f t="shared" si="0"/>
        <v>In Tabellen-Schritten</v>
      </c>
      <c r="D13" s="13"/>
      <c r="E13" s="1475"/>
      <c r="F13" s="1475"/>
      <c r="G13" s="14"/>
      <c r="H13" s="13"/>
      <c r="I13" s="13"/>
      <c r="J13" s="13"/>
      <c r="K13" s="1476"/>
      <c r="CV13" s="1482" t="s">
        <v>752</v>
      </c>
      <c r="CW13" s="2" t="s">
        <v>759</v>
      </c>
    </row>
    <row r="14" spans="1:101" ht="13.5" x14ac:dyDescent="0.2">
      <c r="A14" s="1"/>
      <c r="B14" s="1"/>
      <c r="C14" s="1471" t="str">
        <f t="shared" si="0"/>
        <v>von der Umsatzprognose</v>
      </c>
      <c r="D14" s="1"/>
      <c r="G14" s="1"/>
      <c r="H14" s="1"/>
      <c r="I14" s="1"/>
      <c r="J14" s="1"/>
      <c r="K14" s="1477"/>
      <c r="CV14" s="1478" t="s">
        <v>753</v>
      </c>
      <c r="CW14" s="2" t="s">
        <v>755</v>
      </c>
    </row>
    <row r="15" spans="1:101" ht="13.7" customHeight="1" x14ac:dyDescent="0.2">
      <c r="A15" s="1"/>
      <c r="B15" s="1"/>
      <c r="C15" s="1471"/>
      <c r="D15" s="1"/>
      <c r="G15" s="1"/>
      <c r="H15" s="1"/>
      <c r="I15" s="1"/>
      <c r="J15" s="1"/>
      <c r="O15" s="1598"/>
      <c r="P15" s="1598"/>
    </row>
    <row r="16" spans="1:101" ht="13.7" customHeight="1" x14ac:dyDescent="0.25">
      <c r="B16" s="1"/>
      <c r="C16" s="1471" t="str">
        <f t="shared" si="0"/>
        <v>zum Liquiditätsplan</v>
      </c>
      <c r="D16" s="1"/>
      <c r="G16" s="4"/>
      <c r="H16" s="1"/>
      <c r="I16" s="1"/>
      <c r="J16" s="1"/>
      <c r="CV16" s="1478" t="s">
        <v>754</v>
      </c>
      <c r="CW16" s="2" t="s">
        <v>756</v>
      </c>
    </row>
    <row r="17" spans="1:101" ht="13.7" customHeight="1" x14ac:dyDescent="0.2">
      <c r="A17" s="1"/>
      <c r="B17" s="1"/>
      <c r="C17" s="1471" t="str">
        <f t="shared" si="0"/>
        <v>bis zur Finanzierung</v>
      </c>
      <c r="D17" s="1"/>
      <c r="G17" s="1"/>
      <c r="H17" s="1"/>
      <c r="I17" s="1"/>
      <c r="J17" s="1"/>
      <c r="CV17" s="1478" t="s">
        <v>761</v>
      </c>
      <c r="CW17" s="2" t="s">
        <v>760</v>
      </c>
    </row>
    <row r="18" spans="1:101" ht="13.7" customHeight="1" x14ac:dyDescent="0.25">
      <c r="B18" s="1"/>
      <c r="C18" s="1471"/>
      <c r="D18" s="1"/>
      <c r="G18" s="4"/>
      <c r="H18" s="1"/>
      <c r="I18" s="1"/>
      <c r="J18" s="1"/>
      <c r="O18" s="1598"/>
      <c r="P18" s="1598"/>
    </row>
    <row r="19" spans="1:101" ht="13.7" customHeight="1" x14ac:dyDescent="0.2">
      <c r="A19" s="1"/>
      <c r="B19" s="1"/>
      <c r="C19" s="1471" t="str">
        <f t="shared" si="0"/>
        <v>Vielfach bewährt für Tragfähigkeitsbescheinigungen</v>
      </c>
      <c r="D19" s="1"/>
      <c r="G19" s="1"/>
      <c r="H19" s="1"/>
      <c r="I19" s="1"/>
      <c r="J19" s="1"/>
      <c r="O19" s="1598"/>
      <c r="P19" s="1598"/>
      <c r="CV19" s="1479" t="s">
        <v>757</v>
      </c>
      <c r="CW19" s="2" t="s">
        <v>758</v>
      </c>
    </row>
    <row r="20" spans="1:101" ht="13.7" customHeight="1" x14ac:dyDescent="0.25">
      <c r="B20" s="4"/>
      <c r="C20" s="4">
        <v>0</v>
      </c>
      <c r="D20" s="4"/>
      <c r="G20" s="4"/>
      <c r="H20" s="4"/>
      <c r="I20" s="4"/>
      <c r="J20" s="4"/>
    </row>
    <row r="21" spans="1:101" ht="13.7" customHeight="1" x14ac:dyDescent="0.25">
      <c r="A21" s="4"/>
      <c r="B21" s="4"/>
      <c r="C21" s="4"/>
      <c r="D21" s="4"/>
      <c r="G21" s="4"/>
      <c r="H21" s="4"/>
      <c r="I21" s="4"/>
      <c r="J21" s="4"/>
    </row>
    <row r="22" spans="1:101" ht="12.6" customHeight="1" x14ac:dyDescent="0.2">
      <c r="A22" s="5"/>
      <c r="B22" s="1"/>
      <c r="C22" s="1"/>
      <c r="D22" s="1"/>
      <c r="G22" s="1"/>
      <c r="H22" s="1"/>
      <c r="I22" s="1"/>
      <c r="J22" s="1"/>
    </row>
    <row r="23" spans="1:101" ht="12.6" customHeight="1" x14ac:dyDescent="0.2">
      <c r="A23" s="1"/>
      <c r="B23" s="1"/>
      <c r="C23" s="1"/>
      <c r="D23" s="1"/>
      <c r="G23" s="1"/>
      <c r="H23" s="1"/>
      <c r="I23" s="1"/>
      <c r="J23" s="1"/>
      <c r="K23" s="1480"/>
    </row>
    <row r="24" spans="1:101" ht="14.25" x14ac:dyDescent="0.2">
      <c r="A24" s="2"/>
      <c r="B24" s="2"/>
      <c r="C24" s="2"/>
      <c r="D24" s="2"/>
      <c r="G24" s="15"/>
      <c r="H24" s="2"/>
      <c r="I24" s="2"/>
      <c r="J24" s="2"/>
    </row>
    <row r="25" spans="1:101" x14ac:dyDescent="0.2">
      <c r="A25" s="2"/>
      <c r="B25" s="2"/>
      <c r="C25" s="2"/>
      <c r="D25" s="2"/>
      <c r="E25" s="2"/>
      <c r="F25" s="2"/>
      <c r="G25" s="1062" t="s">
        <v>800</v>
      </c>
      <c r="H25" s="2"/>
      <c r="I25" s="2"/>
      <c r="J25" s="2"/>
    </row>
    <row r="26" spans="1:101" ht="18" x14ac:dyDescent="0.25">
      <c r="A26" s="2"/>
      <c r="B26" s="2"/>
      <c r="C26" s="2"/>
      <c r="D26" s="2"/>
      <c r="E26" s="2"/>
      <c r="F26" s="3"/>
      <c r="G26" s="2"/>
      <c r="H26" s="2"/>
      <c r="I26" s="2"/>
      <c r="J26" s="2"/>
      <c r="K26" s="1481"/>
    </row>
    <row r="28" spans="1:101" x14ac:dyDescent="0.2">
      <c r="A28" s="10"/>
      <c r="B28" s="1596"/>
      <c r="C28" s="1597"/>
      <c r="D28" s="1597"/>
      <c r="E28" s="1597"/>
      <c r="F28" s="1597"/>
      <c r="G28" s="1597"/>
      <c r="H28" s="1597"/>
      <c r="I28" s="1597"/>
      <c r="J28" s="1597"/>
      <c r="K28" s="1597"/>
      <c r="O28" s="1472"/>
    </row>
    <row r="29" spans="1:10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</row>
  </sheetData>
  <sheetProtection algorithmName="SHA-512" hashValue="vGEq9zMWElIqG8ap9XsWUswArwutW6K6RqS0HvTRn57IyC+bAT6HpTvRvd4QgciOE1XxJB0yGf8nJsQXuXq8Cg==" saltValue="6UanXMzDjKsJDtIKs/GffQ==" spinCount="100000" sheet="1" objects="1" scenarios="1" selectLockedCells="1"/>
  <mergeCells count="6">
    <mergeCell ref="B28:K28"/>
    <mergeCell ref="O2:P2"/>
    <mergeCell ref="O3:P3"/>
    <mergeCell ref="O15:P15"/>
    <mergeCell ref="O18:P18"/>
    <mergeCell ref="O19:P19"/>
  </mergeCells>
  <phoneticPr fontId="0" type="noConversion"/>
  <dataValidations count="1">
    <dataValidation type="list" allowBlank="1" showInputMessage="1" showErrorMessage="1" sqref="M7">
      <formula1>$AK$1:$AK$2</formula1>
    </dataValidation>
  </dataValidations>
  <pageMargins left="0.78740157480314965" right="0.78740157480314965" top="0.39370078740157483" bottom="0.98425196850393704" header="0.31496062992125984" footer="0.51181102362204722"/>
  <pageSetup paperSize="9" scale="94" fitToHeight="0" orientation="landscape" r:id="rId1"/>
  <headerFooter alignWithMargins="0">
    <oddFooter>&amp;L&amp;9&amp;A&amp;C&amp;9&amp;F&amp;R&amp;"Verdana,Standard"&amp;8© 2017 www.Kindermanns.de
Jürgen Erlewein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EZ630"/>
  <sheetViews>
    <sheetView showGridLines="0" topLeftCell="A2" zoomScale="68" zoomScaleNormal="68" zoomScalePageLayoutView="50" workbookViewId="0">
      <selection activeCell="D10" sqref="D10"/>
    </sheetView>
  </sheetViews>
  <sheetFormatPr baseColWidth="10" defaultColWidth="11.42578125" defaultRowHeight="14.25" x14ac:dyDescent="0.2"/>
  <cols>
    <col min="1" max="1" width="2.85546875" style="176" customWidth="1"/>
    <col min="2" max="2" width="10.42578125" style="179" customWidth="1"/>
    <col min="3" max="3" width="37" style="179" customWidth="1"/>
    <col min="4" max="13" width="16.28515625" style="826" customWidth="1"/>
    <col min="14" max="14" width="16.28515625" style="827" customWidth="1"/>
    <col min="15" max="16" width="16.28515625" style="826" customWidth="1"/>
    <col min="17" max="18" width="4.7109375" style="656" customWidth="1"/>
    <col min="19" max="19" width="60.7109375" style="657" customWidth="1"/>
    <col min="20" max="24" width="15.5703125" style="202" customWidth="1"/>
    <col min="25" max="25" width="15.5703125" style="205" customWidth="1"/>
    <col min="26" max="27" width="15.5703125" style="176" customWidth="1"/>
    <col min="28" max="29" width="18.42578125" style="206" customWidth="1"/>
    <col min="30" max="30" width="18.42578125" style="207" customWidth="1"/>
    <col min="31" max="36" width="18.42578125" style="208" customWidth="1"/>
    <col min="37" max="55" width="18.42578125" style="208" hidden="1" customWidth="1"/>
    <col min="56" max="59" width="15.5703125" style="208" hidden="1" customWidth="1"/>
    <col min="60" max="63" width="7.5703125" style="208" hidden="1" customWidth="1"/>
    <col min="64" max="72" width="7.5703125" style="382" hidden="1" customWidth="1"/>
    <col min="73" max="73" width="7.5703125" style="496" hidden="1" customWidth="1"/>
    <col min="74" max="100" width="7.5703125" style="382" hidden="1" customWidth="1"/>
    <col min="101" max="101" width="72.28515625" style="189" hidden="1" customWidth="1"/>
    <col min="102" max="102" width="94.28515625" style="382" hidden="1" customWidth="1"/>
    <col min="103" max="103" width="24.85546875" style="382" hidden="1" customWidth="1"/>
    <col min="104" max="104" width="25.5703125" style="382" hidden="1" customWidth="1"/>
    <col min="105" max="105" width="21.42578125" style="382" hidden="1" customWidth="1"/>
    <col min="106" max="129" width="6.5703125" style="382" hidden="1" customWidth="1"/>
    <col min="130" max="130" width="11.5703125" style="666" hidden="1" customWidth="1"/>
    <col min="131" max="132" width="11.42578125" style="180" hidden="1" customWidth="1"/>
    <col min="133" max="156" width="11.42578125" style="179" hidden="1" customWidth="1"/>
    <col min="157" max="16384" width="11.42578125" style="179"/>
  </cols>
  <sheetData>
    <row r="1" spans="1:136" ht="66" customHeight="1" x14ac:dyDescent="0.2"/>
    <row r="2" spans="1:136" s="176" customFormat="1" ht="21.95" customHeight="1" x14ac:dyDescent="0.2">
      <c r="A2" s="175"/>
      <c r="C2" s="177" t="str">
        <f>'Deckblatt Gruender|Data Founder'!D8</f>
        <v>Deutsch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4"/>
      <c r="O2" s="202"/>
      <c r="P2" s="655"/>
      <c r="Q2" s="656"/>
      <c r="R2" s="656"/>
      <c r="S2" s="657"/>
      <c r="T2" s="202"/>
      <c r="U2" s="202"/>
      <c r="V2" s="202"/>
      <c r="W2" s="202"/>
      <c r="X2" s="202"/>
      <c r="Y2" s="205"/>
      <c r="AB2" s="206"/>
      <c r="AC2" s="206"/>
      <c r="AD2" s="207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7"/>
      <c r="BV2" s="208"/>
      <c r="BW2" s="208"/>
      <c r="BX2" s="208"/>
      <c r="BY2" s="208"/>
      <c r="BZ2" s="382"/>
      <c r="CA2" s="382"/>
      <c r="CB2" s="382"/>
      <c r="CC2" s="382"/>
      <c r="CD2" s="382"/>
      <c r="CE2" s="382"/>
      <c r="CF2" s="382"/>
      <c r="CG2" s="382"/>
      <c r="CH2" s="382"/>
      <c r="CI2" s="382"/>
      <c r="CJ2" s="382"/>
      <c r="CK2" s="382"/>
      <c r="CL2" s="382"/>
      <c r="CM2" s="382"/>
      <c r="CN2" s="382"/>
      <c r="CO2" s="382"/>
      <c r="CP2" s="382"/>
      <c r="CQ2" s="382"/>
      <c r="CR2" s="382"/>
      <c r="CS2" s="382"/>
      <c r="CT2" s="382"/>
      <c r="CU2" s="382"/>
      <c r="CV2" s="382"/>
      <c r="CW2" s="189" t="s">
        <v>257</v>
      </c>
      <c r="CX2" s="382" t="s">
        <v>306</v>
      </c>
      <c r="CY2" s="382"/>
      <c r="CZ2" s="382"/>
      <c r="DA2" s="382"/>
      <c r="DB2" s="382"/>
      <c r="DC2" s="382"/>
      <c r="DD2" s="382"/>
      <c r="DE2" s="382"/>
      <c r="DF2" s="382"/>
      <c r="DG2" s="382"/>
      <c r="DH2" s="382"/>
      <c r="DI2" s="382"/>
      <c r="DJ2" s="382"/>
      <c r="DK2" s="382"/>
      <c r="DL2" s="382"/>
      <c r="DM2" s="382"/>
      <c r="DN2" s="382"/>
      <c r="DO2" s="382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27"/>
      <c r="EA2" s="186"/>
      <c r="EB2" s="186"/>
    </row>
    <row r="3" spans="1:136" s="183" customFormat="1" ht="24.75" x14ac:dyDescent="0.3">
      <c r="B3" s="397" t="str">
        <f>IF($C$2="English",CX3,CW3)</f>
        <v>7a  Finanzierungsplan (Beträge in EURO)</v>
      </c>
      <c r="D3" s="202"/>
      <c r="E3" s="202"/>
      <c r="F3" s="202"/>
      <c r="G3" s="202"/>
      <c r="H3" s="202"/>
      <c r="I3" s="202"/>
      <c r="J3" s="203"/>
      <c r="K3" s="202"/>
      <c r="L3" s="202"/>
      <c r="M3" s="202"/>
      <c r="N3" s="202"/>
      <c r="O3" s="202"/>
      <c r="P3" s="202"/>
      <c r="Q3" s="658"/>
      <c r="R3" s="658"/>
      <c r="S3" s="65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404" t="s">
        <v>207</v>
      </c>
      <c r="CX3" s="971" t="s">
        <v>366</v>
      </c>
      <c r="CY3" s="179"/>
      <c r="CZ3" s="17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EB3" s="186"/>
      <c r="EC3" s="176"/>
      <c r="ED3" s="176"/>
      <c r="EE3" s="176"/>
      <c r="EF3" s="176"/>
    </row>
    <row r="4" spans="1:136" s="183" customFormat="1" ht="14.25" customHeight="1" x14ac:dyDescent="0.3">
      <c r="B4" s="298"/>
      <c r="D4" s="202"/>
      <c r="E4" s="202"/>
      <c r="F4" s="202"/>
      <c r="G4" s="202"/>
      <c r="H4" s="202"/>
      <c r="I4" s="202"/>
      <c r="J4" s="203"/>
      <c r="K4" s="202"/>
      <c r="L4" s="202"/>
      <c r="M4" s="202"/>
      <c r="N4" s="202"/>
      <c r="O4" s="202"/>
      <c r="P4" s="202"/>
      <c r="Q4" s="658"/>
      <c r="R4" s="658"/>
      <c r="T4" s="182" t="s">
        <v>225</v>
      </c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972" t="s">
        <v>565</v>
      </c>
      <c r="CX4" s="971" t="s">
        <v>367</v>
      </c>
      <c r="CY4" s="179"/>
      <c r="CZ4" s="17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EB4" s="186"/>
      <c r="EC4" s="176"/>
      <c r="ED4" s="176"/>
      <c r="EE4" s="176"/>
      <c r="EF4" s="176"/>
    </row>
    <row r="5" spans="1:136" s="660" customFormat="1" ht="19.5" x14ac:dyDescent="0.25">
      <c r="B5" s="398" t="str">
        <f>IF($C$2="English",CX5,CW5)</f>
        <v>Beschaffung des erforderlichen Kapitals</v>
      </c>
      <c r="D5" s="661"/>
      <c r="E5" s="661"/>
      <c r="F5" s="661"/>
      <c r="G5" s="661"/>
      <c r="H5" s="661"/>
      <c r="I5" s="661"/>
      <c r="J5" s="662"/>
      <c r="K5" s="661"/>
      <c r="L5" s="661"/>
      <c r="M5" s="661"/>
      <c r="N5" s="661"/>
      <c r="O5" s="661"/>
      <c r="P5" s="661"/>
      <c r="Q5" s="663"/>
      <c r="R5" s="663"/>
      <c r="T5" s="37" t="s">
        <v>317</v>
      </c>
      <c r="BZ5" s="664"/>
      <c r="CA5" s="664"/>
      <c r="CB5" s="664"/>
      <c r="CC5" s="664"/>
      <c r="CD5" s="664"/>
      <c r="CE5" s="664"/>
      <c r="CF5" s="664"/>
      <c r="CG5" s="664"/>
      <c r="CH5" s="664"/>
      <c r="CI5" s="664"/>
      <c r="CJ5" s="664"/>
      <c r="CK5" s="664"/>
      <c r="CL5" s="664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973" t="s">
        <v>135</v>
      </c>
      <c r="CX5" s="974" t="s">
        <v>711</v>
      </c>
      <c r="CY5" s="239"/>
      <c r="CZ5" s="239"/>
      <c r="DA5" s="664"/>
      <c r="DB5" s="664"/>
      <c r="DC5" s="664"/>
      <c r="DD5" s="664"/>
      <c r="DE5" s="664"/>
      <c r="DF5" s="664"/>
      <c r="DG5" s="664"/>
      <c r="DH5" s="664"/>
      <c r="DI5" s="664"/>
      <c r="DJ5" s="664"/>
      <c r="DK5" s="664"/>
      <c r="DL5" s="664"/>
      <c r="DM5" s="664"/>
      <c r="DN5" s="664"/>
      <c r="DO5" s="664"/>
      <c r="EB5" s="665"/>
      <c r="EC5" s="234"/>
      <c r="ED5" s="234"/>
      <c r="EE5" s="234"/>
      <c r="EF5" s="234"/>
    </row>
    <row r="6" spans="1:136" s="183" customFormat="1" ht="15" thickBot="1" x14ac:dyDescent="0.25">
      <c r="C6" s="201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4"/>
      <c r="O6" s="202"/>
      <c r="P6" s="202"/>
      <c r="Q6" s="658"/>
      <c r="R6" s="658"/>
      <c r="S6" s="48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972" t="s">
        <v>193</v>
      </c>
      <c r="CX6" s="179" t="s">
        <v>368</v>
      </c>
      <c r="CY6" s="179"/>
      <c r="CZ6" s="17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EB6" s="186"/>
      <c r="EC6" s="176"/>
      <c r="ED6" s="176"/>
      <c r="EE6" s="176"/>
      <c r="EF6" s="176"/>
    </row>
    <row r="7" spans="1:136" ht="21.75" customHeight="1" thickBot="1" x14ac:dyDescent="0.25">
      <c r="B7" s="1692" t="s">
        <v>309</v>
      </c>
      <c r="C7" s="1694" t="str">
        <f>IF($C$2="English",CX8,CW8)</f>
        <v>Kapitalquellen</v>
      </c>
      <c r="D7" s="1687">
        <f ca="1">'1 Pers.Ausgaben|Pers Expenses'!$C$4</f>
        <v>2019</v>
      </c>
      <c r="E7" s="1689"/>
      <c r="F7" s="1687">
        <f ca="1">D7+1</f>
        <v>2020</v>
      </c>
      <c r="G7" s="1689"/>
      <c r="H7" s="1687">
        <f ca="1">D7+2</f>
        <v>2021</v>
      </c>
      <c r="I7" s="1689"/>
      <c r="J7" s="1687">
        <f ca="1">D7+3</f>
        <v>2022</v>
      </c>
      <c r="K7" s="1689"/>
      <c r="L7" s="1687">
        <f ca="1">D7+4</f>
        <v>2023</v>
      </c>
      <c r="M7" s="1689"/>
      <c r="N7" s="1687" t="str">
        <f>IF($C$2="English",CZ7,CY7)</f>
        <v>Finanzbedingungen</v>
      </c>
      <c r="O7" s="1688"/>
      <c r="P7" s="1689"/>
      <c r="Q7" s="658"/>
      <c r="R7" s="658"/>
      <c r="S7" s="56" t="str">
        <f>IF(C2="English",T5,T4)</f>
        <v>Aufgaben und/oder Kommentar</v>
      </c>
      <c r="T7" s="183"/>
      <c r="U7" s="183"/>
      <c r="V7" s="183"/>
      <c r="W7" s="183"/>
      <c r="X7" s="183"/>
      <c r="Y7" s="183"/>
      <c r="CW7" s="975" t="s">
        <v>565</v>
      </c>
      <c r="CX7" s="976" t="s">
        <v>566</v>
      </c>
      <c r="CY7" s="979" t="s">
        <v>108</v>
      </c>
      <c r="CZ7" s="980" t="s">
        <v>401</v>
      </c>
    </row>
    <row r="8" spans="1:136" s="209" customFormat="1" ht="29.25" thickBot="1" x14ac:dyDescent="0.25">
      <c r="A8" s="183"/>
      <c r="B8" s="1693"/>
      <c r="C8" s="1695"/>
      <c r="D8" s="667" t="str">
        <f>IF($C$2="English",CX6,CW6)</f>
        <v>Betrag</v>
      </c>
      <c r="E8" s="668" t="str">
        <f>IF($C$2="English",CX7,CW7)</f>
        <v>Auszahlung in Monat</v>
      </c>
      <c r="F8" s="667" t="str">
        <f>D8</f>
        <v>Betrag</v>
      </c>
      <c r="G8" s="668" t="str">
        <f>E8</f>
        <v>Auszahlung in Monat</v>
      </c>
      <c r="H8" s="667" t="str">
        <f>D8</f>
        <v>Betrag</v>
      </c>
      <c r="I8" s="668" t="str">
        <f>$E$8</f>
        <v>Auszahlung in Monat</v>
      </c>
      <c r="J8" s="667" t="str">
        <f>D8</f>
        <v>Betrag</v>
      </c>
      <c r="K8" s="668" t="str">
        <f>$E$8</f>
        <v>Auszahlung in Monat</v>
      </c>
      <c r="L8" s="667" t="str">
        <f>D8</f>
        <v>Betrag</v>
      </c>
      <c r="M8" s="668" t="str">
        <f>$E$8</f>
        <v>Auszahlung in Monat</v>
      </c>
      <c r="N8" s="669" t="str">
        <f>IF($C$2="English",CZ8,CY8)</f>
        <v>Zinssatz</v>
      </c>
      <c r="O8" s="670" t="str">
        <f>IF($C$2="English",CX11,CW11)</f>
        <v>tilgungsfreie Monate</v>
      </c>
      <c r="P8" s="671" t="str">
        <f>IF($C$2="English",CX13,CW13)</f>
        <v>Tilgungsjahre</v>
      </c>
      <c r="Q8" s="658"/>
      <c r="R8" s="658"/>
      <c r="S8" s="659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CW8" s="61" t="s">
        <v>61</v>
      </c>
      <c r="CX8" s="971" t="s">
        <v>369</v>
      </c>
      <c r="CY8" s="979" t="s">
        <v>62</v>
      </c>
      <c r="CZ8" s="981" t="s">
        <v>402</v>
      </c>
      <c r="EB8" s="180"/>
      <c r="EC8" s="179"/>
      <c r="ED8" s="179"/>
      <c r="EE8" s="179"/>
      <c r="EF8" s="179"/>
    </row>
    <row r="9" spans="1:136" s="60" customFormat="1" x14ac:dyDescent="0.2">
      <c r="A9" s="57"/>
      <c r="B9" s="191"/>
      <c r="C9" s="672"/>
      <c r="D9" s="673"/>
      <c r="E9" s="674"/>
      <c r="F9" s="673"/>
      <c r="G9" s="674"/>
      <c r="H9" s="673"/>
      <c r="I9" s="674"/>
      <c r="J9" s="673"/>
      <c r="K9" s="674"/>
      <c r="L9" s="673"/>
      <c r="M9" s="674"/>
      <c r="N9" s="673"/>
      <c r="O9" s="675"/>
      <c r="P9" s="674"/>
      <c r="Q9" s="658"/>
      <c r="R9" s="658"/>
      <c r="S9" s="676"/>
      <c r="T9" s="183"/>
      <c r="U9" s="183"/>
      <c r="V9" s="183"/>
      <c r="W9" s="183"/>
      <c r="X9" s="183"/>
      <c r="Y9" s="18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EB9" s="40"/>
    </row>
    <row r="10" spans="1:136" x14ac:dyDescent="0.2">
      <c r="B10" s="677">
        <v>1</v>
      </c>
      <c r="C10" s="1455" t="str">
        <f>IF($C$2="English",CX10,CW10)</f>
        <v>Eigenkapital</v>
      </c>
      <c r="D10" s="1456"/>
      <c r="E10" s="1457"/>
      <c r="F10" s="1101"/>
      <c r="G10" s="1102"/>
      <c r="H10" s="1101"/>
      <c r="I10" s="1102"/>
      <c r="J10" s="1101"/>
      <c r="K10" s="1102"/>
      <c r="L10" s="1101"/>
      <c r="M10" s="1102"/>
      <c r="N10" s="1103"/>
      <c r="O10" s="1104"/>
      <c r="P10" s="1105"/>
      <c r="Q10" s="658"/>
      <c r="R10" s="658"/>
      <c r="S10" s="1556"/>
      <c r="T10" s="183"/>
      <c r="U10" s="183"/>
      <c r="V10" s="183"/>
      <c r="W10" s="183"/>
      <c r="X10" s="183"/>
      <c r="Y10" s="183"/>
      <c r="CW10" s="404" t="s">
        <v>63</v>
      </c>
      <c r="CX10" s="228" t="s">
        <v>370</v>
      </c>
    </row>
    <row r="11" spans="1:136" x14ac:dyDescent="0.2">
      <c r="B11" s="677"/>
      <c r="C11" s="672"/>
      <c r="D11" s="683"/>
      <c r="E11" s="685"/>
      <c r="F11" s="678"/>
      <c r="G11" s="679"/>
      <c r="H11" s="678"/>
      <c r="I11" s="679"/>
      <c r="J11" s="678"/>
      <c r="K11" s="679"/>
      <c r="L11" s="678"/>
      <c r="M11" s="679"/>
      <c r="N11" s="680"/>
      <c r="O11" s="681"/>
      <c r="P11" s="682"/>
      <c r="Q11" s="658"/>
      <c r="R11" s="658"/>
      <c r="T11" s="183"/>
      <c r="U11" s="183"/>
      <c r="V11" s="183"/>
      <c r="W11" s="183"/>
      <c r="X11" s="183"/>
      <c r="Y11" s="183"/>
      <c r="CW11" s="404" t="s">
        <v>186</v>
      </c>
      <c r="CX11" s="382" t="s">
        <v>503</v>
      </c>
    </row>
    <row r="12" spans="1:136" x14ac:dyDescent="0.2">
      <c r="B12" s="677">
        <v>2</v>
      </c>
      <c r="C12" s="1455" t="str">
        <f t="shared" ref="C12:C31" si="0">IF($C$2="English",CX12,CW12)</f>
        <v>Eigenleistung</v>
      </c>
      <c r="D12" s="1456"/>
      <c r="E12" s="1457"/>
      <c r="F12" s="1101"/>
      <c r="G12" s="1102"/>
      <c r="H12" s="1101"/>
      <c r="I12" s="1102"/>
      <c r="J12" s="1101"/>
      <c r="K12" s="1102"/>
      <c r="L12" s="1101"/>
      <c r="M12" s="1102"/>
      <c r="N12" s="1103"/>
      <c r="O12" s="1104"/>
      <c r="P12" s="1105"/>
      <c r="Q12" s="658"/>
      <c r="R12" s="658"/>
      <c r="S12" s="1556"/>
      <c r="T12" s="183"/>
      <c r="U12" s="183"/>
      <c r="V12" s="183"/>
      <c r="W12" s="183"/>
      <c r="X12" s="183"/>
      <c r="Y12" s="183"/>
      <c r="CW12" s="404" t="s">
        <v>87</v>
      </c>
      <c r="CX12" s="228" t="s">
        <v>712</v>
      </c>
    </row>
    <row r="13" spans="1:136" x14ac:dyDescent="0.2">
      <c r="B13" s="677"/>
      <c r="C13" s="672"/>
      <c r="D13" s="683"/>
      <c r="E13" s="679"/>
      <c r="F13" s="678"/>
      <c r="G13" s="679"/>
      <c r="H13" s="678"/>
      <c r="I13" s="679"/>
      <c r="J13" s="678"/>
      <c r="K13" s="679"/>
      <c r="L13" s="678"/>
      <c r="M13" s="679"/>
      <c r="N13" s="680"/>
      <c r="O13" s="681"/>
      <c r="P13" s="682"/>
      <c r="Q13" s="658"/>
      <c r="R13" s="658"/>
      <c r="T13" s="183"/>
      <c r="U13" s="183"/>
      <c r="V13" s="183"/>
      <c r="W13" s="183"/>
      <c r="X13" s="183"/>
      <c r="Y13" s="183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CW13" s="404" t="s">
        <v>392</v>
      </c>
      <c r="CX13" s="382" t="s">
        <v>502</v>
      </c>
    </row>
    <row r="14" spans="1:136" x14ac:dyDescent="0.2">
      <c r="B14" s="684">
        <v>3</v>
      </c>
      <c r="C14" s="1455" t="str">
        <f t="shared" si="0"/>
        <v>Beteiligung</v>
      </c>
      <c r="D14" s="1456"/>
      <c r="E14" s="1457"/>
      <c r="F14" s="1456"/>
      <c r="G14" s="1457"/>
      <c r="H14" s="1456"/>
      <c r="I14" s="1457"/>
      <c r="J14" s="1456"/>
      <c r="K14" s="1457"/>
      <c r="L14" s="1456"/>
      <c r="M14" s="1457"/>
      <c r="N14" s="1458"/>
      <c r="O14" s="1459"/>
      <c r="P14" s="1460"/>
      <c r="Q14" s="658"/>
      <c r="R14" s="658"/>
      <c r="S14" s="1556"/>
      <c r="T14" s="183"/>
      <c r="U14" s="183"/>
      <c r="V14" s="183"/>
      <c r="W14" s="183"/>
      <c r="X14" s="183"/>
      <c r="Y14" s="183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CW14" s="404" t="s">
        <v>86</v>
      </c>
      <c r="CX14" s="971" t="s">
        <v>713</v>
      </c>
    </row>
    <row r="15" spans="1:136" x14ac:dyDescent="0.2">
      <c r="B15" s="677"/>
      <c r="C15" s="672"/>
      <c r="D15" s="683"/>
      <c r="E15" s="685"/>
      <c r="F15" s="683"/>
      <c r="G15" s="685"/>
      <c r="H15" s="683"/>
      <c r="I15" s="685"/>
      <c r="J15" s="683"/>
      <c r="K15" s="685"/>
      <c r="L15" s="683"/>
      <c r="M15" s="685"/>
      <c r="N15" s="686"/>
      <c r="O15" s="687"/>
      <c r="P15" s="682"/>
      <c r="Q15" s="658"/>
      <c r="R15" s="658"/>
      <c r="T15" s="183"/>
      <c r="U15" s="183"/>
      <c r="V15" s="183"/>
      <c r="W15" s="183"/>
      <c r="X15" s="183"/>
      <c r="Y15" s="183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</row>
    <row r="16" spans="1:136" x14ac:dyDescent="0.2">
      <c r="B16" s="684">
        <v>4</v>
      </c>
      <c r="C16" s="1455" t="str">
        <f t="shared" si="0"/>
        <v xml:space="preserve">Kontokorrent Kredit </v>
      </c>
      <c r="D16" s="1456"/>
      <c r="E16" s="1457"/>
      <c r="F16" s="1456"/>
      <c r="G16" s="1457"/>
      <c r="H16" s="1456"/>
      <c r="I16" s="1457"/>
      <c r="J16" s="1456"/>
      <c r="K16" s="1457"/>
      <c r="L16" s="1456"/>
      <c r="M16" s="1457"/>
      <c r="N16" s="1458"/>
      <c r="O16" s="1459"/>
      <c r="P16" s="1460"/>
      <c r="Q16" s="658"/>
      <c r="R16" s="658"/>
      <c r="S16" s="1556"/>
      <c r="T16" s="183"/>
      <c r="U16" s="183"/>
      <c r="V16" s="183"/>
      <c r="W16" s="183"/>
      <c r="X16" s="183"/>
      <c r="Y16" s="183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CW16" s="404" t="s">
        <v>64</v>
      </c>
      <c r="CX16" s="971" t="s">
        <v>714</v>
      </c>
    </row>
    <row r="17" spans="2:132" x14ac:dyDescent="0.2">
      <c r="B17" s="677"/>
      <c r="C17" s="672"/>
      <c r="D17" s="683"/>
      <c r="E17" s="685"/>
      <c r="F17" s="683"/>
      <c r="G17" s="685"/>
      <c r="H17" s="683"/>
      <c r="I17" s="685"/>
      <c r="J17" s="683"/>
      <c r="K17" s="685"/>
      <c r="L17" s="683"/>
      <c r="M17" s="685"/>
      <c r="N17" s="686"/>
      <c r="O17" s="687"/>
      <c r="P17" s="682"/>
      <c r="Q17" s="658"/>
      <c r="R17" s="658"/>
      <c r="T17" s="183"/>
      <c r="U17" s="183"/>
      <c r="V17" s="183"/>
      <c r="W17" s="183"/>
      <c r="X17" s="183"/>
      <c r="Y17" s="183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CW17" s="404"/>
    </row>
    <row r="18" spans="2:132" x14ac:dyDescent="0.2">
      <c r="B18" s="684">
        <v>5</v>
      </c>
      <c r="C18" s="1455" t="str">
        <f t="shared" si="0"/>
        <v>Kurzfristige Darlehen</v>
      </c>
      <c r="D18" s="1456"/>
      <c r="E18" s="1457"/>
      <c r="F18" s="1456"/>
      <c r="G18" s="1457"/>
      <c r="H18" s="1456"/>
      <c r="I18" s="1457"/>
      <c r="J18" s="1456"/>
      <c r="K18" s="1457"/>
      <c r="L18" s="1456"/>
      <c r="M18" s="1457"/>
      <c r="N18" s="1458"/>
      <c r="O18" s="1459"/>
      <c r="P18" s="1460"/>
      <c r="Q18" s="658"/>
      <c r="R18" s="658"/>
      <c r="S18" s="1556"/>
      <c r="T18" s="183"/>
      <c r="U18" s="183"/>
      <c r="V18" s="183"/>
      <c r="W18" s="183"/>
      <c r="X18" s="183"/>
      <c r="Y18" s="183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CW18" s="404" t="s">
        <v>65</v>
      </c>
      <c r="CX18" s="228" t="s">
        <v>715</v>
      </c>
    </row>
    <row r="19" spans="2:132" x14ac:dyDescent="0.2">
      <c r="B19" s="688"/>
      <c r="C19" s="672"/>
      <c r="D19" s="683"/>
      <c r="E19" s="685"/>
      <c r="F19" s="683"/>
      <c r="G19" s="685"/>
      <c r="H19" s="683"/>
      <c r="I19" s="685"/>
      <c r="J19" s="683"/>
      <c r="K19" s="685"/>
      <c r="L19" s="683"/>
      <c r="M19" s="685"/>
      <c r="N19" s="686"/>
      <c r="O19" s="687"/>
      <c r="P19" s="682"/>
      <c r="Q19" s="658"/>
      <c r="R19" s="658"/>
      <c r="T19" s="183"/>
      <c r="U19" s="183"/>
      <c r="V19" s="183"/>
      <c r="W19" s="183"/>
      <c r="X19" s="183"/>
      <c r="Y19" s="183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</row>
    <row r="20" spans="2:132" x14ac:dyDescent="0.2">
      <c r="B20" s="684">
        <v>6</v>
      </c>
      <c r="C20" s="689" t="str">
        <f t="shared" si="0"/>
        <v>Langfristige Darlehen z.B.</v>
      </c>
      <c r="D20" s="683"/>
      <c r="E20" s="685"/>
      <c r="F20" s="683"/>
      <c r="G20" s="685"/>
      <c r="H20" s="683"/>
      <c r="I20" s="685"/>
      <c r="J20" s="683"/>
      <c r="K20" s="685"/>
      <c r="L20" s="683"/>
      <c r="M20" s="685"/>
      <c r="N20" s="686"/>
      <c r="O20" s="687"/>
      <c r="P20" s="682"/>
      <c r="Q20" s="658"/>
      <c r="R20" s="658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CW20" s="404" t="s">
        <v>231</v>
      </c>
      <c r="CX20" s="228" t="s">
        <v>719</v>
      </c>
    </row>
    <row r="21" spans="2:132" x14ac:dyDescent="0.2">
      <c r="B21" s="690" t="s">
        <v>110</v>
      </c>
      <c r="C21" s="1455" t="str">
        <f t="shared" si="0"/>
        <v>Öffentliche Förderdarlehen</v>
      </c>
      <c r="D21" s="1456"/>
      <c r="E21" s="1457"/>
      <c r="F21" s="1456"/>
      <c r="G21" s="1457"/>
      <c r="H21" s="1456"/>
      <c r="I21" s="1457"/>
      <c r="J21" s="1456"/>
      <c r="K21" s="1457"/>
      <c r="L21" s="1456"/>
      <c r="M21" s="1457"/>
      <c r="N21" s="1458"/>
      <c r="O21" s="1459"/>
      <c r="P21" s="1460"/>
      <c r="Q21" s="658"/>
      <c r="R21" s="658"/>
      <c r="S21" s="155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CW21" s="404" t="s">
        <v>66</v>
      </c>
      <c r="CX21" s="971" t="s">
        <v>371</v>
      </c>
    </row>
    <row r="22" spans="2:132" x14ac:dyDescent="0.2">
      <c r="B22" s="690" t="s">
        <v>111</v>
      </c>
      <c r="C22" s="1455" t="str">
        <f t="shared" si="0"/>
        <v>KfW  Programm</v>
      </c>
      <c r="D22" s="1456"/>
      <c r="E22" s="1457"/>
      <c r="F22" s="1456"/>
      <c r="G22" s="1457"/>
      <c r="H22" s="1456"/>
      <c r="I22" s="1457"/>
      <c r="J22" s="1456"/>
      <c r="K22" s="1457"/>
      <c r="L22" s="1456"/>
      <c r="M22" s="1457"/>
      <c r="N22" s="1458"/>
      <c r="O22" s="1459"/>
      <c r="P22" s="1460"/>
      <c r="Q22" s="658"/>
      <c r="R22" s="658"/>
      <c r="S22" s="155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CW22" s="404" t="s">
        <v>721</v>
      </c>
      <c r="CX22" s="971" t="s">
        <v>720</v>
      </c>
    </row>
    <row r="23" spans="2:132" x14ac:dyDescent="0.2">
      <c r="B23" s="690" t="s">
        <v>112</v>
      </c>
      <c r="C23" s="1455" t="str">
        <f t="shared" si="0"/>
        <v>L - Bank-Darlehen</v>
      </c>
      <c r="D23" s="1456"/>
      <c r="E23" s="1457"/>
      <c r="F23" s="1456"/>
      <c r="G23" s="1457"/>
      <c r="H23" s="1456"/>
      <c r="I23" s="1457"/>
      <c r="J23" s="1456"/>
      <c r="K23" s="1457"/>
      <c r="L23" s="1456"/>
      <c r="M23" s="1457"/>
      <c r="N23" s="1458"/>
      <c r="O23" s="1459"/>
      <c r="P23" s="1460"/>
      <c r="Q23" s="658"/>
      <c r="R23" s="658"/>
      <c r="S23" s="155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CW23" s="404" t="s">
        <v>67</v>
      </c>
      <c r="CX23" s="228" t="s">
        <v>372</v>
      </c>
    </row>
    <row r="24" spans="2:132" x14ac:dyDescent="0.2">
      <c r="B24" s="690" t="s">
        <v>113</v>
      </c>
      <c r="C24" s="1455" t="str">
        <f t="shared" si="0"/>
        <v xml:space="preserve">Bürgschaftsbank- Darlehen </v>
      </c>
      <c r="D24" s="1456"/>
      <c r="E24" s="1457"/>
      <c r="F24" s="1456"/>
      <c r="G24" s="1457"/>
      <c r="H24" s="1456"/>
      <c r="I24" s="1457"/>
      <c r="J24" s="1456"/>
      <c r="K24" s="1457"/>
      <c r="L24" s="1456"/>
      <c r="M24" s="1457"/>
      <c r="N24" s="1458"/>
      <c r="O24" s="1459"/>
      <c r="P24" s="1460"/>
      <c r="Q24" s="658"/>
      <c r="R24" s="658"/>
      <c r="S24" s="155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CW24" s="404" t="s">
        <v>68</v>
      </c>
      <c r="CX24" s="971" t="s">
        <v>373</v>
      </c>
    </row>
    <row r="25" spans="2:132" x14ac:dyDescent="0.2">
      <c r="B25" s="690" t="s">
        <v>114</v>
      </c>
      <c r="C25" s="1455" t="str">
        <f t="shared" si="0"/>
        <v>Haus -  Bank-Darlehen</v>
      </c>
      <c r="D25" s="1456"/>
      <c r="E25" s="1457"/>
      <c r="F25" s="1456"/>
      <c r="G25" s="1457"/>
      <c r="H25" s="1456"/>
      <c r="I25" s="1457"/>
      <c r="J25" s="1456"/>
      <c r="K25" s="1457"/>
      <c r="L25" s="1456"/>
      <c r="M25" s="1457"/>
      <c r="N25" s="1458"/>
      <c r="O25" s="1459"/>
      <c r="P25" s="1460"/>
      <c r="Q25" s="658"/>
      <c r="R25" s="658"/>
      <c r="S25" s="155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CW25" s="404" t="s">
        <v>69</v>
      </c>
      <c r="CX25" s="228" t="s">
        <v>374</v>
      </c>
    </row>
    <row r="26" spans="2:132" x14ac:dyDescent="0.2">
      <c r="B26" s="690" t="s">
        <v>115</v>
      </c>
      <c r="C26" s="1455" t="str">
        <f t="shared" si="0"/>
        <v>Privat -  Darlehen</v>
      </c>
      <c r="D26" s="1456"/>
      <c r="E26" s="1457"/>
      <c r="F26" s="1456"/>
      <c r="G26" s="1457"/>
      <c r="H26" s="1456"/>
      <c r="I26" s="1457"/>
      <c r="J26" s="1456"/>
      <c r="K26" s="1457"/>
      <c r="L26" s="1456"/>
      <c r="M26" s="1457"/>
      <c r="N26" s="1458"/>
      <c r="O26" s="1459"/>
      <c r="P26" s="1460"/>
      <c r="Q26" s="658"/>
      <c r="R26" s="658"/>
      <c r="S26" s="155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CW26" s="404" t="s">
        <v>70</v>
      </c>
      <c r="CX26" s="971" t="s">
        <v>375</v>
      </c>
    </row>
    <row r="27" spans="2:132" x14ac:dyDescent="0.2">
      <c r="B27" s="690" t="s">
        <v>116</v>
      </c>
      <c r="C27" s="1455" t="str">
        <f t="shared" si="0"/>
        <v>Sonstige</v>
      </c>
      <c r="D27" s="1456"/>
      <c r="E27" s="1457"/>
      <c r="F27" s="1456"/>
      <c r="G27" s="1457"/>
      <c r="H27" s="1456"/>
      <c r="I27" s="1457"/>
      <c r="J27" s="1456"/>
      <c r="K27" s="1457"/>
      <c r="L27" s="1456"/>
      <c r="M27" s="1457"/>
      <c r="N27" s="1458"/>
      <c r="O27" s="1459"/>
      <c r="P27" s="1460"/>
      <c r="Q27" s="658"/>
      <c r="R27" s="658"/>
      <c r="S27" s="155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CW27" s="977" t="s">
        <v>232</v>
      </c>
      <c r="CX27" s="971" t="s">
        <v>376</v>
      </c>
    </row>
    <row r="28" spans="2:132" ht="15" thickBot="1" x14ac:dyDescent="0.25">
      <c r="B28" s="691"/>
      <c r="C28" s="692"/>
      <c r="D28" s="683"/>
      <c r="E28" s="685"/>
      <c r="F28" s="683"/>
      <c r="G28" s="685"/>
      <c r="H28" s="683"/>
      <c r="I28" s="685"/>
      <c r="J28" s="683"/>
      <c r="K28" s="685"/>
      <c r="L28" s="683"/>
      <c r="M28" s="685"/>
      <c r="N28" s="693"/>
      <c r="O28" s="128"/>
      <c r="P28" s="694"/>
      <c r="Q28" s="658"/>
      <c r="R28" s="658"/>
      <c r="S28" s="695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</row>
    <row r="29" spans="2:132" ht="15" thickTop="1" x14ac:dyDescent="0.2">
      <c r="B29" s="696"/>
      <c r="C29" s="697" t="str">
        <f t="shared" si="0"/>
        <v>Eigenkaptial und -leistung</v>
      </c>
      <c r="D29" s="698">
        <f>D10+D12</f>
        <v>0</v>
      </c>
      <c r="E29" s="1106"/>
      <c r="F29" s="698">
        <f>F10+F12</f>
        <v>0</v>
      </c>
      <c r="G29" s="1106"/>
      <c r="H29" s="698">
        <f>H10+H12</f>
        <v>0</v>
      </c>
      <c r="I29" s="1106"/>
      <c r="J29" s="698">
        <f>J10+J12</f>
        <v>0</v>
      </c>
      <c r="K29" s="1106"/>
      <c r="L29" s="698">
        <f>L10+L12</f>
        <v>0</v>
      </c>
      <c r="M29" s="1106"/>
      <c r="N29" s="1109"/>
      <c r="O29" s="1110"/>
      <c r="P29" s="1106"/>
      <c r="Q29" s="658"/>
      <c r="R29" s="658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CW29" s="915" t="s">
        <v>88</v>
      </c>
      <c r="CX29" s="228" t="s">
        <v>716</v>
      </c>
    </row>
    <row r="30" spans="2:132" ht="15" thickBot="1" x14ac:dyDescent="0.25">
      <c r="B30" s="699"/>
      <c r="C30" s="700" t="str">
        <f t="shared" si="0"/>
        <v>Fremdfinanzierung</v>
      </c>
      <c r="D30" s="701">
        <f>SUM(D14:D27)</f>
        <v>0</v>
      </c>
      <c r="E30" s="1107"/>
      <c r="F30" s="701">
        <f>SUM(F14:F27)</f>
        <v>0</v>
      </c>
      <c r="G30" s="1107"/>
      <c r="H30" s="701">
        <f>SUM(H14:H27)</f>
        <v>0</v>
      </c>
      <c r="I30" s="1107"/>
      <c r="J30" s="701">
        <f>SUM(J14:J27)</f>
        <v>0</v>
      </c>
      <c r="K30" s="1107"/>
      <c r="L30" s="701">
        <f>SUM(L14:L27)</f>
        <v>0</v>
      </c>
      <c r="M30" s="1107"/>
      <c r="N30" s="1111"/>
      <c r="O30" s="1112"/>
      <c r="P30" s="1107"/>
      <c r="Q30" s="658"/>
      <c r="R30" s="658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CW30" s="915" t="s">
        <v>89</v>
      </c>
      <c r="CX30" s="971" t="s">
        <v>377</v>
      </c>
    </row>
    <row r="31" spans="2:132" ht="15.75" thickTop="1" thickBot="1" x14ac:dyDescent="0.25">
      <c r="B31" s="702"/>
      <c r="C31" s="703" t="str">
        <f t="shared" si="0"/>
        <v>Summe</v>
      </c>
      <c r="D31" s="704">
        <f>SUM(D29:D30)</f>
        <v>0</v>
      </c>
      <c r="E31" s="1108"/>
      <c r="F31" s="704">
        <f>SUM(F29:F30)</f>
        <v>0</v>
      </c>
      <c r="G31" s="1108"/>
      <c r="H31" s="704">
        <f>SUM(H29:H30)</f>
        <v>0</v>
      </c>
      <c r="I31" s="1108"/>
      <c r="J31" s="704">
        <f>SUM(J29:J30)</f>
        <v>0</v>
      </c>
      <c r="K31" s="1108"/>
      <c r="L31" s="704">
        <f>SUM(L29:L30)</f>
        <v>0</v>
      </c>
      <c r="M31" s="1108"/>
      <c r="N31" s="1113"/>
      <c r="O31" s="1114"/>
      <c r="P31" s="1108"/>
      <c r="Q31" s="658"/>
      <c r="R31" s="658"/>
      <c r="S31" s="705"/>
      <c r="T31" s="176"/>
      <c r="U31" s="176"/>
      <c r="V31" s="176"/>
      <c r="W31" s="176"/>
      <c r="X31" s="176"/>
      <c r="Y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451" t="s">
        <v>42</v>
      </c>
      <c r="CX31" s="179" t="s">
        <v>258</v>
      </c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</row>
    <row r="32" spans="2:132" s="176" customFormat="1" x14ac:dyDescent="0.2">
      <c r="D32" s="202"/>
      <c r="E32" s="202"/>
      <c r="F32" s="202"/>
      <c r="G32" s="202"/>
      <c r="H32" s="202"/>
      <c r="I32" s="706"/>
      <c r="J32" s="202"/>
      <c r="K32" s="202"/>
      <c r="L32" s="202"/>
      <c r="M32" s="202"/>
      <c r="N32" s="204"/>
      <c r="O32" s="202"/>
      <c r="P32" s="202"/>
      <c r="Q32" s="658"/>
      <c r="R32" s="658"/>
      <c r="S32" s="657"/>
      <c r="T32" s="202"/>
      <c r="U32" s="202"/>
      <c r="V32" s="202"/>
      <c r="W32" s="202"/>
      <c r="X32" s="202"/>
      <c r="Y32" s="205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7"/>
      <c r="BV32" s="208"/>
      <c r="BW32" s="208"/>
      <c r="BX32" s="208"/>
      <c r="BY32" s="208"/>
      <c r="BZ32" s="382"/>
      <c r="CA32" s="382"/>
      <c r="CB32" s="382"/>
      <c r="CC32" s="382"/>
      <c r="CD32" s="382"/>
      <c r="CE32" s="382"/>
      <c r="CF32" s="382"/>
      <c r="CG32" s="382"/>
      <c r="CH32" s="382"/>
      <c r="CI32" s="382"/>
      <c r="CJ32" s="382"/>
      <c r="CK32" s="382"/>
      <c r="CL32" s="382"/>
      <c r="CM32" s="382"/>
      <c r="CN32" s="382"/>
      <c r="CO32" s="382"/>
      <c r="CP32" s="382"/>
      <c r="CQ32" s="382"/>
      <c r="CR32" s="382"/>
      <c r="CS32" s="382"/>
      <c r="CT32" s="382"/>
      <c r="CU32" s="382"/>
      <c r="CV32" s="382"/>
      <c r="CW32" s="189"/>
      <c r="CX32" s="382"/>
      <c r="CY32" s="382"/>
      <c r="CZ32" s="382"/>
      <c r="DA32" s="382"/>
      <c r="DB32" s="382"/>
      <c r="DC32" s="382"/>
      <c r="DD32" s="382"/>
      <c r="DE32" s="382"/>
      <c r="DF32" s="382"/>
      <c r="DG32" s="382"/>
      <c r="DH32" s="382"/>
      <c r="DI32" s="382"/>
      <c r="DJ32" s="382"/>
      <c r="DK32" s="382"/>
      <c r="DL32" s="382"/>
      <c r="DM32" s="382"/>
      <c r="DN32" s="382"/>
      <c r="DO32" s="382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27"/>
      <c r="EA32" s="186"/>
      <c r="EB32" s="186"/>
    </row>
    <row r="33" spans="1:132" s="176" customFormat="1" x14ac:dyDescent="0.2">
      <c r="D33" s="202"/>
      <c r="E33" s="202"/>
      <c r="F33" s="202"/>
      <c r="G33" s="202"/>
      <c r="H33" s="202"/>
      <c r="I33" s="706"/>
      <c r="J33" s="202"/>
      <c r="K33" s="202"/>
      <c r="L33" s="202"/>
      <c r="M33" s="202"/>
      <c r="N33" s="204"/>
      <c r="O33" s="202"/>
      <c r="P33" s="202"/>
      <c r="Q33" s="658"/>
      <c r="R33" s="658"/>
      <c r="S33" s="657"/>
      <c r="T33" s="202"/>
      <c r="U33" s="202"/>
      <c r="V33" s="202"/>
      <c r="W33" s="202"/>
      <c r="X33" s="202"/>
      <c r="Y33" s="205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7"/>
      <c r="BV33" s="208"/>
      <c r="BW33" s="208"/>
      <c r="BX33" s="208"/>
      <c r="BY33" s="208"/>
      <c r="BZ33" s="382"/>
      <c r="CA33" s="382"/>
      <c r="CB33" s="382"/>
      <c r="CC33" s="382"/>
      <c r="CD33" s="382"/>
      <c r="CE33" s="382"/>
      <c r="CF33" s="382"/>
      <c r="CG33" s="382"/>
      <c r="CH33" s="382"/>
      <c r="CI33" s="382"/>
      <c r="CJ33" s="382"/>
      <c r="CK33" s="382"/>
      <c r="CL33" s="382"/>
      <c r="CM33" s="382"/>
      <c r="CN33" s="382"/>
      <c r="CO33" s="382"/>
      <c r="CP33" s="382"/>
      <c r="CQ33" s="382"/>
      <c r="CR33" s="382"/>
      <c r="CS33" s="382"/>
      <c r="CT33" s="382"/>
      <c r="CU33" s="382"/>
      <c r="CV33" s="382"/>
      <c r="CW33" s="189"/>
      <c r="CX33" s="382"/>
      <c r="CY33" s="382"/>
      <c r="CZ33" s="382"/>
      <c r="DA33" s="382"/>
      <c r="DB33" s="382"/>
      <c r="DC33" s="382"/>
      <c r="DD33" s="382"/>
      <c r="DE33" s="382"/>
      <c r="DF33" s="382"/>
      <c r="DG33" s="382"/>
      <c r="DH33" s="382"/>
      <c r="DI33" s="382"/>
      <c r="DJ33" s="382"/>
      <c r="DK33" s="382"/>
      <c r="DL33" s="382"/>
      <c r="DM33" s="382"/>
      <c r="DN33" s="382"/>
      <c r="DO33" s="382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27"/>
      <c r="EA33" s="186"/>
      <c r="EB33" s="186"/>
    </row>
    <row r="34" spans="1:132" s="176" customFormat="1" ht="24.75" x14ac:dyDescent="0.3">
      <c r="B34" s="397" t="str">
        <f ca="1">IF($C$2="English",CX34,CW34)</f>
        <v>7b-1  Kapitaldienst für die Monate des Jahres 2019 in EUR0</v>
      </c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4"/>
      <c r="O34" s="202"/>
      <c r="P34" s="202"/>
      <c r="Q34" s="658"/>
      <c r="R34" s="658"/>
      <c r="S34" s="657"/>
      <c r="T34" s="202"/>
      <c r="U34" s="202"/>
      <c r="V34" s="202"/>
      <c r="W34" s="202"/>
      <c r="X34" s="202"/>
      <c r="Y34" s="205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7"/>
      <c r="BV34" s="208"/>
      <c r="BW34" s="208"/>
      <c r="BX34" s="208"/>
      <c r="BY34" s="208"/>
      <c r="BZ34" s="382"/>
      <c r="CA34" s="382"/>
      <c r="CB34" s="382"/>
      <c r="CC34" s="382"/>
      <c r="CD34" s="382"/>
      <c r="CE34" s="382"/>
      <c r="CF34" s="382"/>
      <c r="CG34" s="382"/>
      <c r="CH34" s="382"/>
      <c r="CI34" s="382"/>
      <c r="CJ34" s="382"/>
      <c r="CK34" s="382"/>
      <c r="CL34" s="382"/>
      <c r="CM34" s="382"/>
      <c r="CN34" s="382"/>
      <c r="CO34" s="382"/>
      <c r="CP34" s="382"/>
      <c r="CQ34" s="382"/>
      <c r="CR34" s="382"/>
      <c r="CS34" s="382"/>
      <c r="CT34" s="382"/>
      <c r="CU34" s="382"/>
      <c r="CV34" s="382"/>
      <c r="CW34" s="404" t="str">
        <f ca="1">"7b-1  Kapitaldienst für die Monate des Jahres " &amp; $D$7 &amp; " in EUR0"</f>
        <v>7b-1  Kapitaldienst für die Monate des Jahres 2019 in EUR0</v>
      </c>
      <c r="CX34" s="971" t="str">
        <f ca="1">"7b-1 Interest and repayment for the months of the year " &amp; $D$7 &amp; " in EUR0"</f>
        <v>7b-1 Interest and repayment for the months of the year 2019 in EUR0</v>
      </c>
      <c r="CY34" s="382"/>
      <c r="CZ34" s="382"/>
      <c r="DA34" s="382"/>
      <c r="DB34" s="382"/>
      <c r="DC34" s="382"/>
      <c r="DD34" s="382"/>
      <c r="DE34" s="382"/>
      <c r="DF34" s="382"/>
      <c r="DG34" s="382"/>
      <c r="DH34" s="382"/>
      <c r="DI34" s="382"/>
      <c r="DJ34" s="382"/>
      <c r="DK34" s="382"/>
      <c r="DL34" s="382"/>
      <c r="DM34" s="382"/>
      <c r="DN34" s="382"/>
      <c r="DO34" s="382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27"/>
      <c r="EA34" s="186"/>
      <c r="EB34" s="186"/>
    </row>
    <row r="35" spans="1:132" s="176" customFormat="1" ht="15" thickBot="1" x14ac:dyDescent="0.25">
      <c r="D35" s="363">
        <v>1</v>
      </c>
      <c r="E35" s="363">
        <v>2</v>
      </c>
      <c r="F35" s="363">
        <v>3</v>
      </c>
      <c r="G35" s="363">
        <v>4</v>
      </c>
      <c r="H35" s="363">
        <v>5</v>
      </c>
      <c r="I35" s="363">
        <v>6</v>
      </c>
      <c r="J35" s="363">
        <v>7</v>
      </c>
      <c r="K35" s="363">
        <v>8</v>
      </c>
      <c r="L35" s="363">
        <v>9</v>
      </c>
      <c r="M35" s="363">
        <v>10</v>
      </c>
      <c r="N35" s="363">
        <v>11</v>
      </c>
      <c r="O35" s="363">
        <v>12</v>
      </c>
      <c r="Q35" s="656"/>
      <c r="R35" s="656"/>
      <c r="S35" s="707"/>
      <c r="T35" s="656"/>
      <c r="U35" s="656"/>
      <c r="V35" s="656"/>
      <c r="W35" s="656"/>
      <c r="X35" s="656"/>
      <c r="Y35" s="656"/>
      <c r="Z35" s="656"/>
      <c r="AA35" s="656"/>
      <c r="AB35" s="656"/>
      <c r="AC35" s="656"/>
      <c r="AD35" s="656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7"/>
      <c r="BV35" s="208"/>
      <c r="BW35" s="208"/>
      <c r="BX35" s="208"/>
      <c r="BY35" s="208"/>
      <c r="BZ35" s="382"/>
      <c r="CA35" s="382"/>
      <c r="CB35" s="382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2"/>
      <c r="CQ35" s="382"/>
      <c r="CR35" s="382"/>
      <c r="CS35" s="382"/>
      <c r="CT35" s="382"/>
      <c r="CU35" s="382"/>
      <c r="CV35" s="382"/>
      <c r="CW35" s="189"/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2"/>
      <c r="DJ35" s="382"/>
      <c r="DK35" s="382"/>
      <c r="DL35" s="382"/>
      <c r="DM35" s="382"/>
      <c r="DN35" s="382"/>
      <c r="DO35" s="382"/>
      <c r="DP35" s="208"/>
      <c r="DQ35" s="208"/>
      <c r="DR35" s="208"/>
      <c r="DS35" s="208"/>
      <c r="DT35" s="208"/>
      <c r="DU35" s="208"/>
      <c r="DV35" s="208"/>
      <c r="DW35" s="208"/>
      <c r="DX35" s="208"/>
      <c r="DY35" s="208"/>
      <c r="DZ35" s="227"/>
      <c r="EA35" s="186"/>
      <c r="EB35" s="186"/>
    </row>
    <row r="36" spans="1:132" ht="15" thickBot="1" x14ac:dyDescent="0.25">
      <c r="B36" s="708" t="str">
        <f ca="1">IF($C$2="English",CX36,CW36)</f>
        <v>Monatsbeträge für  2019</v>
      </c>
      <c r="C36" s="708"/>
      <c r="D36" s="709" t="str">
        <f>IF($C$2="English",D40,D41)</f>
        <v>Januar</v>
      </c>
      <c r="E36" s="709" t="str">
        <f t="shared" ref="E36:O36" si="1">IF($C$2="English",E40,E41)</f>
        <v>Februar</v>
      </c>
      <c r="F36" s="709" t="str">
        <f t="shared" si="1"/>
        <v>März</v>
      </c>
      <c r="G36" s="709" t="str">
        <f t="shared" si="1"/>
        <v>April</v>
      </c>
      <c r="H36" s="709" t="str">
        <f t="shared" si="1"/>
        <v>Mai</v>
      </c>
      <c r="I36" s="709" t="str">
        <f t="shared" si="1"/>
        <v>Juni</v>
      </c>
      <c r="J36" s="709" t="str">
        <f t="shared" si="1"/>
        <v>Juli</v>
      </c>
      <c r="K36" s="709" t="str">
        <f t="shared" si="1"/>
        <v>August</v>
      </c>
      <c r="L36" s="709" t="str">
        <f t="shared" si="1"/>
        <v>September</v>
      </c>
      <c r="M36" s="709" t="str">
        <f t="shared" si="1"/>
        <v>Oktober</v>
      </c>
      <c r="N36" s="709" t="str">
        <f t="shared" si="1"/>
        <v>November</v>
      </c>
      <c r="O36" s="709" t="str">
        <f t="shared" si="1"/>
        <v>Dezember</v>
      </c>
      <c r="P36" s="709" t="str">
        <f ca="1">IF($C$2="English","Year "&amp;'1 Pers.Ausgaben|Pers Expenses'!$C$4,"Jahr "&amp;'1 Pers.Ausgaben|Pers Expenses'!$C$4)</f>
        <v>Jahr 2019</v>
      </c>
      <c r="S36" s="707"/>
      <c r="T36" s="656"/>
      <c r="U36" s="656"/>
      <c r="V36" s="656"/>
      <c r="W36" s="656"/>
      <c r="X36" s="656"/>
      <c r="Y36" s="656"/>
      <c r="Z36" s="656"/>
      <c r="AA36" s="656"/>
      <c r="AB36" s="656"/>
      <c r="AC36" s="656"/>
      <c r="AD36" s="65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CW36" s="40" t="str">
        <f ca="1">"Monatsbeträge für  "&amp;'1 Pers.Ausgaben|Pers Expenses'!$C$4</f>
        <v>Monatsbeträge für  2019</v>
      </c>
      <c r="CX36" s="971" t="str">
        <f ca="1">"Monthly sum for "&amp;'1 Pers.Ausgaben|Pers Expenses'!$C$4</f>
        <v>Monthly sum for 2019</v>
      </c>
    </row>
    <row r="37" spans="1:132" s="60" customFormat="1" x14ac:dyDescent="0.2">
      <c r="A37" s="176"/>
      <c r="B37" s="710" t="str">
        <f>IF($C$2="English",CX37,CW37)</f>
        <v>Zins Fremdkapital</v>
      </c>
      <c r="C37" s="710"/>
      <c r="D37" s="711">
        <f>F143</f>
        <v>0</v>
      </c>
      <c r="E37" s="134">
        <f>F144</f>
        <v>0</v>
      </c>
      <c r="F37" s="134">
        <f>F145</f>
        <v>0</v>
      </c>
      <c r="G37" s="134">
        <f>F146</f>
        <v>0</v>
      </c>
      <c r="H37" s="134">
        <f>F147</f>
        <v>0</v>
      </c>
      <c r="I37" s="134">
        <f>F148</f>
        <v>0</v>
      </c>
      <c r="J37" s="134">
        <f>F149</f>
        <v>0</v>
      </c>
      <c r="K37" s="134">
        <f>F150</f>
        <v>0</v>
      </c>
      <c r="L37" s="134">
        <f>F151</f>
        <v>0</v>
      </c>
      <c r="M37" s="134">
        <f>F152</f>
        <v>0</v>
      </c>
      <c r="N37" s="134">
        <f>F153</f>
        <v>0</v>
      </c>
      <c r="O37" s="308">
        <f>F154</f>
        <v>0</v>
      </c>
      <c r="P37" s="308">
        <f>SUM(D37:O37)</f>
        <v>0</v>
      </c>
      <c r="Q37" s="656"/>
      <c r="R37" s="656"/>
      <c r="S37" s="707"/>
      <c r="T37" s="656"/>
      <c r="U37" s="656"/>
      <c r="V37" s="656"/>
      <c r="W37" s="656"/>
      <c r="X37" s="656"/>
      <c r="Y37" s="656"/>
      <c r="Z37" s="656"/>
      <c r="AA37" s="656"/>
      <c r="AB37" s="656"/>
      <c r="AC37" s="656"/>
      <c r="AD37" s="656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63"/>
      <c r="BE37" s="563"/>
      <c r="BF37" s="563"/>
      <c r="BG37" s="563"/>
      <c r="BH37" s="563"/>
      <c r="BI37" s="563"/>
      <c r="BJ37" s="563"/>
      <c r="BK37" s="563"/>
      <c r="BL37" s="426"/>
      <c r="BM37" s="426"/>
      <c r="BN37" s="426"/>
      <c r="BO37" s="426"/>
      <c r="BP37" s="426"/>
      <c r="BQ37" s="426"/>
      <c r="BR37" s="426"/>
      <c r="BS37" s="426"/>
      <c r="BT37" s="426"/>
      <c r="BU37" s="712"/>
      <c r="BV37" s="426"/>
      <c r="BW37" s="426"/>
      <c r="BX37" s="426"/>
      <c r="BY37" s="426"/>
      <c r="BZ37" s="426"/>
      <c r="CA37" s="426"/>
      <c r="CB37" s="426"/>
      <c r="CC37" s="426"/>
      <c r="CD37" s="426"/>
      <c r="CE37" s="426"/>
      <c r="CF37" s="426"/>
      <c r="CG37" s="426"/>
      <c r="CH37" s="426"/>
      <c r="CI37" s="426"/>
      <c r="CJ37" s="426"/>
      <c r="CK37" s="426"/>
      <c r="CL37" s="426"/>
      <c r="CM37" s="426"/>
      <c r="CN37" s="426"/>
      <c r="CO37" s="426"/>
      <c r="CP37" s="426"/>
      <c r="CQ37" s="426"/>
      <c r="CR37" s="426"/>
      <c r="CS37" s="426"/>
      <c r="CT37" s="426"/>
      <c r="CU37" s="426"/>
      <c r="CV37" s="426"/>
      <c r="CW37" s="189" t="s">
        <v>97</v>
      </c>
      <c r="CX37" s="971" t="s">
        <v>378</v>
      </c>
      <c r="CY37" s="426"/>
      <c r="CZ37" s="426"/>
      <c r="DA37" s="426"/>
      <c r="DB37" s="426"/>
      <c r="DC37" s="426"/>
      <c r="DD37" s="426"/>
      <c r="DE37" s="426"/>
      <c r="DF37" s="426"/>
      <c r="DG37" s="426"/>
      <c r="DH37" s="426"/>
      <c r="DI37" s="426"/>
      <c r="DJ37" s="426"/>
      <c r="DK37" s="426"/>
      <c r="DL37" s="426"/>
      <c r="DM37" s="426"/>
      <c r="DN37" s="426"/>
      <c r="DO37" s="426"/>
      <c r="DP37" s="426"/>
      <c r="DQ37" s="426"/>
      <c r="DR37" s="426"/>
      <c r="DS37" s="426"/>
      <c r="DT37" s="426"/>
      <c r="DU37" s="426"/>
      <c r="DV37" s="426"/>
      <c r="DW37" s="426"/>
      <c r="DX37" s="426"/>
      <c r="DY37" s="426"/>
      <c r="DZ37" s="713"/>
      <c r="EA37" s="40"/>
      <c r="EB37" s="40"/>
    </row>
    <row r="38" spans="1:132" ht="15" thickBot="1" x14ac:dyDescent="0.25">
      <c r="A38" s="57"/>
      <c r="B38" s="710" t="str">
        <f>IF($C$2="English",CX38,CW38)</f>
        <v>Tilgung Fremdkapital</v>
      </c>
      <c r="C38" s="710"/>
      <c r="D38" s="711">
        <f>E143</f>
        <v>0</v>
      </c>
      <c r="E38" s="134">
        <f>E144</f>
        <v>0</v>
      </c>
      <c r="F38" s="134">
        <f>E145</f>
        <v>0</v>
      </c>
      <c r="G38" s="134">
        <f>E146</f>
        <v>0</v>
      </c>
      <c r="H38" s="134">
        <f>E147</f>
        <v>0</v>
      </c>
      <c r="I38" s="134">
        <f>E148</f>
        <v>0</v>
      </c>
      <c r="J38" s="134">
        <f>E149</f>
        <v>0</v>
      </c>
      <c r="K38" s="134">
        <f>E150</f>
        <v>0</v>
      </c>
      <c r="L38" s="134">
        <f>E151</f>
        <v>0</v>
      </c>
      <c r="M38" s="134">
        <f>E152</f>
        <v>0</v>
      </c>
      <c r="N38" s="134">
        <f>E153</f>
        <v>0</v>
      </c>
      <c r="O38" s="308">
        <f>E154</f>
        <v>0</v>
      </c>
      <c r="P38" s="308">
        <f>SUM(D38:O38)</f>
        <v>0</v>
      </c>
      <c r="S38" s="707"/>
      <c r="T38" s="656"/>
      <c r="U38" s="656"/>
      <c r="V38" s="656"/>
      <c r="W38" s="656"/>
      <c r="X38" s="656"/>
      <c r="Y38" s="656"/>
      <c r="Z38" s="656"/>
      <c r="AA38" s="656"/>
      <c r="AB38" s="656"/>
      <c r="AC38" s="656"/>
      <c r="AD38" s="65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CW38" s="189" t="s">
        <v>98</v>
      </c>
      <c r="CX38" s="228" t="s">
        <v>717</v>
      </c>
    </row>
    <row r="39" spans="1:132" ht="15.75" thickTop="1" thickBot="1" x14ac:dyDescent="0.25">
      <c r="B39" s="1696" t="str">
        <f>IF($C$2="English",CX39,CW39)</f>
        <v>Belastung gesamt</v>
      </c>
      <c r="C39" s="1697"/>
      <c r="D39" s="714">
        <f>D38+D37</f>
        <v>0</v>
      </c>
      <c r="E39" s="317">
        <f t="shared" ref="E39:O39" si="2">E38+E37</f>
        <v>0</v>
      </c>
      <c r="F39" s="317">
        <f t="shared" si="2"/>
        <v>0</v>
      </c>
      <c r="G39" s="317">
        <f t="shared" si="2"/>
        <v>0</v>
      </c>
      <c r="H39" s="317">
        <f t="shared" si="2"/>
        <v>0</v>
      </c>
      <c r="I39" s="317">
        <f t="shared" si="2"/>
        <v>0</v>
      </c>
      <c r="J39" s="317">
        <f t="shared" si="2"/>
        <v>0</v>
      </c>
      <c r="K39" s="317">
        <f t="shared" si="2"/>
        <v>0</v>
      </c>
      <c r="L39" s="317">
        <f t="shared" si="2"/>
        <v>0</v>
      </c>
      <c r="M39" s="317">
        <f t="shared" si="2"/>
        <v>0</v>
      </c>
      <c r="N39" s="317">
        <f t="shared" si="2"/>
        <v>0</v>
      </c>
      <c r="O39" s="318">
        <f t="shared" si="2"/>
        <v>0</v>
      </c>
      <c r="P39" s="318">
        <f>SUM(D39:O39)</f>
        <v>0</v>
      </c>
      <c r="S39" s="707"/>
      <c r="T39" s="656"/>
      <c r="U39" s="656"/>
      <c r="V39" s="656"/>
      <c r="W39" s="656"/>
      <c r="X39" s="656"/>
      <c r="Y39" s="656"/>
      <c r="Z39" s="656"/>
      <c r="AA39" s="656"/>
      <c r="AB39" s="656"/>
      <c r="AC39" s="656"/>
      <c r="AD39" s="65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CW39" s="404" t="s">
        <v>99</v>
      </c>
      <c r="CX39" s="971" t="s">
        <v>718</v>
      </c>
    </row>
    <row r="40" spans="1:132" s="176" customFormat="1" x14ac:dyDescent="0.2">
      <c r="D40" s="177" t="s">
        <v>387</v>
      </c>
      <c r="E40" s="177" t="s">
        <v>388</v>
      </c>
      <c r="F40" s="177" t="s">
        <v>389</v>
      </c>
      <c r="G40" s="177" t="s">
        <v>4</v>
      </c>
      <c r="H40" s="177" t="s">
        <v>310</v>
      </c>
      <c r="I40" s="177" t="s">
        <v>311</v>
      </c>
      <c r="J40" s="177" t="s">
        <v>312</v>
      </c>
      <c r="K40" s="177" t="s">
        <v>84</v>
      </c>
      <c r="L40" s="177" t="s">
        <v>93</v>
      </c>
      <c r="M40" s="177" t="s">
        <v>390</v>
      </c>
      <c r="N40" s="177" t="s">
        <v>95</v>
      </c>
      <c r="O40" s="177" t="s">
        <v>391</v>
      </c>
      <c r="P40" s="177"/>
      <c r="Q40" s="656"/>
      <c r="R40" s="656"/>
      <c r="S40" s="705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7"/>
      <c r="BV40" s="208"/>
      <c r="BW40" s="208"/>
      <c r="BX40" s="208"/>
      <c r="BY40" s="208"/>
      <c r="BZ40" s="382"/>
      <c r="CA40" s="382"/>
      <c r="CB40" s="382"/>
      <c r="CC40" s="382"/>
      <c r="CD40" s="382"/>
      <c r="CE40" s="382"/>
      <c r="CF40" s="382"/>
      <c r="CG40" s="382"/>
      <c r="CH40" s="382"/>
      <c r="CI40" s="382"/>
      <c r="CJ40" s="382"/>
      <c r="CK40" s="382"/>
      <c r="CL40" s="382"/>
      <c r="CM40" s="382"/>
      <c r="CN40" s="382"/>
      <c r="CO40" s="382"/>
      <c r="CP40" s="382"/>
      <c r="CQ40" s="382"/>
      <c r="CR40" s="382"/>
      <c r="CS40" s="382"/>
      <c r="CT40" s="382"/>
      <c r="CU40" s="382"/>
      <c r="CV40" s="382"/>
      <c r="CW40" s="189"/>
      <c r="CX40" s="382"/>
      <c r="CY40" s="382"/>
      <c r="CZ40" s="382"/>
      <c r="DA40" s="382"/>
      <c r="DB40" s="382"/>
      <c r="DC40" s="382"/>
      <c r="DD40" s="382"/>
      <c r="DE40" s="382"/>
      <c r="DF40" s="382"/>
      <c r="DG40" s="382"/>
      <c r="DH40" s="382"/>
      <c r="DI40" s="382"/>
      <c r="DJ40" s="382"/>
      <c r="DK40" s="382"/>
      <c r="DL40" s="382"/>
      <c r="DM40" s="382"/>
      <c r="DN40" s="382"/>
      <c r="DO40" s="382"/>
      <c r="DP40" s="208"/>
      <c r="DQ40" s="208"/>
      <c r="DR40" s="208"/>
      <c r="DS40" s="208"/>
      <c r="DT40" s="208"/>
      <c r="DU40" s="208"/>
      <c r="DV40" s="208"/>
      <c r="DW40" s="208"/>
      <c r="DX40" s="208"/>
      <c r="DY40" s="208"/>
      <c r="DZ40" s="227"/>
      <c r="EA40" s="186"/>
      <c r="EB40" s="186"/>
    </row>
    <row r="41" spans="1:132" s="176" customFormat="1" x14ac:dyDescent="0.2">
      <c r="D41" s="177" t="s">
        <v>91</v>
      </c>
      <c r="E41" s="177" t="s">
        <v>92</v>
      </c>
      <c r="F41" s="177" t="s">
        <v>3</v>
      </c>
      <c r="G41" s="177" t="s">
        <v>4</v>
      </c>
      <c r="H41" s="177" t="s">
        <v>5</v>
      </c>
      <c r="I41" s="177" t="s">
        <v>6</v>
      </c>
      <c r="J41" s="177" t="s">
        <v>7</v>
      </c>
      <c r="K41" s="177" t="s">
        <v>84</v>
      </c>
      <c r="L41" s="177" t="s">
        <v>93</v>
      </c>
      <c r="M41" s="177" t="s">
        <v>94</v>
      </c>
      <c r="N41" s="177" t="s">
        <v>95</v>
      </c>
      <c r="O41" s="177" t="s">
        <v>96</v>
      </c>
      <c r="P41" s="177"/>
      <c r="Q41" s="656"/>
      <c r="R41" s="656"/>
      <c r="S41" s="705"/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8"/>
      <c r="BO41" s="208"/>
      <c r="BP41" s="208"/>
      <c r="BQ41" s="208"/>
      <c r="BR41" s="208"/>
      <c r="BS41" s="208"/>
      <c r="BT41" s="208"/>
      <c r="BU41" s="207"/>
      <c r="BV41" s="208"/>
      <c r="BW41" s="208"/>
      <c r="BX41" s="208"/>
      <c r="BY41" s="208"/>
      <c r="BZ41" s="382"/>
      <c r="CA41" s="382"/>
      <c r="CB41" s="382"/>
      <c r="CC41" s="382"/>
      <c r="CD41" s="382"/>
      <c r="CE41" s="382"/>
      <c r="CF41" s="382"/>
      <c r="CG41" s="382"/>
      <c r="CH41" s="382"/>
      <c r="CI41" s="382"/>
      <c r="CJ41" s="382"/>
      <c r="CK41" s="382"/>
      <c r="CL41" s="382"/>
      <c r="CM41" s="382"/>
      <c r="CN41" s="382"/>
      <c r="CO41" s="382"/>
      <c r="CP41" s="382"/>
      <c r="CQ41" s="382"/>
      <c r="CR41" s="382"/>
      <c r="CS41" s="382"/>
      <c r="CT41" s="382"/>
      <c r="CU41" s="382"/>
      <c r="CV41" s="382"/>
      <c r="CW41" s="189"/>
      <c r="CX41" s="382"/>
      <c r="CY41" s="382"/>
      <c r="CZ41" s="382"/>
      <c r="DA41" s="382"/>
      <c r="DB41" s="382"/>
      <c r="DC41" s="382"/>
      <c r="DD41" s="382"/>
      <c r="DE41" s="382"/>
      <c r="DF41" s="382"/>
      <c r="DG41" s="382"/>
      <c r="DH41" s="382"/>
      <c r="DI41" s="382"/>
      <c r="DJ41" s="382"/>
      <c r="DK41" s="382"/>
      <c r="DL41" s="382"/>
      <c r="DM41" s="382"/>
      <c r="DN41" s="382"/>
      <c r="DO41" s="382"/>
      <c r="DP41" s="208"/>
      <c r="DQ41" s="208"/>
      <c r="DR41" s="208"/>
      <c r="DS41" s="208"/>
      <c r="DT41" s="208"/>
      <c r="DU41" s="208"/>
      <c r="DV41" s="208"/>
      <c r="DW41" s="208"/>
      <c r="DX41" s="208"/>
      <c r="DY41" s="208"/>
      <c r="DZ41" s="227"/>
      <c r="EA41" s="186"/>
      <c r="EB41" s="186"/>
    </row>
    <row r="42" spans="1:132" s="176" customFormat="1" ht="24.75" x14ac:dyDescent="0.3">
      <c r="B42" s="397" t="str">
        <f ca="1">IF($C$2="English",CX42,CW42)</f>
        <v>7b-2  Kapitaldienst für die Monate des Jahres 2020 in EUR0</v>
      </c>
      <c r="C42" s="715"/>
      <c r="D42" s="716"/>
      <c r="E42" s="716"/>
      <c r="F42" s="716"/>
      <c r="G42" s="716"/>
      <c r="H42" s="716"/>
      <c r="I42" s="716"/>
      <c r="J42" s="716"/>
      <c r="K42" s="716"/>
      <c r="L42" s="716"/>
      <c r="M42" s="716"/>
      <c r="N42" s="716"/>
      <c r="O42" s="716"/>
      <c r="P42" s="716"/>
      <c r="Q42" s="656"/>
      <c r="R42" s="656"/>
      <c r="S42" s="705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7"/>
      <c r="BV42" s="208"/>
      <c r="BW42" s="208"/>
      <c r="BX42" s="208"/>
      <c r="BY42" s="208"/>
      <c r="BZ42" s="382"/>
      <c r="CA42" s="382"/>
      <c r="CB42" s="382"/>
      <c r="CC42" s="382"/>
      <c r="CD42" s="382"/>
      <c r="CE42" s="382"/>
      <c r="CF42" s="382"/>
      <c r="CG42" s="382"/>
      <c r="CH42" s="382"/>
      <c r="CI42" s="382"/>
      <c r="CJ42" s="382"/>
      <c r="CK42" s="382"/>
      <c r="CL42" s="382"/>
      <c r="CM42" s="382"/>
      <c r="CN42" s="382"/>
      <c r="CO42" s="382"/>
      <c r="CP42" s="382"/>
      <c r="CQ42" s="382"/>
      <c r="CR42" s="382"/>
      <c r="CS42" s="382"/>
      <c r="CT42" s="382"/>
      <c r="CU42" s="382"/>
      <c r="CV42" s="382"/>
      <c r="CW42" s="404" t="str">
        <f ca="1">"7b-2  Kapitaldienst für die Monate des Jahres " &amp; $D$7+1 &amp; " in EUR0"</f>
        <v>7b-2  Kapitaldienst für die Monate des Jahres 2020 in EUR0</v>
      </c>
      <c r="CX42" s="971" t="str">
        <f ca="1">"7b-2 Interest and repayment for the months of the year "  &amp; $D$7+1 &amp; " in EUR0"</f>
        <v>7b-2 Interest and repayment for the months of the year 2020 in EUR0</v>
      </c>
      <c r="CY42" s="382"/>
      <c r="CZ42" s="382"/>
      <c r="DA42" s="382"/>
      <c r="DB42" s="382"/>
      <c r="DC42" s="382"/>
      <c r="DD42" s="382"/>
      <c r="DE42" s="382"/>
      <c r="DF42" s="382"/>
      <c r="DG42" s="382"/>
      <c r="DH42" s="382"/>
      <c r="DI42" s="382"/>
      <c r="DJ42" s="382"/>
      <c r="DK42" s="382"/>
      <c r="DL42" s="382"/>
      <c r="DM42" s="382"/>
      <c r="DN42" s="382"/>
      <c r="DO42" s="382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27"/>
      <c r="EA42" s="186"/>
      <c r="EB42" s="186"/>
    </row>
    <row r="43" spans="1:132" s="176" customFormat="1" ht="15" thickBot="1" x14ac:dyDescent="0.25">
      <c r="D43" s="363">
        <v>1</v>
      </c>
      <c r="E43" s="363">
        <v>2</v>
      </c>
      <c r="F43" s="363">
        <v>3</v>
      </c>
      <c r="G43" s="363">
        <v>4</v>
      </c>
      <c r="H43" s="363">
        <v>5</v>
      </c>
      <c r="I43" s="363">
        <v>6</v>
      </c>
      <c r="J43" s="363">
        <v>7</v>
      </c>
      <c r="K43" s="363">
        <v>8</v>
      </c>
      <c r="L43" s="363">
        <v>9</v>
      </c>
      <c r="M43" s="363">
        <v>10</v>
      </c>
      <c r="N43" s="363">
        <v>11</v>
      </c>
      <c r="O43" s="363">
        <v>12</v>
      </c>
      <c r="P43" s="202"/>
      <c r="Q43" s="656"/>
      <c r="R43" s="656"/>
      <c r="S43" s="705"/>
      <c r="BD43" s="208"/>
      <c r="BE43" s="208"/>
      <c r="BF43" s="208"/>
      <c r="BG43" s="208"/>
      <c r="BH43" s="208"/>
      <c r="BI43" s="208"/>
      <c r="BJ43" s="208"/>
      <c r="BK43" s="208"/>
      <c r="BL43" s="208"/>
      <c r="BM43" s="208"/>
      <c r="BN43" s="208"/>
      <c r="BO43" s="208"/>
      <c r="BP43" s="208"/>
      <c r="BQ43" s="208"/>
      <c r="BR43" s="208"/>
      <c r="BS43" s="208"/>
      <c r="BT43" s="208"/>
      <c r="BU43" s="207"/>
      <c r="BV43" s="208"/>
      <c r="BW43" s="208"/>
      <c r="BX43" s="208"/>
      <c r="BY43" s="208"/>
      <c r="BZ43" s="382"/>
      <c r="CA43" s="382"/>
      <c r="CB43" s="382"/>
      <c r="CC43" s="382"/>
      <c r="CD43" s="382"/>
      <c r="CE43" s="382"/>
      <c r="CF43" s="382"/>
      <c r="CG43" s="382"/>
      <c r="CH43" s="382"/>
      <c r="CI43" s="382"/>
      <c r="CJ43" s="382"/>
      <c r="CK43" s="382"/>
      <c r="CL43" s="382"/>
      <c r="CM43" s="382"/>
      <c r="CN43" s="382"/>
      <c r="CO43" s="382"/>
      <c r="CP43" s="382"/>
      <c r="CQ43" s="382"/>
      <c r="CR43" s="382"/>
      <c r="CS43" s="382"/>
      <c r="CT43" s="382"/>
      <c r="CU43" s="382"/>
      <c r="CV43" s="382"/>
      <c r="CW43" s="189"/>
      <c r="CX43" s="382"/>
      <c r="CY43" s="382"/>
      <c r="CZ43" s="382"/>
      <c r="DA43" s="382"/>
      <c r="DB43" s="382"/>
      <c r="DC43" s="382"/>
      <c r="DD43" s="382"/>
      <c r="DE43" s="382"/>
      <c r="DF43" s="382"/>
      <c r="DG43" s="382"/>
      <c r="DH43" s="382"/>
      <c r="DI43" s="382"/>
      <c r="DJ43" s="382"/>
      <c r="DK43" s="382"/>
      <c r="DL43" s="382"/>
      <c r="DM43" s="382"/>
      <c r="DN43" s="382"/>
      <c r="DO43" s="382"/>
      <c r="DP43" s="208"/>
      <c r="DQ43" s="208"/>
      <c r="DR43" s="208"/>
      <c r="DS43" s="208"/>
      <c r="DT43" s="208"/>
      <c r="DU43" s="208"/>
      <c r="DV43" s="208"/>
      <c r="DW43" s="208"/>
      <c r="DX43" s="208"/>
      <c r="DY43" s="208"/>
      <c r="DZ43" s="227"/>
      <c r="EA43" s="186"/>
      <c r="EB43" s="186"/>
    </row>
    <row r="44" spans="1:132" ht="15" thickBot="1" x14ac:dyDescent="0.25">
      <c r="B44" s="708" t="str">
        <f ca="1">IF($C$2="English",CX44,CW44)</f>
        <v>Monatsbeträge für  2020</v>
      </c>
      <c r="C44" s="708"/>
      <c r="D44" s="709" t="str">
        <f>D36</f>
        <v>Januar</v>
      </c>
      <c r="E44" s="709" t="str">
        <f t="shared" ref="E44:O44" si="3">E36</f>
        <v>Februar</v>
      </c>
      <c r="F44" s="709" t="str">
        <f t="shared" si="3"/>
        <v>März</v>
      </c>
      <c r="G44" s="709" t="str">
        <f t="shared" si="3"/>
        <v>April</v>
      </c>
      <c r="H44" s="709" t="str">
        <f t="shared" si="3"/>
        <v>Mai</v>
      </c>
      <c r="I44" s="709" t="str">
        <f t="shared" si="3"/>
        <v>Juni</v>
      </c>
      <c r="J44" s="709" t="str">
        <f t="shared" si="3"/>
        <v>Juli</v>
      </c>
      <c r="K44" s="709" t="str">
        <f t="shared" si="3"/>
        <v>August</v>
      </c>
      <c r="L44" s="709" t="str">
        <f t="shared" si="3"/>
        <v>September</v>
      </c>
      <c r="M44" s="709" t="str">
        <f t="shared" si="3"/>
        <v>Oktober</v>
      </c>
      <c r="N44" s="709" t="str">
        <f t="shared" si="3"/>
        <v>November</v>
      </c>
      <c r="O44" s="709" t="str">
        <f t="shared" si="3"/>
        <v>Dezember</v>
      </c>
      <c r="P44" s="709" t="str">
        <f ca="1">IF($C$2="English","Year "&amp;'1 Pers.Ausgaben|Pers Expenses'!$C$4+1,"Jahr "&amp;'1 Pers.Ausgaben|Pers Expenses'!$C$4+1)</f>
        <v>Jahr 2020</v>
      </c>
      <c r="S44" s="705"/>
      <c r="T44" s="176"/>
      <c r="U44" s="176"/>
      <c r="V44" s="176"/>
      <c r="W44" s="176"/>
      <c r="X44" s="176"/>
      <c r="Y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CW44" s="40" t="str">
        <f ca="1">"Monatsbeträge für  "&amp;'1 Pers.Ausgaben|Pers Expenses'!$C$4+1</f>
        <v>Monatsbeträge für  2020</v>
      </c>
      <c r="CX44" s="971" t="str">
        <f ca="1">"Monthly sum for "&amp;'1 Pers.Ausgaben|Pers Expenses'!$C$4+1</f>
        <v>Monthly sum for 2020</v>
      </c>
    </row>
    <row r="45" spans="1:132" x14ac:dyDescent="0.2">
      <c r="B45" s="710" t="str">
        <f>B37</f>
        <v>Zins Fremdkapital</v>
      </c>
      <c r="C45" s="710"/>
      <c r="D45" s="711">
        <f>F155</f>
        <v>0</v>
      </c>
      <c r="E45" s="134">
        <f>F156</f>
        <v>0</v>
      </c>
      <c r="F45" s="134">
        <f>F157</f>
        <v>0</v>
      </c>
      <c r="G45" s="134">
        <f>F158</f>
        <v>0</v>
      </c>
      <c r="H45" s="134">
        <f>F159</f>
        <v>0</v>
      </c>
      <c r="I45" s="134">
        <f>F160</f>
        <v>0</v>
      </c>
      <c r="J45" s="134">
        <f>F161</f>
        <v>0</v>
      </c>
      <c r="K45" s="134">
        <f>F162</f>
        <v>0</v>
      </c>
      <c r="L45" s="134">
        <f>F163</f>
        <v>0</v>
      </c>
      <c r="M45" s="134">
        <f>F164</f>
        <v>0</v>
      </c>
      <c r="N45" s="134">
        <f>F165</f>
        <v>0</v>
      </c>
      <c r="O45" s="308">
        <f>F166</f>
        <v>0</v>
      </c>
      <c r="P45" s="308">
        <f>SUM(D45:O45)</f>
        <v>0</v>
      </c>
      <c r="S45" s="705"/>
      <c r="T45" s="176"/>
      <c r="U45" s="176"/>
      <c r="V45" s="176"/>
      <c r="W45" s="176"/>
      <c r="X45" s="176"/>
      <c r="Y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CW45" s="189" t="s">
        <v>97</v>
      </c>
      <c r="CX45" s="971" t="str">
        <f>CX37</f>
        <v>Interest outside capital</v>
      </c>
    </row>
    <row r="46" spans="1:132" ht="15" thickBot="1" x14ac:dyDescent="0.25">
      <c r="B46" s="710" t="str">
        <f>B38</f>
        <v>Tilgung Fremdkapital</v>
      </c>
      <c r="C46" s="710"/>
      <c r="D46" s="711">
        <f>E155</f>
        <v>0</v>
      </c>
      <c r="E46" s="134">
        <f>E156</f>
        <v>0</v>
      </c>
      <c r="F46" s="134">
        <f>E157</f>
        <v>0</v>
      </c>
      <c r="G46" s="134">
        <f>E158</f>
        <v>0</v>
      </c>
      <c r="H46" s="134">
        <f>E159</f>
        <v>0</v>
      </c>
      <c r="I46" s="134">
        <f>E160</f>
        <v>0</v>
      </c>
      <c r="J46" s="134">
        <f>E161</f>
        <v>0</v>
      </c>
      <c r="K46" s="134">
        <f>E162</f>
        <v>0</v>
      </c>
      <c r="L46" s="134">
        <f>E163</f>
        <v>0</v>
      </c>
      <c r="M46" s="134">
        <f>E164</f>
        <v>0</v>
      </c>
      <c r="N46" s="134">
        <f>E165</f>
        <v>0</v>
      </c>
      <c r="O46" s="308">
        <f>E166</f>
        <v>0</v>
      </c>
      <c r="P46" s="308">
        <f>SUM(D46:O46)</f>
        <v>0</v>
      </c>
      <c r="S46" s="705"/>
      <c r="T46" s="176"/>
      <c r="U46" s="176"/>
      <c r="V46" s="176"/>
      <c r="W46" s="176"/>
      <c r="X46" s="176"/>
      <c r="Y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CW46" s="189" t="s">
        <v>98</v>
      </c>
      <c r="CX46" s="971" t="str">
        <f>CX38</f>
        <v>Repayment outside capital</v>
      </c>
    </row>
    <row r="47" spans="1:132" ht="15.75" thickTop="1" thickBot="1" x14ac:dyDescent="0.25">
      <c r="B47" s="1696" t="str">
        <f>B39</f>
        <v>Belastung gesamt</v>
      </c>
      <c r="C47" s="1697"/>
      <c r="D47" s="714">
        <f t="shared" ref="D47:O47" si="4">D46+D45</f>
        <v>0</v>
      </c>
      <c r="E47" s="317">
        <f t="shared" si="4"/>
        <v>0</v>
      </c>
      <c r="F47" s="317">
        <f t="shared" si="4"/>
        <v>0</v>
      </c>
      <c r="G47" s="317">
        <f t="shared" si="4"/>
        <v>0</v>
      </c>
      <c r="H47" s="317">
        <f t="shared" si="4"/>
        <v>0</v>
      </c>
      <c r="I47" s="317">
        <f t="shared" si="4"/>
        <v>0</v>
      </c>
      <c r="J47" s="317">
        <f t="shared" si="4"/>
        <v>0</v>
      </c>
      <c r="K47" s="317">
        <f t="shared" si="4"/>
        <v>0</v>
      </c>
      <c r="L47" s="317">
        <f t="shared" si="4"/>
        <v>0</v>
      </c>
      <c r="M47" s="317">
        <f t="shared" si="4"/>
        <v>0</v>
      </c>
      <c r="N47" s="317">
        <f t="shared" si="4"/>
        <v>0</v>
      </c>
      <c r="O47" s="318">
        <f t="shared" si="4"/>
        <v>0</v>
      </c>
      <c r="P47" s="318">
        <f>SUM(D47:O47)</f>
        <v>0</v>
      </c>
      <c r="S47" s="705"/>
      <c r="T47" s="176"/>
      <c r="U47" s="176"/>
      <c r="V47" s="176"/>
      <c r="W47" s="176"/>
      <c r="X47" s="176"/>
      <c r="Y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CW47" s="404" t="s">
        <v>99</v>
      </c>
      <c r="CX47" s="971" t="str">
        <f>CX39</f>
        <v>Total load</v>
      </c>
    </row>
    <row r="48" spans="1:132" s="176" customFormat="1" x14ac:dyDescent="0.2">
      <c r="B48" s="715"/>
      <c r="C48" s="715"/>
      <c r="D48" s="1034"/>
      <c r="E48" s="1034"/>
      <c r="F48" s="1034"/>
      <c r="G48" s="1034"/>
      <c r="H48" s="1034"/>
      <c r="I48" s="1034"/>
      <c r="J48" s="1034"/>
      <c r="K48" s="1034"/>
      <c r="L48" s="1034"/>
      <c r="M48" s="1034"/>
      <c r="N48" s="1034"/>
      <c r="O48" s="1034"/>
      <c r="P48" s="1034"/>
      <c r="Q48" s="656"/>
      <c r="R48" s="656"/>
      <c r="S48" s="705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7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715"/>
      <c r="CX48" s="227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208"/>
      <c r="DK48" s="208"/>
      <c r="DL48" s="208"/>
      <c r="DM48" s="208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  <c r="DX48" s="208"/>
      <c r="DY48" s="208"/>
      <c r="DZ48" s="227"/>
      <c r="EA48" s="186"/>
      <c r="EB48" s="186"/>
    </row>
    <row r="49" spans="2:132" s="176" customFormat="1" ht="18" x14ac:dyDescent="0.25">
      <c r="B49" s="715"/>
      <c r="C49" s="715"/>
      <c r="D49" s="1034"/>
      <c r="E49" s="1034"/>
      <c r="F49" s="1034"/>
      <c r="G49" s="1034"/>
      <c r="H49" s="1034"/>
      <c r="I49" s="1034"/>
      <c r="J49" s="1034"/>
      <c r="K49" s="1034"/>
      <c r="L49" s="1034"/>
      <c r="M49" s="1058" t="str">
        <f ca="1">IF($C$2="English",CX49,CW49)</f>
        <v>Monatliche Zins- und Tilgungsraten für die Jahre 2019 - 2023 (EUR)</v>
      </c>
      <c r="N49" s="1034"/>
      <c r="O49" s="1034"/>
      <c r="P49" s="1034"/>
      <c r="Q49" s="656"/>
      <c r="R49" s="656"/>
      <c r="S49" s="705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7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189" t="str">
        <f ca="1">"Monatliche Zins- und Tilgungsraten für die Jahre " &amp;'1 Pers.Ausgaben|Pers Expenses'!$C$4 &amp; " - " &amp; '1 Pers.Ausgaben|Pers Expenses'!$C$4+4 &amp;" (EUR)"</f>
        <v>Monatliche Zins- und Tilgungsraten für die Jahre 2019 - 2023 (EUR)</v>
      </c>
      <c r="CX49" s="382" t="str">
        <f ca="1">"Monthly Rate of Interest and Repayment for the Year " &amp;'1 Pers.Ausgaben|Pers Expenses'!$C$4 &amp; "- " &amp; '1 Pers.Ausgaben|Pers Expenses'!$C$4+4&amp; " (EUR)"</f>
        <v>Monthly Rate of Interest and Repayment for the Year 2019- 2023 (EUR)</v>
      </c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27"/>
      <c r="EA49" s="186"/>
      <c r="EB49" s="186"/>
    </row>
    <row r="50" spans="2:132" s="176" customFormat="1" x14ac:dyDescent="0.2">
      <c r="Q50" s="656"/>
      <c r="R50" s="656"/>
      <c r="S50" s="705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7"/>
      <c r="BV50" s="208"/>
      <c r="BW50" s="208"/>
      <c r="BX50" s="208"/>
      <c r="BY50" s="208"/>
      <c r="BZ50" s="382"/>
      <c r="CA50" s="382"/>
      <c r="CB50" s="382"/>
      <c r="CC50" s="382"/>
      <c r="CD50" s="382"/>
      <c r="CE50" s="382"/>
      <c r="CF50" s="382"/>
      <c r="CG50" s="382"/>
      <c r="CH50" s="382"/>
      <c r="CI50" s="382"/>
      <c r="CJ50" s="382"/>
      <c r="CK50" s="382"/>
      <c r="CL50" s="382"/>
      <c r="CM50" s="382"/>
      <c r="CN50" s="382"/>
      <c r="CO50" s="382"/>
      <c r="CP50" s="382"/>
      <c r="CQ50" s="382"/>
      <c r="CR50" s="382"/>
      <c r="CS50" s="382"/>
      <c r="CT50" s="382"/>
      <c r="CU50" s="382"/>
      <c r="CV50" s="382"/>
      <c r="CW50" s="189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2"/>
      <c r="DJ50" s="382"/>
      <c r="DK50" s="382"/>
      <c r="DL50" s="382"/>
      <c r="DM50" s="382"/>
      <c r="DN50" s="382"/>
      <c r="DO50" s="382"/>
      <c r="DP50" s="208"/>
      <c r="DQ50" s="208"/>
      <c r="DR50" s="208"/>
      <c r="DS50" s="208"/>
      <c r="DT50" s="208"/>
      <c r="DU50" s="208"/>
      <c r="DV50" s="208"/>
      <c r="DW50" s="208"/>
      <c r="DX50" s="208"/>
      <c r="DY50" s="208"/>
      <c r="DZ50" s="227"/>
      <c r="EA50" s="186"/>
      <c r="EB50" s="186"/>
    </row>
    <row r="51" spans="2:132" s="176" customFormat="1" x14ac:dyDescent="0.2">
      <c r="Q51" s="656"/>
      <c r="R51" s="656"/>
      <c r="S51" s="705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7"/>
      <c r="BV51" s="208"/>
      <c r="BW51" s="208"/>
      <c r="BX51" s="208"/>
      <c r="BY51" s="208"/>
      <c r="BZ51" s="382"/>
      <c r="CA51" s="382"/>
      <c r="CB51" s="382"/>
      <c r="CC51" s="382"/>
      <c r="CD51" s="382"/>
      <c r="CE51" s="382"/>
      <c r="CF51" s="382"/>
      <c r="CG51" s="382"/>
      <c r="CH51" s="382"/>
      <c r="CI51" s="382"/>
      <c r="CJ51" s="382"/>
      <c r="CK51" s="382"/>
      <c r="CL51" s="382"/>
      <c r="CM51" s="382"/>
      <c r="CN51" s="382"/>
      <c r="CO51" s="382"/>
      <c r="CP51" s="382"/>
      <c r="CQ51" s="382"/>
      <c r="CR51" s="382"/>
      <c r="CS51" s="382"/>
      <c r="CT51" s="382"/>
      <c r="CU51" s="382"/>
      <c r="CV51" s="382"/>
      <c r="CW51" s="189"/>
      <c r="CX51" s="382"/>
      <c r="CY51" s="382"/>
      <c r="CZ51" s="382"/>
      <c r="DA51" s="382"/>
      <c r="DB51" s="382"/>
      <c r="DC51" s="382"/>
      <c r="DD51" s="382"/>
      <c r="DE51" s="382"/>
      <c r="DF51" s="382"/>
      <c r="DG51" s="382"/>
      <c r="DH51" s="382"/>
      <c r="DI51" s="382"/>
      <c r="DJ51" s="382"/>
      <c r="DK51" s="382"/>
      <c r="DL51" s="382"/>
      <c r="DM51" s="382"/>
      <c r="DN51" s="382"/>
      <c r="DO51" s="382"/>
      <c r="DP51" s="208"/>
      <c r="DQ51" s="208"/>
      <c r="DR51" s="208"/>
      <c r="DS51" s="208"/>
      <c r="DT51" s="208"/>
      <c r="DU51" s="208"/>
      <c r="DV51" s="208"/>
      <c r="DW51" s="208"/>
      <c r="DX51" s="208"/>
      <c r="DY51" s="208"/>
      <c r="DZ51" s="227"/>
      <c r="EA51" s="186"/>
      <c r="EB51" s="186"/>
    </row>
    <row r="52" spans="2:132" s="176" customFormat="1" x14ac:dyDescent="0.2">
      <c r="I52" s="57"/>
      <c r="J52" s="57"/>
      <c r="K52" s="57"/>
      <c r="L52" s="57"/>
      <c r="M52" s="57"/>
      <c r="N52" s="57"/>
      <c r="O52" s="57"/>
      <c r="P52" s="57"/>
      <c r="Q52" s="656"/>
      <c r="R52" s="656"/>
      <c r="S52" s="705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7"/>
      <c r="BV52" s="208"/>
      <c r="BW52" s="208"/>
      <c r="BX52" s="208"/>
      <c r="BY52" s="208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189"/>
      <c r="CX52" s="382"/>
      <c r="CY52" s="382"/>
      <c r="CZ52" s="382"/>
      <c r="DA52" s="382"/>
      <c r="DB52" s="382"/>
      <c r="DC52" s="382"/>
      <c r="DD52" s="382"/>
      <c r="DE52" s="382"/>
      <c r="DF52" s="382"/>
      <c r="DG52" s="382"/>
      <c r="DH52" s="382"/>
      <c r="DI52" s="382"/>
      <c r="DJ52" s="382"/>
      <c r="DK52" s="382"/>
      <c r="DL52" s="382"/>
      <c r="DM52" s="382"/>
      <c r="DN52" s="382"/>
      <c r="DO52" s="382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27"/>
      <c r="EA52" s="186"/>
      <c r="EB52" s="186"/>
    </row>
    <row r="53" spans="2:132" s="176" customFormat="1" ht="24.75" x14ac:dyDescent="0.3">
      <c r="B53" s="397" t="str">
        <f ca="1">IF($C$2="English",CX53,CW53)</f>
        <v>7c  Kapitaldienst für die Jahre 2019 - 2023 in EUR0</v>
      </c>
      <c r="C53" s="715"/>
      <c r="D53" s="716"/>
      <c r="E53" s="716"/>
      <c r="F53" s="716"/>
      <c r="G53" s="716"/>
      <c r="H53" s="716"/>
      <c r="I53" s="202"/>
      <c r="J53" s="202"/>
      <c r="K53" s="208"/>
      <c r="L53" s="208"/>
      <c r="M53" s="208"/>
      <c r="N53" s="208"/>
      <c r="O53" s="208"/>
      <c r="P53" s="208"/>
      <c r="Q53" s="717"/>
      <c r="R53" s="717"/>
      <c r="S53" s="705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382"/>
      <c r="CA53" s="382"/>
      <c r="CB53" s="382"/>
      <c r="CC53" s="382"/>
      <c r="CD53" s="382"/>
      <c r="CE53" s="382"/>
      <c r="CF53" s="382"/>
      <c r="CG53" s="382"/>
      <c r="CH53" s="382"/>
      <c r="CI53" s="382"/>
      <c r="CJ53" s="382"/>
      <c r="CK53" s="382"/>
      <c r="CL53" s="382"/>
      <c r="CM53" s="382"/>
      <c r="CN53" s="382"/>
      <c r="CO53" s="382"/>
      <c r="CP53" s="382"/>
      <c r="CQ53" s="382"/>
      <c r="CR53" s="382"/>
      <c r="CS53" s="382"/>
      <c r="CT53" s="382"/>
      <c r="CU53" s="382"/>
      <c r="CV53" s="382"/>
      <c r="CW53" s="404" t="str">
        <f ca="1">"7c  Kapitaldienst für die Jahre " &amp;$D$7 &amp; " - " &amp; $L$7 &amp; " in EUR0"</f>
        <v>7c  Kapitaldienst für die Jahre 2019 - 2023 in EUR0</v>
      </c>
      <c r="CX53" s="971" t="str">
        <f ca="1">"7c Interest and repayment for the year " &amp;$D$7 &amp; " - " &amp; $L$7 &amp; " in EUR0"</f>
        <v>7c Interest and repayment for the year 2019 - 2023 in EUR0</v>
      </c>
      <c r="CY53" s="382"/>
      <c r="CZ53" s="382"/>
      <c r="DA53" s="382"/>
      <c r="DB53" s="382"/>
      <c r="DC53" s="382"/>
      <c r="DD53" s="382"/>
      <c r="DE53" s="382"/>
      <c r="DF53" s="382"/>
      <c r="DG53" s="382"/>
      <c r="DH53" s="382"/>
      <c r="DI53" s="382"/>
      <c r="DJ53" s="382"/>
      <c r="DK53" s="382"/>
      <c r="DL53" s="382"/>
      <c r="DM53" s="382"/>
      <c r="DN53" s="382"/>
      <c r="DO53" s="382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27"/>
      <c r="EA53" s="186"/>
      <c r="EB53" s="186"/>
    </row>
    <row r="54" spans="2:132" s="176" customFormat="1" ht="15" thickBot="1" x14ac:dyDescent="0.25">
      <c r="I54" s="202"/>
      <c r="J54" s="202"/>
      <c r="K54" s="208"/>
      <c r="L54" s="208"/>
      <c r="M54" s="208"/>
      <c r="N54" s="208"/>
      <c r="O54" s="208"/>
      <c r="P54" s="208"/>
      <c r="Q54" s="717"/>
      <c r="R54" s="717"/>
      <c r="S54" s="705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382"/>
      <c r="CA54" s="382"/>
      <c r="CB54" s="382"/>
      <c r="CC54" s="382"/>
      <c r="CD54" s="382"/>
      <c r="CE54" s="382"/>
      <c r="CF54" s="382"/>
      <c r="CG54" s="382"/>
      <c r="CH54" s="382"/>
      <c r="CI54" s="382"/>
      <c r="CJ54" s="382"/>
      <c r="CK54" s="382"/>
      <c r="CL54" s="382"/>
      <c r="CM54" s="382"/>
      <c r="CN54" s="382"/>
      <c r="CO54" s="382"/>
      <c r="CP54" s="382"/>
      <c r="CQ54" s="382"/>
      <c r="CR54" s="382"/>
      <c r="CS54" s="382"/>
      <c r="CT54" s="382"/>
      <c r="CU54" s="382"/>
      <c r="CV54" s="382"/>
      <c r="CW54" s="189"/>
      <c r="CX54" s="382"/>
      <c r="CY54" s="382"/>
      <c r="CZ54" s="382"/>
      <c r="DA54" s="382"/>
      <c r="DB54" s="382"/>
      <c r="DC54" s="382"/>
      <c r="DD54" s="382"/>
      <c r="DE54" s="382"/>
      <c r="DF54" s="382"/>
      <c r="DG54" s="382"/>
      <c r="DH54" s="382"/>
      <c r="DI54" s="382"/>
      <c r="DJ54" s="382"/>
      <c r="DK54" s="382"/>
      <c r="DL54" s="382"/>
      <c r="DM54" s="382"/>
      <c r="DN54" s="382"/>
      <c r="DO54" s="382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27"/>
      <c r="EA54" s="186"/>
      <c r="EB54" s="186"/>
    </row>
    <row r="55" spans="2:132" s="176" customFormat="1" ht="15" thickBot="1" x14ac:dyDescent="0.25">
      <c r="B55" s="708" t="str">
        <f>IF($C$2="English",CX55,CW55)</f>
        <v>durchschn. Jahresbeträge</v>
      </c>
      <c r="C55" s="708"/>
      <c r="D55" s="709">
        <f ca="1">$D$7</f>
        <v>2019</v>
      </c>
      <c r="E55" s="159">
        <f ca="1">D55+1</f>
        <v>2020</v>
      </c>
      <c r="F55" s="159">
        <f ca="1">E55+1</f>
        <v>2021</v>
      </c>
      <c r="G55" s="159">
        <f ca="1">F55+1</f>
        <v>2022</v>
      </c>
      <c r="H55" s="160">
        <f ca="1">G55+1</f>
        <v>2023</v>
      </c>
      <c r="I55" s="202"/>
      <c r="J55" s="202"/>
      <c r="K55" s="208"/>
      <c r="L55" s="208"/>
      <c r="M55" s="208"/>
      <c r="N55" s="208"/>
      <c r="O55" s="208"/>
      <c r="P55" s="208"/>
      <c r="Q55" s="717"/>
      <c r="R55" s="717"/>
      <c r="S55" s="705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  <c r="BP55" s="208"/>
      <c r="BQ55" s="208"/>
      <c r="BR55" s="208"/>
      <c r="BS55" s="208"/>
      <c r="BT55" s="208"/>
      <c r="BU55" s="208"/>
      <c r="BV55" s="208"/>
      <c r="BW55" s="208"/>
      <c r="BX55" s="208"/>
      <c r="BY55" s="208"/>
      <c r="BZ55" s="382"/>
      <c r="CA55" s="382"/>
      <c r="CB55" s="382"/>
      <c r="CC55" s="382"/>
      <c r="CD55" s="382"/>
      <c r="CE55" s="382"/>
      <c r="CF55" s="382"/>
      <c r="CG55" s="382"/>
      <c r="CH55" s="382"/>
      <c r="CI55" s="382"/>
      <c r="CJ55" s="382"/>
      <c r="CK55" s="382"/>
      <c r="CL55" s="382"/>
      <c r="CM55" s="382"/>
      <c r="CN55" s="382"/>
      <c r="CO55" s="382"/>
      <c r="CP55" s="382"/>
      <c r="CQ55" s="382"/>
      <c r="CR55" s="382"/>
      <c r="CS55" s="382"/>
      <c r="CT55" s="382"/>
      <c r="CU55" s="382"/>
      <c r="CV55" s="382"/>
      <c r="CW55" s="40" t="s">
        <v>100</v>
      </c>
      <c r="CX55" s="228" t="s">
        <v>379</v>
      </c>
      <c r="CY55" s="382"/>
      <c r="CZ55" s="382"/>
      <c r="DA55" s="382"/>
      <c r="DB55" s="382"/>
      <c r="DC55" s="382"/>
      <c r="DD55" s="382"/>
      <c r="DE55" s="382"/>
      <c r="DF55" s="382"/>
      <c r="DG55" s="382"/>
      <c r="DH55" s="382"/>
      <c r="DI55" s="382"/>
      <c r="DJ55" s="382"/>
      <c r="DK55" s="382"/>
      <c r="DL55" s="382"/>
      <c r="DM55" s="382"/>
      <c r="DN55" s="382"/>
      <c r="DO55" s="382"/>
      <c r="DP55" s="208"/>
      <c r="DQ55" s="208"/>
      <c r="DR55" s="208"/>
      <c r="DS55" s="208"/>
      <c r="DT55" s="208"/>
      <c r="DU55" s="208"/>
      <c r="DV55" s="208"/>
      <c r="DW55" s="208"/>
      <c r="DX55" s="208"/>
      <c r="DY55" s="208"/>
      <c r="DZ55" s="227"/>
      <c r="EA55" s="186"/>
      <c r="EB55" s="186"/>
    </row>
    <row r="56" spans="2:132" s="176" customFormat="1" x14ac:dyDescent="0.2">
      <c r="B56" s="710" t="str">
        <f>B45</f>
        <v>Zins Fremdkapital</v>
      </c>
      <c r="C56" s="710"/>
      <c r="D56" s="711">
        <f>SUM(F143:F154)</f>
        <v>0</v>
      </c>
      <c r="E56" s="134">
        <f>SUM(F155:F166)</f>
        <v>0</v>
      </c>
      <c r="F56" s="134">
        <f>SUM(F167:F178)</f>
        <v>0</v>
      </c>
      <c r="G56" s="134">
        <f>SUM(F179:F190)</f>
        <v>0</v>
      </c>
      <c r="H56" s="308">
        <f>SUM(F191:F202)</f>
        <v>0</v>
      </c>
      <c r="I56" s="718"/>
      <c r="J56" s="718"/>
      <c r="K56" s="718"/>
      <c r="L56" s="718"/>
      <c r="M56" s="718"/>
      <c r="N56" s="718"/>
      <c r="O56" s="718"/>
      <c r="P56" s="718"/>
      <c r="Q56" s="719"/>
      <c r="R56" s="719"/>
      <c r="S56" s="705"/>
      <c r="BD56" s="528"/>
      <c r="BE56" s="528"/>
      <c r="BF56" s="528"/>
      <c r="BG56" s="528"/>
      <c r="BH56" s="528"/>
      <c r="BI56" s="528"/>
      <c r="BJ56" s="528"/>
      <c r="BK56" s="528"/>
      <c r="BL56" s="528"/>
      <c r="BM56" s="52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382"/>
      <c r="CA56" s="382"/>
      <c r="CB56" s="382"/>
      <c r="CC56" s="382"/>
      <c r="CD56" s="382"/>
      <c r="CE56" s="382"/>
      <c r="CF56" s="382"/>
      <c r="CG56" s="382"/>
      <c r="CH56" s="382"/>
      <c r="CI56" s="382"/>
      <c r="CJ56" s="382"/>
      <c r="CK56" s="382"/>
      <c r="CL56" s="382"/>
      <c r="CM56" s="382"/>
      <c r="CN56" s="382"/>
      <c r="CO56" s="382"/>
      <c r="CP56" s="382"/>
      <c r="CQ56" s="382"/>
      <c r="CR56" s="382"/>
      <c r="CS56" s="382"/>
      <c r="CT56" s="382"/>
      <c r="CU56" s="382"/>
      <c r="CV56" s="382"/>
      <c r="CW56" s="189" t="s">
        <v>97</v>
      </c>
      <c r="CX56" s="971" t="str">
        <f>CX37</f>
        <v>Interest outside capital</v>
      </c>
      <c r="CY56" s="382"/>
      <c r="CZ56" s="382"/>
      <c r="DA56" s="382"/>
      <c r="DB56" s="382"/>
      <c r="DC56" s="382"/>
      <c r="DD56" s="382"/>
      <c r="DE56" s="382"/>
      <c r="DF56" s="382"/>
      <c r="DG56" s="382"/>
      <c r="DH56" s="382"/>
      <c r="DI56" s="382"/>
      <c r="DJ56" s="382"/>
      <c r="DK56" s="382"/>
      <c r="DL56" s="382"/>
      <c r="DM56" s="382"/>
      <c r="DN56" s="382"/>
      <c r="DO56" s="382"/>
      <c r="DP56" s="208"/>
      <c r="DQ56" s="208"/>
      <c r="DR56" s="208"/>
      <c r="DS56" s="208"/>
      <c r="DT56" s="208"/>
      <c r="DU56" s="208"/>
      <c r="DV56" s="208"/>
      <c r="DW56" s="208"/>
      <c r="DX56" s="208"/>
      <c r="DY56" s="208"/>
      <c r="DZ56" s="227"/>
      <c r="EA56" s="186"/>
      <c r="EB56" s="186"/>
    </row>
    <row r="57" spans="2:132" s="176" customFormat="1" ht="15" thickBot="1" x14ac:dyDescent="0.25">
      <c r="B57" s="710" t="str">
        <f>B46</f>
        <v>Tilgung Fremdkapital</v>
      </c>
      <c r="C57" s="710"/>
      <c r="D57" s="711">
        <f>SUM(E143:E154)</f>
        <v>0</v>
      </c>
      <c r="E57" s="134">
        <f>SUM(E155:E166)</f>
        <v>0</v>
      </c>
      <c r="F57" s="134">
        <f>SUM(E167:E178)</f>
        <v>0</v>
      </c>
      <c r="G57" s="134">
        <f>SUM(E179:E190)</f>
        <v>0</v>
      </c>
      <c r="H57" s="308">
        <f>SUM(E191:E202)</f>
        <v>0</v>
      </c>
      <c r="S57" s="705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382"/>
      <c r="CA57" s="382"/>
      <c r="CB57" s="382"/>
      <c r="CC57" s="382"/>
      <c r="CD57" s="382"/>
      <c r="CE57" s="382"/>
      <c r="CF57" s="382"/>
      <c r="CG57" s="382"/>
      <c r="CH57" s="382"/>
      <c r="CI57" s="382"/>
      <c r="CJ57" s="382"/>
      <c r="CK57" s="382"/>
      <c r="CL57" s="382"/>
      <c r="CM57" s="382"/>
      <c r="CN57" s="382"/>
      <c r="CO57" s="382"/>
      <c r="CP57" s="382"/>
      <c r="CQ57" s="382"/>
      <c r="CR57" s="382"/>
      <c r="CS57" s="382"/>
      <c r="CT57" s="382"/>
      <c r="CU57" s="382"/>
      <c r="CV57" s="382"/>
      <c r="CW57" s="189" t="s">
        <v>98</v>
      </c>
      <c r="CX57" s="971" t="str">
        <f t="shared" ref="CX57:CX58" si="5">CX38</f>
        <v>Repayment outside capital</v>
      </c>
      <c r="CY57" s="382"/>
      <c r="CZ57" s="382"/>
      <c r="DA57" s="382"/>
      <c r="DB57" s="382"/>
      <c r="DC57" s="382"/>
      <c r="DD57" s="382"/>
      <c r="DE57" s="382"/>
      <c r="DF57" s="382"/>
      <c r="DG57" s="382"/>
      <c r="DH57" s="382"/>
      <c r="DI57" s="382"/>
      <c r="DJ57" s="382"/>
      <c r="DK57" s="382"/>
      <c r="DL57" s="382"/>
      <c r="DM57" s="382"/>
      <c r="DN57" s="382"/>
      <c r="DO57" s="382"/>
      <c r="DP57" s="208"/>
      <c r="DQ57" s="208"/>
      <c r="DR57" s="208"/>
      <c r="DS57" s="208"/>
      <c r="DT57" s="208"/>
      <c r="DU57" s="208"/>
      <c r="DV57" s="208"/>
      <c r="DW57" s="208"/>
      <c r="DX57" s="208"/>
      <c r="DY57" s="208"/>
      <c r="DZ57" s="227"/>
      <c r="EA57" s="186"/>
      <c r="EB57" s="186"/>
    </row>
    <row r="58" spans="2:132" s="176" customFormat="1" ht="15.75" thickTop="1" thickBot="1" x14ac:dyDescent="0.25">
      <c r="B58" s="1696" t="str">
        <f>B39</f>
        <v>Belastung gesamt</v>
      </c>
      <c r="C58" s="1697"/>
      <c r="D58" s="714">
        <f>D57+D56</f>
        <v>0</v>
      </c>
      <c r="E58" s="317">
        <f>E57+E56</f>
        <v>0</v>
      </c>
      <c r="F58" s="317">
        <f>F57+F56</f>
        <v>0</v>
      </c>
      <c r="G58" s="317">
        <f>G57+G56</f>
        <v>0</v>
      </c>
      <c r="H58" s="318">
        <f>H57+H56</f>
        <v>0</v>
      </c>
      <c r="I58" s="718"/>
      <c r="J58" s="718"/>
      <c r="K58" s="718"/>
      <c r="L58" s="718"/>
      <c r="M58" s="718"/>
      <c r="N58" s="718"/>
      <c r="O58" s="718"/>
      <c r="P58" s="718"/>
      <c r="Q58" s="720"/>
      <c r="R58" s="720"/>
      <c r="S58" s="705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208"/>
      <c r="BP58" s="208"/>
      <c r="BQ58" s="208"/>
      <c r="BR58" s="208"/>
      <c r="BS58" s="208"/>
      <c r="BT58" s="208"/>
      <c r="BU58" s="208"/>
      <c r="BV58" s="208"/>
      <c r="BW58" s="208"/>
      <c r="BX58" s="208"/>
      <c r="BY58" s="208"/>
      <c r="BZ58" s="382"/>
      <c r="CA58" s="382"/>
      <c r="CB58" s="382"/>
      <c r="CC58" s="382"/>
      <c r="CD58" s="382"/>
      <c r="CE58" s="382"/>
      <c r="CF58" s="382"/>
      <c r="CG58" s="382"/>
      <c r="CH58" s="382"/>
      <c r="CI58" s="382"/>
      <c r="CJ58" s="382"/>
      <c r="CK58" s="382"/>
      <c r="CL58" s="382"/>
      <c r="CM58" s="382"/>
      <c r="CN58" s="382"/>
      <c r="CO58" s="382"/>
      <c r="CP58" s="382"/>
      <c r="CQ58" s="382"/>
      <c r="CR58" s="382"/>
      <c r="CS58" s="382"/>
      <c r="CT58" s="382"/>
      <c r="CU58" s="382"/>
      <c r="CV58" s="382"/>
      <c r="CW58" s="404" t="s">
        <v>99</v>
      </c>
      <c r="CX58" s="971" t="str">
        <f t="shared" si="5"/>
        <v>Total load</v>
      </c>
      <c r="CY58" s="382"/>
      <c r="CZ58" s="382"/>
      <c r="DA58" s="382"/>
      <c r="DB58" s="382"/>
      <c r="DC58" s="382"/>
      <c r="DD58" s="382"/>
      <c r="DE58" s="382"/>
      <c r="DF58" s="382"/>
      <c r="DG58" s="382"/>
      <c r="DH58" s="382"/>
      <c r="DI58" s="382"/>
      <c r="DJ58" s="382"/>
      <c r="DK58" s="382"/>
      <c r="DL58" s="382"/>
      <c r="DM58" s="382"/>
      <c r="DN58" s="382"/>
      <c r="DO58" s="382"/>
      <c r="DP58" s="208"/>
      <c r="DQ58" s="208"/>
      <c r="DR58" s="208"/>
      <c r="DS58" s="208"/>
      <c r="DT58" s="208"/>
      <c r="DU58" s="208"/>
      <c r="DV58" s="208"/>
      <c r="DW58" s="208"/>
      <c r="DX58" s="208"/>
      <c r="DY58" s="208"/>
      <c r="DZ58" s="227"/>
      <c r="EA58" s="186"/>
      <c r="EB58" s="186"/>
    </row>
    <row r="59" spans="2:132" s="176" customFormat="1" x14ac:dyDescent="0.2"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4"/>
      <c r="O59" s="202"/>
      <c r="P59" s="202"/>
      <c r="Q59" s="656"/>
      <c r="R59" s="656"/>
      <c r="S59" s="705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7"/>
      <c r="BV59" s="208"/>
      <c r="BW59" s="208"/>
      <c r="BX59" s="208"/>
      <c r="BY59" s="208"/>
      <c r="BZ59" s="382"/>
      <c r="CA59" s="382"/>
      <c r="CB59" s="382"/>
      <c r="CC59" s="382"/>
      <c r="CD59" s="382"/>
      <c r="CE59" s="382"/>
      <c r="CF59" s="382"/>
      <c r="CG59" s="382"/>
      <c r="CH59" s="382"/>
      <c r="CI59" s="382"/>
      <c r="CJ59" s="382"/>
      <c r="CK59" s="382"/>
      <c r="CL59" s="382"/>
      <c r="CM59" s="382"/>
      <c r="CN59" s="382"/>
      <c r="CO59" s="382"/>
      <c r="CP59" s="382"/>
      <c r="CQ59" s="382"/>
      <c r="CR59" s="382"/>
      <c r="CS59" s="382"/>
      <c r="CT59" s="382"/>
      <c r="CU59" s="382"/>
      <c r="CV59" s="382"/>
      <c r="CW59" s="189"/>
      <c r="CX59" s="382"/>
      <c r="CY59" s="382"/>
      <c r="CZ59" s="382"/>
      <c r="DA59" s="382"/>
      <c r="DB59" s="382"/>
      <c r="DC59" s="382"/>
      <c r="DD59" s="382"/>
      <c r="DE59" s="382"/>
      <c r="DF59" s="382"/>
      <c r="DG59" s="382"/>
      <c r="DH59" s="382"/>
      <c r="DI59" s="382"/>
      <c r="DJ59" s="382"/>
      <c r="DK59" s="382"/>
      <c r="DL59" s="382"/>
      <c r="DM59" s="382"/>
      <c r="DN59" s="382"/>
      <c r="DO59" s="382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27"/>
      <c r="EA59" s="186"/>
      <c r="EB59" s="186"/>
    </row>
    <row r="60" spans="2:132" s="176" customFormat="1" x14ac:dyDescent="0.2">
      <c r="I60" s="57"/>
      <c r="J60" s="57"/>
      <c r="K60" s="57"/>
      <c r="L60" s="57"/>
      <c r="M60" s="57"/>
      <c r="N60" s="57"/>
      <c r="O60" s="57"/>
      <c r="P60" s="57"/>
      <c r="Q60" s="656"/>
      <c r="R60" s="656"/>
      <c r="S60" s="705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7"/>
      <c r="BV60" s="208"/>
      <c r="BW60" s="208"/>
      <c r="BX60" s="208"/>
      <c r="BY60" s="208"/>
      <c r="BZ60" s="382"/>
      <c r="CA60" s="382"/>
      <c r="CB60" s="382"/>
      <c r="CC60" s="382"/>
      <c r="CD60" s="382"/>
      <c r="CE60" s="382"/>
      <c r="CF60" s="382"/>
      <c r="CG60" s="382"/>
      <c r="CH60" s="382"/>
      <c r="CI60" s="382"/>
      <c r="CJ60" s="382"/>
      <c r="CK60" s="382"/>
      <c r="CL60" s="382"/>
      <c r="CM60" s="382"/>
      <c r="CN60" s="382"/>
      <c r="CO60" s="382"/>
      <c r="CP60" s="382"/>
      <c r="CQ60" s="382"/>
      <c r="CR60" s="382"/>
      <c r="CS60" s="382"/>
      <c r="CT60" s="382"/>
      <c r="CU60" s="382"/>
      <c r="CV60" s="382"/>
      <c r="CW60" s="189"/>
      <c r="CX60" s="382"/>
      <c r="CY60" s="382"/>
      <c r="CZ60" s="382"/>
      <c r="DA60" s="382"/>
      <c r="DB60" s="382"/>
      <c r="DC60" s="382"/>
      <c r="DD60" s="382"/>
      <c r="DE60" s="382"/>
      <c r="DF60" s="382"/>
      <c r="DG60" s="382"/>
      <c r="DH60" s="382"/>
      <c r="DI60" s="382"/>
      <c r="DJ60" s="382"/>
      <c r="DK60" s="382"/>
      <c r="DL60" s="382"/>
      <c r="DM60" s="382"/>
      <c r="DN60" s="382"/>
      <c r="DO60" s="382"/>
      <c r="DP60" s="208"/>
      <c r="DQ60" s="208"/>
      <c r="DR60" s="208"/>
      <c r="DS60" s="208"/>
      <c r="DT60" s="208"/>
      <c r="DU60" s="208"/>
      <c r="DV60" s="208"/>
      <c r="DW60" s="208"/>
      <c r="DX60" s="208"/>
      <c r="DY60" s="208"/>
      <c r="DZ60" s="227"/>
      <c r="EA60" s="186"/>
      <c r="EB60" s="186"/>
    </row>
    <row r="61" spans="2:132" s="176" customFormat="1" x14ac:dyDescent="0.2">
      <c r="I61" s="57"/>
      <c r="J61" s="57"/>
      <c r="K61" s="57"/>
      <c r="L61" s="57"/>
      <c r="M61" s="57"/>
      <c r="N61" s="57"/>
      <c r="O61" s="57"/>
      <c r="P61" s="57"/>
      <c r="Q61" s="656"/>
      <c r="R61" s="656"/>
      <c r="S61" s="705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7"/>
      <c r="BV61" s="208"/>
      <c r="BW61" s="208"/>
      <c r="BX61" s="208"/>
      <c r="BY61" s="208"/>
      <c r="BZ61" s="382"/>
      <c r="CA61" s="382"/>
      <c r="CB61" s="382"/>
      <c r="CC61" s="382"/>
      <c r="CD61" s="382"/>
      <c r="CE61" s="382"/>
      <c r="CF61" s="382"/>
      <c r="CG61" s="382"/>
      <c r="CH61" s="382"/>
      <c r="CI61" s="382"/>
      <c r="CJ61" s="382"/>
      <c r="CK61" s="382"/>
      <c r="CL61" s="382"/>
      <c r="CM61" s="382"/>
      <c r="CN61" s="382"/>
      <c r="CO61" s="382"/>
      <c r="CP61" s="382"/>
      <c r="CQ61" s="382"/>
      <c r="CR61" s="382"/>
      <c r="CS61" s="382"/>
      <c r="CT61" s="382"/>
      <c r="CU61" s="382"/>
      <c r="CV61" s="382"/>
      <c r="CW61" s="189"/>
      <c r="CX61" s="382"/>
      <c r="CY61" s="382"/>
      <c r="CZ61" s="382"/>
      <c r="DA61" s="382"/>
      <c r="DB61" s="382"/>
      <c r="DC61" s="382"/>
      <c r="DD61" s="382"/>
      <c r="DE61" s="382"/>
      <c r="DF61" s="382"/>
      <c r="DG61" s="382"/>
      <c r="DH61" s="382"/>
      <c r="DI61" s="382"/>
      <c r="DJ61" s="382"/>
      <c r="DK61" s="382"/>
      <c r="DL61" s="382"/>
      <c r="DM61" s="382"/>
      <c r="DN61" s="382"/>
      <c r="DO61" s="382"/>
      <c r="DP61" s="208"/>
      <c r="DQ61" s="208"/>
      <c r="DR61" s="208"/>
      <c r="DS61" s="208"/>
      <c r="DT61" s="208"/>
      <c r="DU61" s="208"/>
      <c r="DV61" s="208"/>
      <c r="DW61" s="208"/>
      <c r="DX61" s="208"/>
      <c r="DY61" s="208"/>
      <c r="DZ61" s="227"/>
      <c r="EA61" s="186"/>
      <c r="EB61" s="186"/>
    </row>
    <row r="62" spans="2:132" s="176" customFormat="1" ht="22.5" x14ac:dyDescent="0.3">
      <c r="I62" s="383" t="str">
        <f ca="1">IF($C$2="English",CX62,CW62)</f>
        <v>Monatliche Zins- und Tilgungsraten für die Jahre 2019 und 2020 (EUR)</v>
      </c>
      <c r="J62" s="202"/>
      <c r="K62" s="202"/>
      <c r="L62" s="202"/>
      <c r="M62" s="202"/>
      <c r="N62" s="204"/>
      <c r="O62" s="202"/>
      <c r="P62" s="202"/>
      <c r="Q62" s="656"/>
      <c r="R62" s="656"/>
      <c r="S62" s="705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7"/>
      <c r="BV62" s="208"/>
      <c r="BW62" s="208"/>
      <c r="BX62" s="208"/>
      <c r="BY62" s="208"/>
      <c r="BZ62" s="382"/>
      <c r="CA62" s="382"/>
      <c r="CB62" s="382"/>
      <c r="CC62" s="382"/>
      <c r="CD62" s="382"/>
      <c r="CE62" s="382"/>
      <c r="CF62" s="382"/>
      <c r="CG62" s="382"/>
      <c r="CH62" s="382"/>
      <c r="CI62" s="382"/>
      <c r="CJ62" s="382"/>
      <c r="CK62" s="382"/>
      <c r="CL62" s="382"/>
      <c r="CM62" s="382"/>
      <c r="CN62" s="382"/>
      <c r="CO62" s="382"/>
      <c r="CP62" s="382"/>
      <c r="CQ62" s="382"/>
      <c r="CR62" s="382"/>
      <c r="CS62" s="382"/>
      <c r="CT62" s="382"/>
      <c r="CU62" s="382"/>
      <c r="CV62" s="382"/>
      <c r="CW62" s="189" t="str">
        <f ca="1">"Monatliche Zins- und Tilgungsraten für die Jahre " &amp;'1 Pers.Ausgaben|Pers Expenses'!$C$4 &amp; " und " &amp; '1 Pers.Ausgaben|Pers Expenses'!$C$4+1 &amp;" (EUR)"</f>
        <v>Monatliche Zins- und Tilgungsraten für die Jahre 2019 und 2020 (EUR)</v>
      </c>
      <c r="CX62" s="382" t="str">
        <f ca="1">"Monthly  Rate of Interest and Repayment for the Year " &amp;'1 Pers.Ausgaben|Pers Expenses'!$C$4 &amp; " and " &amp; '1 Pers.Ausgaben|Pers Expenses'!$C$4+1&amp; " (EUR)"</f>
        <v>Monthly  Rate of Interest and Repayment for the Year 2019 and 2020 (EUR)</v>
      </c>
      <c r="CY62" s="382"/>
      <c r="CZ62" s="382"/>
      <c r="DA62" s="382"/>
      <c r="DB62" s="382"/>
      <c r="DC62" s="382"/>
      <c r="DD62" s="382"/>
      <c r="DE62" s="382"/>
      <c r="DF62" s="382"/>
      <c r="DG62" s="382"/>
      <c r="DH62" s="382"/>
      <c r="DI62" s="382"/>
      <c r="DJ62" s="382"/>
      <c r="DK62" s="382"/>
      <c r="DL62" s="382"/>
      <c r="DM62" s="382"/>
      <c r="DN62" s="382"/>
      <c r="DO62" s="382"/>
      <c r="DP62" s="208"/>
      <c r="DQ62" s="208"/>
      <c r="DR62" s="208"/>
      <c r="DS62" s="208"/>
      <c r="DT62" s="208"/>
      <c r="DU62" s="208"/>
      <c r="DV62" s="208"/>
      <c r="DW62" s="208"/>
      <c r="DX62" s="208"/>
      <c r="DY62" s="208"/>
      <c r="DZ62" s="227"/>
      <c r="EA62" s="186"/>
      <c r="EB62" s="186"/>
    </row>
    <row r="63" spans="2:132" s="176" customFormat="1" x14ac:dyDescent="0.2">
      <c r="I63" s="202"/>
      <c r="J63" s="202"/>
      <c r="K63" s="202"/>
      <c r="L63" s="202"/>
      <c r="M63" s="202"/>
      <c r="N63" s="204"/>
      <c r="O63" s="202"/>
      <c r="P63" s="202"/>
      <c r="Q63" s="656"/>
      <c r="R63" s="656"/>
      <c r="S63" s="705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7"/>
      <c r="BV63" s="208"/>
      <c r="BW63" s="208"/>
      <c r="BX63" s="208"/>
      <c r="BY63" s="208"/>
      <c r="BZ63" s="382"/>
      <c r="CA63" s="382"/>
      <c r="CB63" s="382"/>
      <c r="CC63" s="382"/>
      <c r="CD63" s="382"/>
      <c r="CE63" s="382"/>
      <c r="CF63" s="382"/>
      <c r="CG63" s="382"/>
      <c r="CH63" s="382"/>
      <c r="CI63" s="382"/>
      <c r="CJ63" s="382"/>
      <c r="CK63" s="382"/>
      <c r="CL63" s="382"/>
      <c r="CM63" s="382"/>
      <c r="CN63" s="382"/>
      <c r="CO63" s="382"/>
      <c r="CP63" s="382"/>
      <c r="CQ63" s="382"/>
      <c r="CR63" s="382"/>
      <c r="CS63" s="382"/>
      <c r="CT63" s="382"/>
      <c r="CU63" s="382"/>
      <c r="CV63" s="382"/>
      <c r="CW63" s="189"/>
      <c r="CX63" s="382"/>
      <c r="CY63" s="382"/>
      <c r="CZ63" s="382"/>
      <c r="DA63" s="382"/>
      <c r="DB63" s="382"/>
      <c r="DC63" s="382"/>
      <c r="DD63" s="382"/>
      <c r="DE63" s="382"/>
      <c r="DF63" s="382"/>
      <c r="DG63" s="382"/>
      <c r="DH63" s="382"/>
      <c r="DI63" s="382"/>
      <c r="DJ63" s="382"/>
      <c r="DK63" s="382"/>
      <c r="DL63" s="382"/>
      <c r="DM63" s="382"/>
      <c r="DN63" s="382"/>
      <c r="DO63" s="382"/>
      <c r="DP63" s="208"/>
      <c r="DQ63" s="208"/>
      <c r="DR63" s="208"/>
      <c r="DS63" s="208"/>
      <c r="DT63" s="208"/>
      <c r="DU63" s="208"/>
      <c r="DV63" s="208"/>
      <c r="DW63" s="208"/>
      <c r="DX63" s="208"/>
      <c r="DY63" s="208"/>
      <c r="DZ63" s="227"/>
      <c r="EA63" s="186"/>
      <c r="EB63" s="186"/>
    </row>
    <row r="64" spans="2:132" s="176" customFormat="1" x14ac:dyDescent="0.2">
      <c r="P64" s="202"/>
      <c r="Q64" s="656"/>
      <c r="R64" s="656"/>
      <c r="S64" s="705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7"/>
      <c r="BV64" s="208"/>
      <c r="BW64" s="208"/>
      <c r="BX64" s="208"/>
      <c r="BY64" s="208"/>
      <c r="BZ64" s="382"/>
      <c r="CA64" s="382"/>
      <c r="CB64" s="382"/>
      <c r="CC64" s="382"/>
      <c r="CD64" s="382"/>
      <c r="CE64" s="382"/>
      <c r="CF64" s="382"/>
      <c r="CG64" s="382"/>
      <c r="CH64" s="382"/>
      <c r="CI64" s="382"/>
      <c r="CJ64" s="382"/>
      <c r="CK64" s="382"/>
      <c r="CL64" s="382"/>
      <c r="CM64" s="382"/>
      <c r="CN64" s="382"/>
      <c r="CO64" s="382"/>
      <c r="CP64" s="382"/>
      <c r="CQ64" s="382"/>
      <c r="CR64" s="382"/>
      <c r="CS64" s="382"/>
      <c r="CT64" s="382"/>
      <c r="CU64" s="382"/>
      <c r="CV64" s="382"/>
      <c r="CW64" s="189"/>
      <c r="CX64" s="382"/>
      <c r="CY64" s="382"/>
      <c r="CZ64" s="382"/>
      <c r="DA64" s="382"/>
      <c r="DB64" s="382"/>
      <c r="DC64" s="382"/>
      <c r="DD64" s="382"/>
      <c r="DE64" s="382"/>
      <c r="DF64" s="382"/>
      <c r="DG64" s="382"/>
      <c r="DH64" s="382"/>
      <c r="DI64" s="382"/>
      <c r="DJ64" s="382"/>
      <c r="DK64" s="382"/>
      <c r="DL64" s="382"/>
      <c r="DM64" s="382"/>
      <c r="DN64" s="382"/>
      <c r="DO64" s="382"/>
      <c r="DP64" s="208"/>
      <c r="DQ64" s="208"/>
      <c r="DR64" s="208"/>
      <c r="DS64" s="208"/>
      <c r="DT64" s="208"/>
      <c r="DU64" s="208"/>
      <c r="DV64" s="208"/>
      <c r="DW64" s="208"/>
      <c r="DX64" s="208"/>
      <c r="DY64" s="208"/>
      <c r="DZ64" s="227"/>
      <c r="EA64" s="186"/>
      <c r="EB64" s="186"/>
    </row>
    <row r="65" spans="2:132" s="57" customFormat="1" ht="16.350000000000001" customHeight="1" x14ac:dyDescent="0.2">
      <c r="I65" s="66"/>
      <c r="J65" s="66"/>
      <c r="P65" s="66"/>
      <c r="Q65" s="721"/>
      <c r="R65" s="721"/>
      <c r="S65" s="676"/>
      <c r="BD65" s="563"/>
      <c r="BE65" s="563"/>
      <c r="BF65" s="563"/>
      <c r="BG65" s="563"/>
      <c r="BH65" s="563"/>
      <c r="BI65" s="563"/>
      <c r="BJ65" s="563"/>
      <c r="BK65" s="563"/>
      <c r="BL65" s="563"/>
      <c r="BM65" s="563"/>
      <c r="BN65" s="563"/>
      <c r="BO65" s="563"/>
      <c r="BP65" s="563"/>
      <c r="BQ65" s="563"/>
      <c r="BR65" s="563"/>
      <c r="BS65" s="563"/>
      <c r="BT65" s="563"/>
      <c r="BU65" s="617"/>
      <c r="BV65" s="563"/>
      <c r="BW65" s="563"/>
      <c r="BX65" s="563"/>
      <c r="BY65" s="563"/>
      <c r="BZ65" s="426"/>
      <c r="CA65" s="426"/>
      <c r="CB65" s="426"/>
      <c r="CC65" s="426"/>
      <c r="CD65" s="426"/>
      <c r="CE65" s="426"/>
      <c r="CF65" s="426"/>
      <c r="CG65" s="426"/>
      <c r="CH65" s="426"/>
      <c r="CI65" s="426"/>
      <c r="CJ65" s="426"/>
      <c r="CK65" s="426"/>
      <c r="CL65" s="426"/>
      <c r="CM65" s="426"/>
      <c r="CN65" s="426"/>
      <c r="CO65" s="426"/>
      <c r="CP65" s="426"/>
      <c r="CQ65" s="426"/>
      <c r="CR65" s="426"/>
      <c r="CS65" s="426"/>
      <c r="CT65" s="426"/>
      <c r="CU65" s="426"/>
      <c r="CV65" s="426"/>
      <c r="CW65" s="40"/>
      <c r="CX65" s="426"/>
      <c r="CY65" s="426"/>
      <c r="CZ65" s="426"/>
      <c r="DA65" s="426"/>
      <c r="DB65" s="426"/>
      <c r="DC65" s="426"/>
      <c r="DD65" s="426"/>
      <c r="DE65" s="426"/>
      <c r="DF65" s="426"/>
      <c r="DG65" s="426"/>
      <c r="DH65" s="426"/>
      <c r="DI65" s="426"/>
      <c r="DJ65" s="426"/>
      <c r="DK65" s="426"/>
      <c r="DL65" s="426"/>
      <c r="DM65" s="426"/>
      <c r="DN65" s="426"/>
      <c r="DO65" s="426"/>
      <c r="DP65" s="563"/>
      <c r="DQ65" s="563"/>
      <c r="DR65" s="563"/>
      <c r="DS65" s="563"/>
      <c r="DT65" s="563"/>
      <c r="DU65" s="563"/>
      <c r="DV65" s="563"/>
      <c r="DW65" s="563"/>
      <c r="DX65" s="563"/>
      <c r="DY65" s="563"/>
      <c r="DZ65" s="722"/>
      <c r="EA65" s="130"/>
      <c r="EB65" s="130"/>
    </row>
    <row r="66" spans="2:132" x14ac:dyDescent="0.2">
      <c r="B66" s="176"/>
      <c r="C66" s="176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4"/>
      <c r="O66" s="202"/>
      <c r="P66" s="202"/>
    </row>
    <row r="67" spans="2:132" x14ac:dyDescent="0.2">
      <c r="B67" s="176"/>
      <c r="C67" s="176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4"/>
      <c r="O67" s="202"/>
      <c r="P67" s="202"/>
    </row>
    <row r="68" spans="2:132" x14ac:dyDescent="0.2">
      <c r="B68" s="176"/>
      <c r="C68" s="176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4"/>
      <c r="O68" s="202"/>
      <c r="P68" s="202"/>
    </row>
    <row r="69" spans="2:132" x14ac:dyDescent="0.2">
      <c r="B69" s="176"/>
      <c r="C69" s="176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4"/>
      <c r="O69" s="202"/>
      <c r="P69" s="202"/>
    </row>
    <row r="70" spans="2:132" x14ac:dyDescent="0.2">
      <c r="B70" s="176"/>
      <c r="C70" s="176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4"/>
      <c r="O70" s="202"/>
      <c r="P70" s="202"/>
    </row>
    <row r="71" spans="2:132" x14ac:dyDescent="0.2">
      <c r="B71" s="176"/>
      <c r="C71" s="176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4"/>
      <c r="O71" s="202"/>
      <c r="P71" s="202"/>
    </row>
    <row r="72" spans="2:132" x14ac:dyDescent="0.2">
      <c r="B72" s="176"/>
      <c r="C72" s="176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4"/>
      <c r="O72" s="202"/>
      <c r="P72" s="202"/>
    </row>
    <row r="73" spans="2:132" x14ac:dyDescent="0.2">
      <c r="B73" s="176"/>
      <c r="C73" s="176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4"/>
      <c r="O73" s="202"/>
      <c r="P73" s="202"/>
    </row>
    <row r="74" spans="2:132" x14ac:dyDescent="0.2">
      <c r="B74" s="176"/>
      <c r="C74" s="176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4"/>
      <c r="O74" s="202"/>
      <c r="P74" s="202"/>
      <c r="S74" s="723" t="s">
        <v>247</v>
      </c>
    </row>
    <row r="75" spans="2:132" s="176" customFormat="1" x14ac:dyDescent="0.2">
      <c r="I75" s="718"/>
      <c r="J75" s="718"/>
      <c r="K75" s="718"/>
      <c r="L75" s="718"/>
      <c r="M75" s="718"/>
      <c r="N75" s="718"/>
      <c r="O75" s="718"/>
      <c r="P75" s="718"/>
      <c r="Q75" s="720"/>
      <c r="R75" s="720"/>
      <c r="S75" s="724"/>
      <c r="BD75" s="528"/>
      <c r="BE75" s="528"/>
      <c r="BF75" s="528"/>
      <c r="BG75" s="528"/>
      <c r="BH75" s="528"/>
      <c r="BI75" s="528"/>
      <c r="BJ75" s="528"/>
      <c r="BK75" s="528"/>
      <c r="BL75" s="528"/>
      <c r="BM75" s="528"/>
      <c r="BN75" s="52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382"/>
      <c r="CA75" s="382"/>
      <c r="CB75" s="382"/>
      <c r="CC75" s="382"/>
      <c r="CD75" s="382"/>
      <c r="CE75" s="382"/>
      <c r="CF75" s="382"/>
      <c r="CG75" s="382"/>
      <c r="CH75" s="382"/>
      <c r="CI75" s="382"/>
      <c r="CJ75" s="382"/>
      <c r="CK75" s="382"/>
      <c r="CL75" s="382"/>
      <c r="CM75" s="382"/>
      <c r="CN75" s="382"/>
      <c r="CO75" s="382"/>
      <c r="CP75" s="382"/>
      <c r="CQ75" s="382"/>
      <c r="CR75" s="382"/>
      <c r="CS75" s="382"/>
      <c r="CT75" s="382"/>
      <c r="CU75" s="382"/>
      <c r="CV75" s="382"/>
      <c r="CW75" s="189"/>
      <c r="CX75" s="382"/>
      <c r="CY75" s="382"/>
      <c r="CZ75" s="382"/>
      <c r="DA75" s="382"/>
      <c r="DB75" s="382"/>
      <c r="DC75" s="382"/>
      <c r="DD75" s="382"/>
      <c r="DE75" s="382"/>
      <c r="DF75" s="382"/>
      <c r="DG75" s="382"/>
      <c r="DH75" s="382"/>
      <c r="DI75" s="382"/>
      <c r="DJ75" s="382"/>
      <c r="DK75" s="382"/>
      <c r="DL75" s="382"/>
      <c r="DM75" s="382"/>
      <c r="DN75" s="382"/>
      <c r="DO75" s="382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27"/>
      <c r="EA75" s="186"/>
      <c r="EB75" s="186"/>
    </row>
    <row r="76" spans="2:132" s="176" customFormat="1" x14ac:dyDescent="0.2">
      <c r="I76" s="718"/>
      <c r="J76" s="718"/>
      <c r="K76" s="718"/>
      <c r="L76" s="718"/>
      <c r="M76" s="718"/>
      <c r="N76" s="718"/>
      <c r="O76" s="718"/>
      <c r="P76" s="718"/>
      <c r="Q76" s="720"/>
      <c r="R76" s="720"/>
      <c r="S76" s="719"/>
      <c r="T76" s="718"/>
      <c r="U76" s="718"/>
      <c r="V76" s="718"/>
      <c r="W76" s="718"/>
      <c r="X76" s="718"/>
      <c r="Y76" s="718"/>
      <c r="Z76" s="718"/>
      <c r="AA76" s="725"/>
      <c r="BD76" s="528"/>
      <c r="BE76" s="528"/>
      <c r="BF76" s="528"/>
      <c r="BG76" s="528"/>
      <c r="BH76" s="528"/>
      <c r="BI76" s="528"/>
      <c r="BJ76" s="528"/>
      <c r="BK76" s="528"/>
      <c r="BL76" s="528"/>
      <c r="BM76" s="528"/>
      <c r="BN76" s="52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382"/>
      <c r="CA76" s="382"/>
      <c r="CB76" s="382"/>
      <c r="CC76" s="382"/>
      <c r="CD76" s="382"/>
      <c r="CE76" s="382"/>
      <c r="CF76" s="382"/>
      <c r="CG76" s="382"/>
      <c r="CH76" s="382"/>
      <c r="CI76" s="382"/>
      <c r="CJ76" s="382"/>
      <c r="CK76" s="382"/>
      <c r="CL76" s="382"/>
      <c r="CM76" s="382"/>
      <c r="CN76" s="382"/>
      <c r="CO76" s="382"/>
      <c r="CP76" s="382"/>
      <c r="CQ76" s="382"/>
      <c r="CR76" s="382"/>
      <c r="CS76" s="382"/>
      <c r="CT76" s="382"/>
      <c r="CU76" s="382"/>
      <c r="CV76" s="382"/>
      <c r="CW76" s="189"/>
      <c r="CX76" s="382"/>
      <c r="CY76" s="382"/>
      <c r="CZ76" s="382"/>
      <c r="DA76" s="382"/>
      <c r="DB76" s="382"/>
      <c r="DC76" s="382"/>
      <c r="DD76" s="382"/>
      <c r="DE76" s="382"/>
      <c r="DF76" s="382"/>
      <c r="DG76" s="382"/>
      <c r="DH76" s="382"/>
      <c r="DI76" s="382"/>
      <c r="DJ76" s="382"/>
      <c r="DK76" s="382"/>
      <c r="DL76" s="382"/>
      <c r="DM76" s="382"/>
      <c r="DN76" s="382"/>
      <c r="DO76" s="382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27"/>
      <c r="EA76" s="186"/>
      <c r="EB76" s="186"/>
    </row>
    <row r="77" spans="2:132" s="176" customFormat="1" x14ac:dyDescent="0.2">
      <c r="D77" s="528"/>
      <c r="E77" s="718"/>
      <c r="F77" s="718"/>
      <c r="G77" s="718"/>
      <c r="H77" s="718"/>
      <c r="I77" s="718"/>
      <c r="J77" s="718"/>
      <c r="K77" s="718"/>
      <c r="L77" s="718"/>
      <c r="M77" s="718"/>
      <c r="N77" s="718"/>
      <c r="O77" s="718"/>
      <c r="P77" s="718"/>
      <c r="Q77" s="720"/>
      <c r="R77" s="720"/>
      <c r="S77" s="719"/>
      <c r="T77" s="718"/>
      <c r="U77" s="718"/>
      <c r="V77" s="718"/>
      <c r="W77" s="718"/>
      <c r="X77" s="718"/>
      <c r="Y77" s="718"/>
      <c r="Z77" s="718"/>
      <c r="AA77" s="725"/>
      <c r="BD77" s="528"/>
      <c r="BE77" s="528"/>
      <c r="BF77" s="528"/>
      <c r="BG77" s="528"/>
      <c r="BH77" s="528"/>
      <c r="BI77" s="528"/>
      <c r="BJ77" s="528"/>
      <c r="BK77" s="528"/>
      <c r="BL77" s="528"/>
      <c r="BM77" s="528"/>
      <c r="BN77" s="52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382"/>
      <c r="CA77" s="382"/>
      <c r="CB77" s="382"/>
      <c r="CC77" s="382"/>
      <c r="CD77" s="382"/>
      <c r="CE77" s="382"/>
      <c r="CF77" s="382"/>
      <c r="CG77" s="382"/>
      <c r="CH77" s="382"/>
      <c r="CI77" s="382"/>
      <c r="CJ77" s="382"/>
      <c r="CK77" s="382"/>
      <c r="CL77" s="382"/>
      <c r="CM77" s="382"/>
      <c r="CN77" s="382"/>
      <c r="CO77" s="382"/>
      <c r="CP77" s="382"/>
      <c r="CQ77" s="382"/>
      <c r="CR77" s="382"/>
      <c r="CS77" s="382"/>
      <c r="CT77" s="382"/>
      <c r="CU77" s="382"/>
      <c r="CV77" s="382"/>
      <c r="CW77" s="189"/>
      <c r="CX77" s="382"/>
      <c r="CY77" s="382"/>
      <c r="CZ77" s="382"/>
      <c r="DA77" s="382"/>
      <c r="DB77" s="382"/>
      <c r="DC77" s="382"/>
      <c r="DD77" s="382"/>
      <c r="DE77" s="382"/>
      <c r="DF77" s="382"/>
      <c r="DG77" s="382"/>
      <c r="DH77" s="382"/>
      <c r="DI77" s="382"/>
      <c r="DJ77" s="382"/>
      <c r="DK77" s="382"/>
      <c r="DL77" s="382"/>
      <c r="DM77" s="382"/>
      <c r="DN77" s="382"/>
      <c r="DO77" s="382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27"/>
      <c r="EA77" s="186"/>
      <c r="EB77" s="186"/>
    </row>
    <row r="78" spans="2:132" s="176" customFormat="1" x14ac:dyDescent="0.2">
      <c r="D78" s="528"/>
      <c r="E78" s="718"/>
      <c r="F78" s="718"/>
      <c r="G78" s="718"/>
      <c r="H78" s="718"/>
      <c r="I78" s="718"/>
      <c r="J78" s="718"/>
      <c r="K78" s="718"/>
      <c r="L78" s="718"/>
      <c r="M78" s="718"/>
      <c r="N78" s="718"/>
      <c r="O78" s="718"/>
      <c r="P78" s="718"/>
      <c r="Q78" s="720"/>
      <c r="R78" s="720"/>
      <c r="S78" s="719"/>
      <c r="T78" s="718"/>
      <c r="U78" s="718"/>
      <c r="V78" s="718"/>
      <c r="W78" s="718"/>
      <c r="X78" s="718"/>
      <c r="Y78" s="718"/>
      <c r="Z78" s="718"/>
      <c r="AA78" s="725"/>
      <c r="BD78" s="528"/>
      <c r="BE78" s="528"/>
      <c r="BF78" s="528"/>
      <c r="BG78" s="528"/>
      <c r="BH78" s="528"/>
      <c r="BI78" s="528"/>
      <c r="BJ78" s="528"/>
      <c r="BK78" s="528"/>
      <c r="BL78" s="528"/>
      <c r="BM78" s="528"/>
      <c r="BN78" s="52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382"/>
      <c r="CA78" s="382"/>
      <c r="CB78" s="382"/>
      <c r="CC78" s="382"/>
      <c r="CD78" s="382"/>
      <c r="CE78" s="382"/>
      <c r="CF78" s="382"/>
      <c r="CG78" s="382"/>
      <c r="CH78" s="382"/>
      <c r="CI78" s="382"/>
      <c r="CJ78" s="382"/>
      <c r="CK78" s="382"/>
      <c r="CL78" s="382"/>
      <c r="CM78" s="382"/>
      <c r="CN78" s="382"/>
      <c r="CO78" s="382"/>
      <c r="CP78" s="382"/>
      <c r="CQ78" s="382"/>
      <c r="CR78" s="382"/>
      <c r="CS78" s="382"/>
      <c r="CT78" s="382"/>
      <c r="CU78" s="382"/>
      <c r="CV78" s="382"/>
      <c r="CW78" s="189"/>
      <c r="CX78" s="382"/>
      <c r="CY78" s="382"/>
      <c r="CZ78" s="382"/>
      <c r="DA78" s="382"/>
      <c r="DB78" s="382"/>
      <c r="DC78" s="382"/>
      <c r="DD78" s="382"/>
      <c r="DE78" s="382"/>
      <c r="DF78" s="382"/>
      <c r="DG78" s="382"/>
      <c r="DH78" s="382"/>
      <c r="DI78" s="382"/>
      <c r="DJ78" s="382"/>
      <c r="DK78" s="382"/>
      <c r="DL78" s="382"/>
      <c r="DM78" s="382"/>
      <c r="DN78" s="382"/>
      <c r="DO78" s="382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27"/>
      <c r="EA78" s="186"/>
      <c r="EB78" s="186"/>
    </row>
    <row r="79" spans="2:132" s="176" customFormat="1" x14ac:dyDescent="0.2">
      <c r="D79" s="528"/>
      <c r="E79" s="718"/>
      <c r="F79" s="718"/>
      <c r="G79" s="718"/>
      <c r="H79" s="718"/>
      <c r="I79" s="718"/>
      <c r="J79" s="718"/>
      <c r="K79" s="718"/>
      <c r="L79" s="718"/>
      <c r="M79" s="718"/>
      <c r="N79" s="718"/>
      <c r="O79" s="718"/>
      <c r="P79" s="718"/>
      <c r="Q79" s="720"/>
      <c r="R79" s="720"/>
      <c r="S79" s="719"/>
      <c r="T79" s="718"/>
      <c r="U79" s="718"/>
      <c r="V79" s="718"/>
      <c r="W79" s="718"/>
      <c r="X79" s="718"/>
      <c r="Y79" s="718"/>
      <c r="Z79" s="718"/>
      <c r="AA79" s="725"/>
      <c r="BD79" s="528"/>
      <c r="BE79" s="528"/>
      <c r="BF79" s="528"/>
      <c r="BG79" s="528"/>
      <c r="BH79" s="528"/>
      <c r="BI79" s="528"/>
      <c r="BJ79" s="528"/>
      <c r="BK79" s="528"/>
      <c r="BL79" s="528"/>
      <c r="BM79" s="528"/>
      <c r="BN79" s="52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382"/>
      <c r="CA79" s="382"/>
      <c r="CB79" s="382"/>
      <c r="CC79" s="382"/>
      <c r="CD79" s="382"/>
      <c r="CE79" s="382"/>
      <c r="CF79" s="382"/>
      <c r="CG79" s="382"/>
      <c r="CH79" s="382"/>
      <c r="CI79" s="382"/>
      <c r="CJ79" s="382"/>
      <c r="CK79" s="382"/>
      <c r="CL79" s="382"/>
      <c r="CM79" s="382"/>
      <c r="CN79" s="382"/>
      <c r="CO79" s="382"/>
      <c r="CP79" s="382"/>
      <c r="CQ79" s="382"/>
      <c r="CR79" s="382"/>
      <c r="CS79" s="382"/>
      <c r="CT79" s="382"/>
      <c r="CU79" s="382"/>
      <c r="CV79" s="382"/>
      <c r="CW79" s="189"/>
      <c r="CX79" s="382"/>
      <c r="CY79" s="382"/>
      <c r="CZ79" s="382"/>
      <c r="DA79" s="382"/>
      <c r="DB79" s="382"/>
      <c r="DC79" s="382"/>
      <c r="DD79" s="382"/>
      <c r="DE79" s="382"/>
      <c r="DF79" s="382"/>
      <c r="DG79" s="382"/>
      <c r="DH79" s="382"/>
      <c r="DI79" s="382"/>
      <c r="DJ79" s="382"/>
      <c r="DK79" s="382"/>
      <c r="DL79" s="382"/>
      <c r="DM79" s="382"/>
      <c r="DN79" s="382"/>
      <c r="DO79" s="382"/>
      <c r="DP79" s="208"/>
      <c r="DQ79" s="208"/>
      <c r="DR79" s="208"/>
      <c r="DS79" s="208"/>
      <c r="DT79" s="208"/>
      <c r="DU79" s="208"/>
      <c r="DV79" s="208"/>
      <c r="DW79" s="208"/>
      <c r="DX79" s="208"/>
      <c r="DY79" s="208"/>
      <c r="DZ79" s="227"/>
      <c r="EA79" s="186"/>
      <c r="EB79" s="186"/>
    </row>
    <row r="80" spans="2:132" s="176" customFormat="1" x14ac:dyDescent="0.2">
      <c r="D80" s="528"/>
      <c r="E80" s="718"/>
      <c r="F80" s="718"/>
      <c r="G80" s="718"/>
      <c r="H80" s="718"/>
      <c r="I80" s="718"/>
      <c r="J80" s="718"/>
      <c r="K80" s="718"/>
      <c r="L80" s="718"/>
      <c r="M80" s="718"/>
      <c r="N80" s="718"/>
      <c r="O80" s="718"/>
      <c r="P80" s="718"/>
      <c r="Q80" s="720"/>
      <c r="R80" s="720"/>
      <c r="S80" s="719"/>
      <c r="T80" s="718"/>
      <c r="U80" s="718"/>
      <c r="V80" s="718"/>
      <c r="W80" s="718"/>
      <c r="X80" s="718"/>
      <c r="Y80" s="718"/>
      <c r="Z80" s="718"/>
      <c r="AA80" s="725"/>
      <c r="BD80" s="528"/>
      <c r="BE80" s="528"/>
      <c r="BF80" s="528"/>
      <c r="BG80" s="528"/>
      <c r="BH80" s="528"/>
      <c r="BI80" s="528"/>
      <c r="BJ80" s="528"/>
      <c r="BK80" s="528"/>
      <c r="BL80" s="528"/>
      <c r="BM80" s="528"/>
      <c r="BN80" s="52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382"/>
      <c r="CA80" s="382"/>
      <c r="CB80" s="382"/>
      <c r="CC80" s="382"/>
      <c r="CD80" s="382"/>
      <c r="CE80" s="382"/>
      <c r="CF80" s="382"/>
      <c r="CG80" s="382"/>
      <c r="CH80" s="382"/>
      <c r="CI80" s="382"/>
      <c r="CJ80" s="382"/>
      <c r="CK80" s="382"/>
      <c r="CL80" s="382"/>
      <c r="CM80" s="382"/>
      <c r="CN80" s="382"/>
      <c r="CO80" s="382"/>
      <c r="CP80" s="382"/>
      <c r="CQ80" s="382"/>
      <c r="CR80" s="382"/>
      <c r="CS80" s="382"/>
      <c r="CT80" s="382"/>
      <c r="CU80" s="382"/>
      <c r="CV80" s="382"/>
      <c r="CW80" s="189"/>
      <c r="CX80" s="382"/>
      <c r="CY80" s="382"/>
      <c r="CZ80" s="382"/>
      <c r="DA80" s="382"/>
      <c r="DB80" s="382"/>
      <c r="DC80" s="382"/>
      <c r="DD80" s="382"/>
      <c r="DE80" s="382"/>
      <c r="DF80" s="382"/>
      <c r="DG80" s="382"/>
      <c r="DH80" s="382"/>
      <c r="DI80" s="382"/>
      <c r="DJ80" s="382"/>
      <c r="DK80" s="382"/>
      <c r="DL80" s="382"/>
      <c r="DM80" s="382"/>
      <c r="DN80" s="382"/>
      <c r="DO80" s="382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27"/>
      <c r="EA80" s="186"/>
      <c r="EB80" s="186"/>
    </row>
    <row r="81" spans="4:132" s="176" customFormat="1" x14ac:dyDescent="0.2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4"/>
      <c r="O81" s="202"/>
      <c r="P81" s="202"/>
      <c r="Q81" s="656"/>
      <c r="R81" s="656"/>
      <c r="S81" s="203"/>
      <c r="T81" s="202"/>
      <c r="U81" s="202"/>
      <c r="V81" s="202"/>
      <c r="W81" s="202"/>
      <c r="X81" s="202"/>
      <c r="Y81" s="205"/>
      <c r="AB81" s="206"/>
      <c r="AC81" s="206"/>
      <c r="AD81" s="207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7"/>
      <c r="BV81" s="208"/>
      <c r="BW81" s="208"/>
      <c r="BX81" s="208"/>
      <c r="BY81" s="208"/>
      <c r="BZ81" s="382"/>
      <c r="CA81" s="382"/>
      <c r="CB81" s="382"/>
      <c r="CC81" s="382"/>
      <c r="CD81" s="382"/>
      <c r="CE81" s="382"/>
      <c r="CF81" s="382"/>
      <c r="CG81" s="382"/>
      <c r="CH81" s="382"/>
      <c r="CI81" s="382"/>
      <c r="CJ81" s="382"/>
      <c r="CK81" s="382"/>
      <c r="CL81" s="382"/>
      <c r="CM81" s="382"/>
      <c r="CN81" s="382"/>
      <c r="CO81" s="382"/>
      <c r="CP81" s="382"/>
      <c r="CQ81" s="382"/>
      <c r="CR81" s="382"/>
      <c r="CS81" s="382"/>
      <c r="CT81" s="382"/>
      <c r="CU81" s="382"/>
      <c r="CV81" s="382"/>
      <c r="CW81" s="189"/>
      <c r="CX81" s="382"/>
      <c r="CY81" s="382"/>
      <c r="CZ81" s="382"/>
      <c r="DA81" s="382"/>
      <c r="DB81" s="382"/>
      <c r="DC81" s="382"/>
      <c r="DD81" s="382"/>
      <c r="DE81" s="382"/>
      <c r="DF81" s="382"/>
      <c r="DG81" s="382"/>
      <c r="DH81" s="382"/>
      <c r="DI81" s="382"/>
      <c r="DJ81" s="382"/>
      <c r="DK81" s="382"/>
      <c r="DL81" s="382"/>
      <c r="DM81" s="382"/>
      <c r="DN81" s="382"/>
      <c r="DO81" s="382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27"/>
      <c r="EA81" s="186"/>
      <c r="EB81" s="186"/>
    </row>
    <row r="82" spans="4:132" s="176" customFormat="1" x14ac:dyDescent="0.2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4"/>
      <c r="O82" s="202"/>
      <c r="P82" s="202"/>
      <c r="Q82" s="656"/>
      <c r="R82" s="656"/>
      <c r="S82" s="203"/>
      <c r="T82" s="202"/>
      <c r="U82" s="202"/>
      <c r="V82" s="202"/>
      <c r="W82" s="202"/>
      <c r="X82" s="202"/>
      <c r="Y82" s="205"/>
      <c r="AB82" s="206"/>
      <c r="AC82" s="206"/>
      <c r="AD82" s="207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7"/>
      <c r="BV82" s="208"/>
      <c r="BW82" s="208"/>
      <c r="BX82" s="208"/>
      <c r="BY82" s="208"/>
      <c r="BZ82" s="382"/>
      <c r="CA82" s="382"/>
      <c r="CB82" s="382"/>
      <c r="CC82" s="382"/>
      <c r="CD82" s="382"/>
      <c r="CE82" s="382"/>
      <c r="CF82" s="382"/>
      <c r="CG82" s="382"/>
      <c r="CH82" s="382"/>
      <c r="CI82" s="382"/>
      <c r="CJ82" s="382"/>
      <c r="CK82" s="382"/>
      <c r="CL82" s="382"/>
      <c r="CM82" s="382"/>
      <c r="CN82" s="382"/>
      <c r="CO82" s="382"/>
      <c r="CP82" s="382"/>
      <c r="CQ82" s="382"/>
      <c r="CR82" s="382"/>
      <c r="CS82" s="382"/>
      <c r="CT82" s="382"/>
      <c r="CU82" s="382"/>
      <c r="CV82" s="382"/>
      <c r="CW82" s="189"/>
      <c r="CX82" s="382"/>
      <c r="CY82" s="382"/>
      <c r="CZ82" s="382"/>
      <c r="DA82" s="382"/>
      <c r="DB82" s="382"/>
      <c r="DC82" s="382"/>
      <c r="DD82" s="382"/>
      <c r="DE82" s="382"/>
      <c r="DF82" s="382"/>
      <c r="DG82" s="382"/>
      <c r="DH82" s="382"/>
      <c r="DI82" s="382"/>
      <c r="DJ82" s="382"/>
      <c r="DK82" s="382"/>
      <c r="DL82" s="382"/>
      <c r="DM82" s="382"/>
      <c r="DN82" s="382"/>
      <c r="DO82" s="382"/>
      <c r="DP82" s="208"/>
      <c r="DQ82" s="208"/>
      <c r="DR82" s="208"/>
      <c r="DS82" s="208"/>
      <c r="DT82" s="208"/>
      <c r="DU82" s="208"/>
      <c r="DV82" s="208"/>
      <c r="DW82" s="208"/>
      <c r="DX82" s="208"/>
      <c r="DY82" s="208"/>
      <c r="DZ82" s="227"/>
      <c r="EA82" s="186"/>
      <c r="EB82" s="186"/>
    </row>
    <row r="83" spans="4:132" s="176" customFormat="1" x14ac:dyDescent="0.2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4"/>
      <c r="O83" s="202"/>
      <c r="P83" s="202"/>
      <c r="Q83" s="656"/>
      <c r="R83" s="656"/>
      <c r="S83" s="203"/>
      <c r="T83" s="202"/>
      <c r="U83" s="202"/>
      <c r="V83" s="202"/>
      <c r="W83" s="202"/>
      <c r="X83" s="202"/>
      <c r="Y83" s="205"/>
      <c r="AB83" s="206"/>
      <c r="AC83" s="206"/>
      <c r="AD83" s="207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7"/>
      <c r="BV83" s="208"/>
      <c r="BW83" s="208"/>
      <c r="BX83" s="208"/>
      <c r="BY83" s="208"/>
      <c r="BZ83" s="382"/>
      <c r="CA83" s="382"/>
      <c r="CB83" s="382"/>
      <c r="CC83" s="382"/>
      <c r="CD83" s="382"/>
      <c r="CE83" s="382"/>
      <c r="CF83" s="382"/>
      <c r="CG83" s="382"/>
      <c r="CH83" s="382"/>
      <c r="CI83" s="382"/>
      <c r="CJ83" s="382"/>
      <c r="CK83" s="382"/>
      <c r="CL83" s="382"/>
      <c r="CM83" s="382"/>
      <c r="CN83" s="382"/>
      <c r="CO83" s="382"/>
      <c r="CP83" s="382"/>
      <c r="CQ83" s="382"/>
      <c r="CR83" s="382"/>
      <c r="CS83" s="382"/>
      <c r="CT83" s="382"/>
      <c r="CU83" s="382"/>
      <c r="CV83" s="382"/>
      <c r="CW83" s="189"/>
      <c r="CX83" s="382"/>
      <c r="CY83" s="382"/>
      <c r="CZ83" s="382"/>
      <c r="DA83" s="382"/>
      <c r="DB83" s="382"/>
      <c r="DC83" s="382"/>
      <c r="DD83" s="382"/>
      <c r="DE83" s="382"/>
      <c r="DF83" s="382"/>
      <c r="DG83" s="382"/>
      <c r="DH83" s="382"/>
      <c r="DI83" s="382"/>
      <c r="DJ83" s="382"/>
      <c r="DK83" s="382"/>
      <c r="DL83" s="382"/>
      <c r="DM83" s="382"/>
      <c r="DN83" s="382"/>
      <c r="DO83" s="382"/>
      <c r="DP83" s="208"/>
      <c r="DQ83" s="208"/>
      <c r="DR83" s="208"/>
      <c r="DS83" s="208"/>
      <c r="DT83" s="208"/>
      <c r="DU83" s="208"/>
      <c r="DV83" s="208"/>
      <c r="DW83" s="208"/>
      <c r="DX83" s="208"/>
      <c r="DY83" s="208"/>
      <c r="DZ83" s="227"/>
      <c r="EA83" s="186"/>
      <c r="EB83" s="186"/>
    </row>
    <row r="84" spans="4:132" s="176" customFormat="1" x14ac:dyDescent="0.2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4"/>
      <c r="O84" s="202"/>
      <c r="P84" s="202"/>
      <c r="Q84" s="656"/>
      <c r="R84" s="656"/>
      <c r="S84" s="203"/>
      <c r="T84" s="202"/>
      <c r="U84" s="202"/>
      <c r="V84" s="202"/>
      <c r="W84" s="202"/>
      <c r="X84" s="202"/>
      <c r="Y84" s="205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7"/>
      <c r="BV84" s="208"/>
      <c r="BW84" s="208"/>
      <c r="BX84" s="208"/>
      <c r="BY84" s="208"/>
      <c r="BZ84" s="382"/>
      <c r="CA84" s="382"/>
      <c r="CB84" s="382"/>
      <c r="CC84" s="382"/>
      <c r="CD84" s="382"/>
      <c r="CE84" s="382"/>
      <c r="CF84" s="382"/>
      <c r="CG84" s="382"/>
      <c r="CH84" s="382"/>
      <c r="CI84" s="382"/>
      <c r="CJ84" s="382"/>
      <c r="CK84" s="382"/>
      <c r="CL84" s="382"/>
      <c r="CM84" s="382"/>
      <c r="CN84" s="382"/>
      <c r="CO84" s="382"/>
      <c r="CP84" s="382"/>
      <c r="CQ84" s="382"/>
      <c r="CR84" s="382"/>
      <c r="CS84" s="382"/>
      <c r="CT84" s="382"/>
      <c r="CU84" s="382"/>
      <c r="CV84" s="382"/>
      <c r="CW84" s="189"/>
      <c r="CX84" s="382"/>
      <c r="CY84" s="382"/>
      <c r="CZ84" s="382"/>
      <c r="DA84" s="382"/>
      <c r="DB84" s="382"/>
      <c r="DC84" s="382"/>
      <c r="DD84" s="382"/>
      <c r="DE84" s="382"/>
      <c r="DF84" s="382"/>
      <c r="DG84" s="382"/>
      <c r="DH84" s="382"/>
      <c r="DI84" s="382"/>
      <c r="DJ84" s="382"/>
      <c r="DK84" s="382"/>
      <c r="DL84" s="382"/>
      <c r="DM84" s="382"/>
      <c r="DN84" s="382"/>
      <c r="DO84" s="382"/>
      <c r="DP84" s="208"/>
      <c r="DQ84" s="208"/>
      <c r="DR84" s="208"/>
      <c r="DS84" s="208"/>
      <c r="DT84" s="208"/>
      <c r="DU84" s="208"/>
      <c r="DV84" s="208"/>
      <c r="DW84" s="208"/>
      <c r="DX84" s="208"/>
      <c r="DY84" s="208"/>
      <c r="DZ84" s="227"/>
      <c r="EA84" s="186"/>
      <c r="EB84" s="186"/>
    </row>
    <row r="85" spans="4:132" s="176" customFormat="1" x14ac:dyDescent="0.2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4"/>
      <c r="O85" s="202"/>
      <c r="P85" s="202"/>
      <c r="Q85" s="656"/>
      <c r="R85" s="656"/>
      <c r="S85" s="203"/>
      <c r="T85" s="202"/>
      <c r="U85" s="202"/>
      <c r="V85" s="202"/>
      <c r="W85" s="202"/>
      <c r="X85" s="202"/>
      <c r="Y85" s="205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7"/>
      <c r="BV85" s="208"/>
      <c r="BW85" s="208"/>
      <c r="BX85" s="208"/>
      <c r="BY85" s="208"/>
      <c r="BZ85" s="382"/>
      <c r="CA85" s="382"/>
      <c r="CB85" s="382"/>
      <c r="CC85" s="382"/>
      <c r="CD85" s="382"/>
      <c r="CE85" s="382"/>
      <c r="CF85" s="382"/>
      <c r="CG85" s="382"/>
      <c r="CH85" s="382"/>
      <c r="CI85" s="382"/>
      <c r="CJ85" s="382"/>
      <c r="CK85" s="382"/>
      <c r="CL85" s="382"/>
      <c r="CM85" s="382"/>
      <c r="CN85" s="382"/>
      <c r="CO85" s="382"/>
      <c r="CP85" s="382"/>
      <c r="CQ85" s="382"/>
      <c r="CR85" s="382"/>
      <c r="CS85" s="382"/>
      <c r="CT85" s="382"/>
      <c r="CU85" s="382"/>
      <c r="CV85" s="382"/>
      <c r="CW85" s="189"/>
      <c r="CX85" s="382"/>
      <c r="CY85" s="382"/>
      <c r="CZ85" s="382"/>
      <c r="DA85" s="382"/>
      <c r="DB85" s="382"/>
      <c r="DC85" s="382"/>
      <c r="DD85" s="382"/>
      <c r="DE85" s="382"/>
      <c r="DF85" s="382"/>
      <c r="DG85" s="382"/>
      <c r="DH85" s="382"/>
      <c r="DI85" s="382"/>
      <c r="DJ85" s="382"/>
      <c r="DK85" s="382"/>
      <c r="DL85" s="382"/>
      <c r="DM85" s="382"/>
      <c r="DN85" s="382"/>
      <c r="DO85" s="382"/>
      <c r="DP85" s="208"/>
      <c r="DQ85" s="208"/>
      <c r="DR85" s="208"/>
      <c r="DS85" s="208"/>
      <c r="DT85" s="208"/>
      <c r="DU85" s="208"/>
      <c r="DV85" s="208"/>
      <c r="DW85" s="208"/>
      <c r="DX85" s="208"/>
      <c r="DY85" s="208"/>
      <c r="DZ85" s="227"/>
      <c r="EA85" s="186"/>
      <c r="EB85" s="186"/>
    </row>
    <row r="86" spans="4:132" s="176" customFormat="1" x14ac:dyDescent="0.2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4"/>
      <c r="O86" s="202"/>
      <c r="P86" s="202"/>
      <c r="Q86" s="656"/>
      <c r="R86" s="656"/>
      <c r="S86" s="203"/>
      <c r="T86" s="202"/>
      <c r="U86" s="202"/>
      <c r="V86" s="202"/>
      <c r="W86" s="202"/>
      <c r="X86" s="202"/>
      <c r="Y86" s="205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7"/>
      <c r="BV86" s="208"/>
      <c r="BW86" s="208"/>
      <c r="BX86" s="208"/>
      <c r="BY86" s="208"/>
      <c r="BZ86" s="382"/>
      <c r="CA86" s="382"/>
      <c r="CB86" s="382"/>
      <c r="CC86" s="382"/>
      <c r="CD86" s="382"/>
      <c r="CE86" s="382"/>
      <c r="CF86" s="382"/>
      <c r="CG86" s="382"/>
      <c r="CH86" s="382"/>
      <c r="CI86" s="382"/>
      <c r="CJ86" s="382"/>
      <c r="CK86" s="382"/>
      <c r="CL86" s="382"/>
      <c r="CM86" s="382"/>
      <c r="CN86" s="382"/>
      <c r="CO86" s="382"/>
      <c r="CP86" s="382"/>
      <c r="CQ86" s="382"/>
      <c r="CR86" s="382"/>
      <c r="CS86" s="382"/>
      <c r="CT86" s="382"/>
      <c r="CU86" s="382"/>
      <c r="CV86" s="382"/>
      <c r="CW86" s="189"/>
      <c r="CX86" s="382"/>
      <c r="CY86" s="382"/>
      <c r="CZ86" s="382"/>
      <c r="DA86" s="382"/>
      <c r="DB86" s="382"/>
      <c r="DC86" s="382"/>
      <c r="DD86" s="382"/>
      <c r="DE86" s="382"/>
      <c r="DF86" s="382"/>
      <c r="DG86" s="382"/>
      <c r="DH86" s="382"/>
      <c r="DI86" s="382"/>
      <c r="DJ86" s="382"/>
      <c r="DK86" s="382"/>
      <c r="DL86" s="382"/>
      <c r="DM86" s="382"/>
      <c r="DN86" s="382"/>
      <c r="DO86" s="382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27"/>
      <c r="EA86" s="186"/>
      <c r="EB86" s="186"/>
    </row>
    <row r="87" spans="4:132" s="176" customFormat="1" x14ac:dyDescent="0.2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4"/>
      <c r="O87" s="202"/>
      <c r="P87" s="202"/>
      <c r="Q87" s="656"/>
      <c r="R87" s="656"/>
      <c r="S87" s="203"/>
      <c r="T87" s="202"/>
      <c r="U87" s="202"/>
      <c r="V87" s="202"/>
      <c r="W87" s="202"/>
      <c r="X87" s="202"/>
      <c r="Y87" s="205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7"/>
      <c r="BV87" s="208"/>
      <c r="BW87" s="208"/>
      <c r="BX87" s="208"/>
      <c r="BY87" s="208"/>
      <c r="BZ87" s="382"/>
      <c r="CA87" s="382"/>
      <c r="CB87" s="382"/>
      <c r="CC87" s="382"/>
      <c r="CD87" s="382"/>
      <c r="CE87" s="382"/>
      <c r="CF87" s="382"/>
      <c r="CG87" s="382"/>
      <c r="CH87" s="382"/>
      <c r="CI87" s="382"/>
      <c r="CJ87" s="382"/>
      <c r="CK87" s="382"/>
      <c r="CL87" s="382"/>
      <c r="CM87" s="382"/>
      <c r="CN87" s="382"/>
      <c r="CO87" s="382"/>
      <c r="CP87" s="382"/>
      <c r="CQ87" s="382"/>
      <c r="CR87" s="382"/>
      <c r="CS87" s="382"/>
      <c r="CT87" s="382"/>
      <c r="CU87" s="382"/>
      <c r="CV87" s="382"/>
      <c r="CW87" s="189"/>
      <c r="CX87" s="382"/>
      <c r="CY87" s="382"/>
      <c r="CZ87" s="382"/>
      <c r="DA87" s="382"/>
      <c r="DB87" s="382"/>
      <c r="DC87" s="382"/>
      <c r="DD87" s="382"/>
      <c r="DE87" s="382"/>
      <c r="DF87" s="382"/>
      <c r="DG87" s="382"/>
      <c r="DH87" s="382"/>
      <c r="DI87" s="382"/>
      <c r="DJ87" s="382"/>
      <c r="DK87" s="382"/>
      <c r="DL87" s="382"/>
      <c r="DM87" s="382"/>
      <c r="DN87" s="382"/>
      <c r="DO87" s="382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27"/>
      <c r="EA87" s="186"/>
      <c r="EB87" s="186"/>
    </row>
    <row r="88" spans="4:132" s="176" customFormat="1" x14ac:dyDescent="0.2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4"/>
      <c r="O88" s="202"/>
      <c r="P88" s="202"/>
      <c r="Q88" s="656"/>
      <c r="R88" s="656"/>
      <c r="S88" s="203"/>
      <c r="T88" s="202"/>
      <c r="U88" s="202"/>
      <c r="V88" s="202"/>
      <c r="W88" s="202"/>
      <c r="X88" s="202"/>
      <c r="Y88" s="205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7"/>
      <c r="BV88" s="208"/>
      <c r="BW88" s="208"/>
      <c r="BX88" s="208"/>
      <c r="BY88" s="208"/>
      <c r="BZ88" s="382"/>
      <c r="CA88" s="382"/>
      <c r="CB88" s="382"/>
      <c r="CC88" s="382"/>
      <c r="CD88" s="382"/>
      <c r="CE88" s="382"/>
      <c r="CF88" s="382"/>
      <c r="CG88" s="382"/>
      <c r="CH88" s="382"/>
      <c r="CI88" s="382"/>
      <c r="CJ88" s="382"/>
      <c r="CK88" s="382"/>
      <c r="CL88" s="382"/>
      <c r="CM88" s="382"/>
      <c r="CN88" s="382"/>
      <c r="CO88" s="382"/>
      <c r="CP88" s="382"/>
      <c r="CQ88" s="382"/>
      <c r="CR88" s="382"/>
      <c r="CS88" s="382"/>
      <c r="CT88" s="382"/>
      <c r="CU88" s="382"/>
      <c r="CV88" s="382"/>
      <c r="CW88" s="189"/>
      <c r="CX88" s="382"/>
      <c r="CY88" s="382"/>
      <c r="CZ88" s="382"/>
      <c r="DA88" s="382"/>
      <c r="DB88" s="382"/>
      <c r="DC88" s="382"/>
      <c r="DD88" s="382"/>
      <c r="DE88" s="382"/>
      <c r="DF88" s="382"/>
      <c r="DG88" s="382"/>
      <c r="DH88" s="382"/>
      <c r="DI88" s="382"/>
      <c r="DJ88" s="382"/>
      <c r="DK88" s="382"/>
      <c r="DL88" s="382"/>
      <c r="DM88" s="382"/>
      <c r="DN88" s="382"/>
      <c r="DO88" s="382"/>
      <c r="DP88" s="208"/>
      <c r="DQ88" s="208"/>
      <c r="DR88" s="208"/>
      <c r="DS88" s="208"/>
      <c r="DT88" s="208"/>
      <c r="DU88" s="208"/>
      <c r="DV88" s="208"/>
      <c r="DW88" s="208"/>
      <c r="DX88" s="208"/>
      <c r="DY88" s="208"/>
      <c r="DZ88" s="227"/>
      <c r="EA88" s="186"/>
      <c r="EB88" s="186"/>
    </row>
    <row r="89" spans="4:132" s="176" customFormat="1" x14ac:dyDescent="0.2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4"/>
      <c r="O89" s="202"/>
      <c r="P89" s="202"/>
      <c r="Q89" s="656"/>
      <c r="R89" s="656"/>
      <c r="S89" s="203"/>
      <c r="T89" s="202"/>
      <c r="U89" s="202"/>
      <c r="V89" s="202"/>
      <c r="W89" s="202"/>
      <c r="X89" s="202"/>
      <c r="Y89" s="205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7"/>
      <c r="BV89" s="208"/>
      <c r="BW89" s="208"/>
      <c r="BX89" s="208"/>
      <c r="BY89" s="208"/>
      <c r="BZ89" s="382"/>
      <c r="CA89" s="382"/>
      <c r="CB89" s="382"/>
      <c r="CC89" s="382"/>
      <c r="CD89" s="382"/>
      <c r="CE89" s="382"/>
      <c r="CF89" s="382"/>
      <c r="CG89" s="382"/>
      <c r="CH89" s="382"/>
      <c r="CI89" s="382"/>
      <c r="CJ89" s="382"/>
      <c r="CK89" s="382"/>
      <c r="CL89" s="382"/>
      <c r="CM89" s="382"/>
      <c r="CN89" s="382"/>
      <c r="CO89" s="382"/>
      <c r="CP89" s="382"/>
      <c r="CQ89" s="382"/>
      <c r="CR89" s="382"/>
      <c r="CS89" s="382"/>
      <c r="CT89" s="382"/>
      <c r="CU89" s="382"/>
      <c r="CV89" s="382"/>
      <c r="CW89" s="189"/>
      <c r="CX89" s="382"/>
      <c r="CY89" s="382"/>
      <c r="CZ89" s="382"/>
      <c r="DA89" s="382"/>
      <c r="DB89" s="382"/>
      <c r="DC89" s="382"/>
      <c r="DD89" s="382"/>
      <c r="DE89" s="382"/>
      <c r="DF89" s="382"/>
      <c r="DG89" s="382"/>
      <c r="DH89" s="382"/>
      <c r="DI89" s="382"/>
      <c r="DJ89" s="382"/>
      <c r="DK89" s="382"/>
      <c r="DL89" s="382"/>
      <c r="DM89" s="382"/>
      <c r="DN89" s="382"/>
      <c r="DO89" s="382"/>
      <c r="DP89" s="208"/>
      <c r="DQ89" s="208"/>
      <c r="DR89" s="208"/>
      <c r="DS89" s="208"/>
      <c r="DT89" s="208"/>
      <c r="DU89" s="208"/>
      <c r="DV89" s="208"/>
      <c r="DW89" s="208"/>
      <c r="DX89" s="208"/>
      <c r="DY89" s="208"/>
      <c r="DZ89" s="227"/>
      <c r="EA89" s="186"/>
      <c r="EB89" s="186"/>
    </row>
    <row r="90" spans="4:132" s="176" customFormat="1" x14ac:dyDescent="0.2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4"/>
      <c r="O90" s="202"/>
      <c r="P90" s="202"/>
      <c r="Q90" s="656"/>
      <c r="R90" s="656"/>
      <c r="S90" s="203"/>
      <c r="T90" s="202"/>
      <c r="U90" s="202"/>
      <c r="V90" s="202"/>
      <c r="W90" s="202"/>
      <c r="X90" s="202"/>
      <c r="Y90" s="205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7"/>
      <c r="BV90" s="208"/>
      <c r="BW90" s="208"/>
      <c r="BX90" s="208"/>
      <c r="BY90" s="208"/>
      <c r="BZ90" s="382"/>
      <c r="CA90" s="382"/>
      <c r="CB90" s="382"/>
      <c r="CC90" s="382"/>
      <c r="CD90" s="382"/>
      <c r="CE90" s="382"/>
      <c r="CF90" s="382"/>
      <c r="CG90" s="382"/>
      <c r="CH90" s="382"/>
      <c r="CI90" s="382"/>
      <c r="CJ90" s="382"/>
      <c r="CK90" s="382"/>
      <c r="CL90" s="382"/>
      <c r="CM90" s="382"/>
      <c r="CN90" s="382"/>
      <c r="CO90" s="382"/>
      <c r="CP90" s="382"/>
      <c r="CQ90" s="382"/>
      <c r="CR90" s="382"/>
      <c r="CS90" s="382"/>
      <c r="CT90" s="382"/>
      <c r="CU90" s="382"/>
      <c r="CV90" s="382"/>
      <c r="CW90" s="189"/>
      <c r="CX90" s="382"/>
      <c r="CY90" s="382"/>
      <c r="CZ90" s="382"/>
      <c r="DA90" s="382"/>
      <c r="DB90" s="382"/>
      <c r="DC90" s="382"/>
      <c r="DD90" s="382"/>
      <c r="DE90" s="382"/>
      <c r="DF90" s="382"/>
      <c r="DG90" s="382"/>
      <c r="DH90" s="382"/>
      <c r="DI90" s="382"/>
      <c r="DJ90" s="382"/>
      <c r="DK90" s="382"/>
      <c r="DL90" s="382"/>
      <c r="DM90" s="382"/>
      <c r="DN90" s="382"/>
      <c r="DO90" s="382"/>
      <c r="DP90" s="208"/>
      <c r="DQ90" s="208"/>
      <c r="DR90" s="208"/>
      <c r="DS90" s="208"/>
      <c r="DT90" s="208"/>
      <c r="DU90" s="208"/>
      <c r="DV90" s="208"/>
      <c r="DW90" s="208"/>
      <c r="DX90" s="208"/>
      <c r="DY90" s="208"/>
      <c r="DZ90" s="227"/>
      <c r="EA90" s="186"/>
      <c r="EB90" s="186"/>
    </row>
    <row r="91" spans="4:132" s="176" customFormat="1" x14ac:dyDescent="0.2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4"/>
      <c r="O91" s="202"/>
      <c r="P91" s="202"/>
      <c r="Q91" s="656"/>
      <c r="R91" s="656"/>
      <c r="S91" s="203"/>
      <c r="T91" s="202"/>
      <c r="U91" s="202"/>
      <c r="V91" s="202"/>
      <c r="W91" s="202"/>
      <c r="X91" s="202"/>
      <c r="Y91" s="205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7"/>
      <c r="BV91" s="208"/>
      <c r="BW91" s="208"/>
      <c r="BX91" s="208"/>
      <c r="BY91" s="208"/>
      <c r="BZ91" s="382"/>
      <c r="CA91" s="382"/>
      <c r="CB91" s="382"/>
      <c r="CC91" s="382"/>
      <c r="CD91" s="382"/>
      <c r="CE91" s="382"/>
      <c r="CF91" s="382"/>
      <c r="CG91" s="382"/>
      <c r="CH91" s="382"/>
      <c r="CI91" s="382"/>
      <c r="CJ91" s="382"/>
      <c r="CK91" s="382"/>
      <c r="CL91" s="382"/>
      <c r="CM91" s="382"/>
      <c r="CN91" s="382"/>
      <c r="CO91" s="382"/>
      <c r="CP91" s="382"/>
      <c r="CQ91" s="382"/>
      <c r="CR91" s="382"/>
      <c r="CS91" s="382"/>
      <c r="CT91" s="382"/>
      <c r="CU91" s="382"/>
      <c r="CV91" s="382"/>
      <c r="CW91" s="189"/>
      <c r="CX91" s="382"/>
      <c r="CY91" s="382"/>
      <c r="CZ91" s="382"/>
      <c r="DA91" s="382"/>
      <c r="DB91" s="382"/>
      <c r="DC91" s="382"/>
      <c r="DD91" s="382"/>
      <c r="DE91" s="382"/>
      <c r="DF91" s="382"/>
      <c r="DG91" s="382"/>
      <c r="DH91" s="382"/>
      <c r="DI91" s="382"/>
      <c r="DJ91" s="382"/>
      <c r="DK91" s="382"/>
      <c r="DL91" s="382"/>
      <c r="DM91" s="382"/>
      <c r="DN91" s="382"/>
      <c r="DO91" s="382"/>
      <c r="DP91" s="208"/>
      <c r="DQ91" s="208"/>
      <c r="DR91" s="208"/>
      <c r="DS91" s="208"/>
      <c r="DT91" s="208"/>
      <c r="DU91" s="208"/>
      <c r="DV91" s="208"/>
      <c r="DW91" s="208"/>
      <c r="DX91" s="208"/>
      <c r="DY91" s="208"/>
      <c r="DZ91" s="227"/>
      <c r="EA91" s="186"/>
      <c r="EB91" s="186"/>
    </row>
    <row r="92" spans="4:132" s="176" customFormat="1" x14ac:dyDescent="0.2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4"/>
      <c r="O92" s="202"/>
      <c r="P92" s="202"/>
      <c r="Q92" s="656"/>
      <c r="R92" s="656"/>
      <c r="S92" s="203"/>
      <c r="T92" s="202"/>
      <c r="U92" s="202"/>
      <c r="V92" s="202"/>
      <c r="W92" s="202"/>
      <c r="X92" s="202"/>
      <c r="Y92" s="205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7"/>
      <c r="BV92" s="208"/>
      <c r="BW92" s="208"/>
      <c r="BX92" s="208"/>
      <c r="BY92" s="208"/>
      <c r="BZ92" s="382"/>
      <c r="CA92" s="382"/>
      <c r="CB92" s="382"/>
      <c r="CC92" s="382"/>
      <c r="CD92" s="382"/>
      <c r="CE92" s="382"/>
      <c r="CF92" s="382"/>
      <c r="CG92" s="382"/>
      <c r="CH92" s="382"/>
      <c r="CI92" s="382"/>
      <c r="CJ92" s="382"/>
      <c r="CK92" s="382"/>
      <c r="CL92" s="382"/>
      <c r="CM92" s="382"/>
      <c r="CN92" s="382"/>
      <c r="CO92" s="382"/>
      <c r="CP92" s="382"/>
      <c r="CQ92" s="382"/>
      <c r="CR92" s="382"/>
      <c r="CS92" s="382"/>
      <c r="CT92" s="382"/>
      <c r="CU92" s="382"/>
      <c r="CV92" s="382"/>
      <c r="CW92" s="189"/>
      <c r="CX92" s="382"/>
      <c r="CY92" s="382"/>
      <c r="CZ92" s="382"/>
      <c r="DA92" s="382"/>
      <c r="DB92" s="382"/>
      <c r="DC92" s="382"/>
      <c r="DD92" s="382"/>
      <c r="DE92" s="382"/>
      <c r="DF92" s="382"/>
      <c r="DG92" s="382"/>
      <c r="DH92" s="382"/>
      <c r="DI92" s="382"/>
      <c r="DJ92" s="382"/>
      <c r="DK92" s="382"/>
      <c r="DL92" s="382"/>
      <c r="DM92" s="382"/>
      <c r="DN92" s="382"/>
      <c r="DO92" s="382"/>
      <c r="DP92" s="208"/>
      <c r="DQ92" s="208"/>
      <c r="DR92" s="208"/>
      <c r="DS92" s="208"/>
      <c r="DT92" s="208"/>
      <c r="DU92" s="208"/>
      <c r="DV92" s="208"/>
      <c r="DW92" s="208"/>
      <c r="DX92" s="208"/>
      <c r="DY92" s="208"/>
      <c r="DZ92" s="227"/>
      <c r="EA92" s="186"/>
      <c r="EB92" s="186"/>
    </row>
    <row r="93" spans="4:132" s="176" customFormat="1" x14ac:dyDescent="0.2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4"/>
      <c r="O93" s="202"/>
      <c r="P93" s="202"/>
      <c r="Q93" s="656"/>
      <c r="R93" s="656"/>
      <c r="S93" s="203"/>
      <c r="T93" s="202"/>
      <c r="U93" s="202"/>
      <c r="V93" s="202"/>
      <c r="W93" s="202"/>
      <c r="X93" s="202"/>
      <c r="Y93" s="205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7"/>
      <c r="BV93" s="208"/>
      <c r="BW93" s="208"/>
      <c r="BX93" s="208"/>
      <c r="BY93" s="208"/>
      <c r="BZ93" s="382"/>
      <c r="CA93" s="382"/>
      <c r="CB93" s="382"/>
      <c r="CC93" s="382"/>
      <c r="CD93" s="382"/>
      <c r="CE93" s="382"/>
      <c r="CF93" s="382"/>
      <c r="CG93" s="382"/>
      <c r="CH93" s="382"/>
      <c r="CI93" s="382"/>
      <c r="CJ93" s="382"/>
      <c r="CK93" s="382"/>
      <c r="CL93" s="382"/>
      <c r="CM93" s="382"/>
      <c r="CN93" s="382"/>
      <c r="CO93" s="382"/>
      <c r="CP93" s="382"/>
      <c r="CQ93" s="382"/>
      <c r="CR93" s="382"/>
      <c r="CS93" s="382"/>
      <c r="CT93" s="382"/>
      <c r="CU93" s="382"/>
      <c r="CV93" s="382"/>
      <c r="CW93" s="189"/>
      <c r="CX93" s="382"/>
      <c r="CY93" s="382"/>
      <c r="CZ93" s="382"/>
      <c r="DA93" s="382"/>
      <c r="DB93" s="382"/>
      <c r="DC93" s="382"/>
      <c r="DD93" s="382"/>
      <c r="DE93" s="382"/>
      <c r="DF93" s="382"/>
      <c r="DG93" s="382"/>
      <c r="DH93" s="382"/>
      <c r="DI93" s="382"/>
      <c r="DJ93" s="382"/>
      <c r="DK93" s="382"/>
      <c r="DL93" s="382"/>
      <c r="DM93" s="382"/>
      <c r="DN93" s="382"/>
      <c r="DO93" s="382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27"/>
      <c r="EA93" s="186"/>
      <c r="EB93" s="186"/>
    </row>
    <row r="94" spans="4:132" s="176" customFormat="1" ht="15.75" customHeight="1" x14ac:dyDescent="0.2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4"/>
      <c r="O94" s="202"/>
      <c r="P94" s="202"/>
      <c r="Q94" s="656"/>
      <c r="R94" s="656"/>
      <c r="S94" s="203"/>
      <c r="T94" s="202"/>
      <c r="U94" s="202"/>
      <c r="V94" s="202"/>
      <c r="W94" s="202"/>
      <c r="X94" s="202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7"/>
      <c r="BV94" s="208"/>
      <c r="BW94" s="208"/>
      <c r="BX94" s="208"/>
      <c r="BY94" s="208"/>
      <c r="BZ94" s="382"/>
      <c r="CA94" s="382"/>
      <c r="CB94" s="382"/>
      <c r="CC94" s="382"/>
      <c r="CD94" s="382"/>
      <c r="CE94" s="382"/>
      <c r="CF94" s="382"/>
      <c r="CG94" s="382"/>
      <c r="CH94" s="382"/>
      <c r="CI94" s="382"/>
      <c r="CJ94" s="382"/>
      <c r="CK94" s="382"/>
      <c r="CL94" s="382"/>
      <c r="CM94" s="382"/>
      <c r="CN94" s="382"/>
      <c r="CO94" s="382"/>
      <c r="CP94" s="382"/>
      <c r="CQ94" s="382"/>
      <c r="CR94" s="382"/>
      <c r="CS94" s="382"/>
      <c r="CT94" s="382"/>
      <c r="CU94" s="382"/>
      <c r="CV94" s="382"/>
      <c r="CW94" s="189"/>
      <c r="CX94" s="382"/>
      <c r="CY94" s="382"/>
      <c r="CZ94" s="382"/>
      <c r="DA94" s="382"/>
      <c r="DB94" s="382"/>
      <c r="DC94" s="382"/>
      <c r="DD94" s="382"/>
      <c r="DE94" s="382"/>
      <c r="DF94" s="382"/>
      <c r="DG94" s="382"/>
      <c r="DH94" s="382"/>
      <c r="DI94" s="382"/>
      <c r="DJ94" s="382"/>
      <c r="DK94" s="382"/>
      <c r="DL94" s="382"/>
      <c r="DM94" s="382"/>
      <c r="DN94" s="382"/>
      <c r="DO94" s="382"/>
      <c r="DP94" s="208"/>
      <c r="DQ94" s="208"/>
      <c r="DR94" s="208"/>
      <c r="DS94" s="208"/>
      <c r="DT94" s="208"/>
      <c r="DU94" s="208"/>
      <c r="DV94" s="208"/>
      <c r="DW94" s="208"/>
      <c r="DX94" s="208"/>
      <c r="DY94" s="208"/>
      <c r="DZ94" s="227"/>
      <c r="EA94" s="186"/>
      <c r="EB94" s="186"/>
    </row>
    <row r="95" spans="4:132" s="176" customFormat="1" ht="15.75" customHeight="1" x14ac:dyDescent="0.2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4"/>
      <c r="O95" s="202"/>
      <c r="P95" s="202"/>
      <c r="Q95" s="656"/>
      <c r="R95" s="656"/>
      <c r="S95" s="203"/>
      <c r="T95" s="202"/>
      <c r="U95" s="202"/>
      <c r="V95" s="202"/>
      <c r="W95" s="202"/>
      <c r="X95" s="202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7"/>
      <c r="BV95" s="208"/>
      <c r="BW95" s="208"/>
      <c r="BX95" s="208"/>
      <c r="BY95" s="208"/>
      <c r="BZ95" s="382"/>
      <c r="CA95" s="382"/>
      <c r="CB95" s="382"/>
      <c r="CC95" s="382"/>
      <c r="CD95" s="382"/>
      <c r="CE95" s="382"/>
      <c r="CF95" s="382"/>
      <c r="CG95" s="382"/>
      <c r="CH95" s="382"/>
      <c r="CI95" s="382"/>
      <c r="CJ95" s="382"/>
      <c r="CK95" s="382"/>
      <c r="CL95" s="382"/>
      <c r="CM95" s="382"/>
      <c r="CN95" s="382"/>
      <c r="CO95" s="382"/>
      <c r="CP95" s="382"/>
      <c r="CQ95" s="382"/>
      <c r="CR95" s="382"/>
      <c r="CS95" s="382"/>
      <c r="CT95" s="382"/>
      <c r="CU95" s="382"/>
      <c r="CV95" s="382"/>
      <c r="CW95" s="189"/>
      <c r="CX95" s="382"/>
      <c r="CY95" s="382"/>
      <c r="CZ95" s="382"/>
      <c r="DA95" s="382"/>
      <c r="DB95" s="382"/>
      <c r="DC95" s="382"/>
      <c r="DD95" s="382"/>
      <c r="DE95" s="382"/>
      <c r="DF95" s="382"/>
      <c r="DG95" s="382"/>
      <c r="DH95" s="382"/>
      <c r="DI95" s="382"/>
      <c r="DJ95" s="382"/>
      <c r="DK95" s="382"/>
      <c r="DL95" s="382"/>
      <c r="DM95" s="382"/>
      <c r="DN95" s="382"/>
      <c r="DO95" s="382"/>
      <c r="DP95" s="208"/>
      <c r="DQ95" s="208"/>
      <c r="DR95" s="208"/>
      <c r="DS95" s="208"/>
      <c r="DT95" s="208"/>
      <c r="DU95" s="208"/>
      <c r="DV95" s="208"/>
      <c r="DW95" s="208"/>
      <c r="DX95" s="208"/>
      <c r="DY95" s="208"/>
      <c r="DZ95" s="227"/>
      <c r="EA95" s="186"/>
      <c r="EB95" s="186"/>
    </row>
    <row r="96" spans="4:132" s="176" customFormat="1" ht="15.75" customHeight="1" x14ac:dyDescent="0.2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4"/>
      <c r="O96" s="202"/>
      <c r="P96" s="202"/>
      <c r="Q96" s="656"/>
      <c r="R96" s="656"/>
      <c r="S96" s="203"/>
      <c r="T96" s="202"/>
      <c r="U96" s="202"/>
      <c r="V96" s="202"/>
      <c r="W96" s="202"/>
      <c r="X96" s="202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7"/>
      <c r="BV96" s="208"/>
      <c r="BW96" s="208"/>
      <c r="BX96" s="208"/>
      <c r="BY96" s="208"/>
      <c r="BZ96" s="382"/>
      <c r="CA96" s="382"/>
      <c r="CB96" s="382"/>
      <c r="CC96" s="382"/>
      <c r="CD96" s="382"/>
      <c r="CE96" s="382"/>
      <c r="CF96" s="382"/>
      <c r="CG96" s="382"/>
      <c r="CH96" s="382"/>
      <c r="CI96" s="382"/>
      <c r="CJ96" s="382"/>
      <c r="CK96" s="382"/>
      <c r="CL96" s="382"/>
      <c r="CM96" s="382"/>
      <c r="CN96" s="382"/>
      <c r="CO96" s="382"/>
      <c r="CP96" s="382"/>
      <c r="CQ96" s="382"/>
      <c r="CR96" s="382"/>
      <c r="CS96" s="382"/>
      <c r="CT96" s="382"/>
      <c r="CU96" s="382"/>
      <c r="CV96" s="382"/>
      <c r="CW96" s="189"/>
      <c r="CX96" s="382"/>
      <c r="CY96" s="382"/>
      <c r="CZ96" s="382"/>
      <c r="DA96" s="382"/>
      <c r="DB96" s="382"/>
      <c r="DC96" s="382"/>
      <c r="DD96" s="382"/>
      <c r="DE96" s="382"/>
      <c r="DF96" s="382"/>
      <c r="DG96" s="382"/>
      <c r="DH96" s="382"/>
      <c r="DI96" s="382"/>
      <c r="DJ96" s="382"/>
      <c r="DK96" s="382"/>
      <c r="DL96" s="382"/>
      <c r="DM96" s="382"/>
      <c r="DN96" s="382"/>
      <c r="DO96" s="382"/>
      <c r="DP96" s="208"/>
      <c r="DQ96" s="208"/>
      <c r="DR96" s="208"/>
      <c r="DS96" s="208"/>
      <c r="DT96" s="208"/>
      <c r="DU96" s="208"/>
      <c r="DV96" s="208"/>
      <c r="DW96" s="208"/>
      <c r="DX96" s="208"/>
      <c r="DY96" s="208"/>
      <c r="DZ96" s="227"/>
      <c r="EA96" s="186"/>
      <c r="EB96" s="186"/>
    </row>
    <row r="97" spans="2:132" s="176" customFormat="1" ht="15.75" customHeight="1" x14ac:dyDescent="0.2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4"/>
      <c r="O97" s="202"/>
      <c r="P97" s="202"/>
      <c r="Q97" s="656"/>
      <c r="R97" s="656"/>
      <c r="S97" s="203"/>
      <c r="T97" s="202"/>
      <c r="U97" s="202"/>
      <c r="V97" s="202"/>
      <c r="W97" s="202"/>
      <c r="X97" s="202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7"/>
      <c r="BV97" s="208"/>
      <c r="BW97" s="208"/>
      <c r="BX97" s="208"/>
      <c r="BY97" s="208"/>
      <c r="BZ97" s="382"/>
      <c r="CA97" s="382"/>
      <c r="CB97" s="382"/>
      <c r="CC97" s="382"/>
      <c r="CD97" s="382"/>
      <c r="CE97" s="382"/>
      <c r="CF97" s="382"/>
      <c r="CG97" s="382"/>
      <c r="CH97" s="382"/>
      <c r="CI97" s="382"/>
      <c r="CJ97" s="382"/>
      <c r="CK97" s="382"/>
      <c r="CL97" s="382"/>
      <c r="CM97" s="382"/>
      <c r="CN97" s="382"/>
      <c r="CO97" s="382"/>
      <c r="CP97" s="382"/>
      <c r="CQ97" s="382"/>
      <c r="CR97" s="382"/>
      <c r="CS97" s="382"/>
      <c r="CT97" s="382"/>
      <c r="CU97" s="382"/>
      <c r="CV97" s="382"/>
      <c r="CW97" s="189"/>
      <c r="CX97" s="382"/>
      <c r="CY97" s="382"/>
      <c r="CZ97" s="382"/>
      <c r="DA97" s="382"/>
      <c r="DB97" s="382"/>
      <c r="DC97" s="382"/>
      <c r="DD97" s="382"/>
      <c r="DE97" s="382"/>
      <c r="DF97" s="382"/>
      <c r="DG97" s="382"/>
      <c r="DH97" s="382"/>
      <c r="DI97" s="382"/>
      <c r="DJ97" s="382"/>
      <c r="DK97" s="382"/>
      <c r="DL97" s="382"/>
      <c r="DM97" s="382"/>
      <c r="DN97" s="382"/>
      <c r="DO97" s="382"/>
      <c r="DP97" s="208"/>
      <c r="DQ97" s="208"/>
      <c r="DR97" s="208"/>
      <c r="DS97" s="208"/>
      <c r="DT97" s="208"/>
      <c r="DU97" s="208"/>
      <c r="DV97" s="208"/>
      <c r="DW97" s="208"/>
      <c r="DX97" s="208"/>
      <c r="DY97" s="208"/>
      <c r="DZ97" s="227"/>
      <c r="EA97" s="186"/>
      <c r="EB97" s="186"/>
    </row>
    <row r="98" spans="2:132" s="176" customFormat="1" ht="15.75" customHeight="1" x14ac:dyDescent="0.2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4"/>
      <c r="O98" s="202"/>
      <c r="P98" s="202"/>
      <c r="Q98" s="656"/>
      <c r="R98" s="656"/>
      <c r="S98" s="203"/>
      <c r="T98" s="202"/>
      <c r="U98" s="202"/>
      <c r="V98" s="202"/>
      <c r="W98" s="202"/>
      <c r="X98" s="202"/>
      <c r="BD98" s="208"/>
      <c r="BE98" s="208"/>
      <c r="BF98" s="208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7"/>
      <c r="BV98" s="208"/>
      <c r="BW98" s="208"/>
      <c r="BX98" s="208"/>
      <c r="BY98" s="208"/>
      <c r="BZ98" s="382"/>
      <c r="CA98" s="382"/>
      <c r="CB98" s="382"/>
      <c r="CC98" s="382"/>
      <c r="CD98" s="382"/>
      <c r="CE98" s="382"/>
      <c r="CF98" s="382"/>
      <c r="CG98" s="382"/>
      <c r="CH98" s="382"/>
      <c r="CI98" s="382"/>
      <c r="CJ98" s="382"/>
      <c r="CK98" s="382"/>
      <c r="CL98" s="382"/>
      <c r="CM98" s="382"/>
      <c r="CN98" s="382"/>
      <c r="CO98" s="382"/>
      <c r="CP98" s="382"/>
      <c r="CQ98" s="382"/>
      <c r="CR98" s="382"/>
      <c r="CS98" s="382"/>
      <c r="CT98" s="382"/>
      <c r="CU98" s="382"/>
      <c r="CV98" s="382"/>
      <c r="CW98" s="189"/>
      <c r="CX98" s="382"/>
      <c r="CY98" s="382"/>
      <c r="CZ98" s="382"/>
      <c r="DA98" s="382"/>
      <c r="DB98" s="382"/>
      <c r="DC98" s="382"/>
      <c r="DD98" s="382"/>
      <c r="DE98" s="382"/>
      <c r="DF98" s="382"/>
      <c r="DG98" s="382"/>
      <c r="DH98" s="382"/>
      <c r="DI98" s="382"/>
      <c r="DJ98" s="382"/>
      <c r="DK98" s="382"/>
      <c r="DL98" s="382"/>
      <c r="DM98" s="382"/>
      <c r="DN98" s="382"/>
      <c r="DO98" s="382"/>
      <c r="DP98" s="208"/>
      <c r="DQ98" s="208"/>
      <c r="DR98" s="208"/>
      <c r="DS98" s="208"/>
      <c r="DT98" s="208"/>
      <c r="DU98" s="208"/>
      <c r="DV98" s="208"/>
      <c r="DW98" s="208"/>
      <c r="DX98" s="208"/>
      <c r="DY98" s="208"/>
      <c r="DZ98" s="227"/>
      <c r="EA98" s="186"/>
      <c r="EB98" s="186"/>
    </row>
    <row r="99" spans="2:132" s="176" customFormat="1" ht="15.75" customHeight="1" x14ac:dyDescent="0.2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4"/>
      <c r="O99" s="202"/>
      <c r="P99" s="202"/>
      <c r="Q99" s="656"/>
      <c r="R99" s="656"/>
      <c r="S99" s="203"/>
      <c r="T99" s="202"/>
      <c r="U99" s="202"/>
      <c r="V99" s="202"/>
      <c r="W99" s="202"/>
      <c r="X99" s="202"/>
      <c r="BD99" s="208"/>
      <c r="BE99" s="208"/>
      <c r="BF99" s="208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7"/>
      <c r="BV99" s="208"/>
      <c r="BW99" s="208"/>
      <c r="BX99" s="208"/>
      <c r="BY99" s="208"/>
      <c r="BZ99" s="382"/>
      <c r="CA99" s="382"/>
      <c r="CB99" s="382"/>
      <c r="CC99" s="382"/>
      <c r="CD99" s="382"/>
      <c r="CE99" s="382"/>
      <c r="CF99" s="382"/>
      <c r="CG99" s="382"/>
      <c r="CH99" s="382"/>
      <c r="CI99" s="382"/>
      <c r="CJ99" s="382"/>
      <c r="CK99" s="382"/>
      <c r="CL99" s="382"/>
      <c r="CM99" s="382"/>
      <c r="CN99" s="382"/>
      <c r="CO99" s="382"/>
      <c r="CP99" s="382"/>
      <c r="CQ99" s="382"/>
      <c r="CR99" s="382"/>
      <c r="CS99" s="382"/>
      <c r="CT99" s="854"/>
      <c r="CU99" s="854"/>
      <c r="CV99" s="854"/>
      <c r="CW99" s="475"/>
      <c r="CX99" s="382"/>
      <c r="CY99" s="382"/>
      <c r="CZ99" s="382"/>
      <c r="DA99" s="382"/>
      <c r="DB99" s="382"/>
      <c r="DC99" s="382"/>
      <c r="DD99" s="382"/>
      <c r="DE99" s="382"/>
      <c r="DF99" s="382"/>
      <c r="DG99" s="382"/>
      <c r="DH99" s="382"/>
      <c r="DI99" s="382"/>
      <c r="DJ99" s="382"/>
      <c r="DK99" s="382"/>
      <c r="DL99" s="382"/>
      <c r="DM99" s="382"/>
      <c r="DN99" s="382"/>
      <c r="DO99" s="382"/>
      <c r="DP99" s="208"/>
      <c r="DQ99" s="208"/>
      <c r="DR99" s="208"/>
      <c r="DS99" s="208"/>
      <c r="DT99" s="208"/>
      <c r="DU99" s="208"/>
      <c r="DV99" s="208"/>
      <c r="DW99" s="208"/>
      <c r="DX99" s="208"/>
      <c r="DY99" s="208"/>
      <c r="DZ99" s="227"/>
      <c r="EA99" s="186"/>
      <c r="EB99" s="186"/>
    </row>
    <row r="100" spans="2:132" s="176" customFormat="1" ht="15.75" customHeight="1" x14ac:dyDescent="0.2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4"/>
      <c r="O100" s="202"/>
      <c r="P100" s="202"/>
      <c r="Q100" s="656"/>
      <c r="R100" s="656"/>
      <c r="S100" s="203"/>
      <c r="T100" s="202"/>
      <c r="U100" s="202"/>
      <c r="V100" s="202"/>
      <c r="W100" s="202"/>
      <c r="X100" s="202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7"/>
      <c r="BV100" s="208"/>
      <c r="BW100" s="208"/>
      <c r="BX100" s="208"/>
      <c r="BY100" s="208"/>
      <c r="BZ100" s="382"/>
      <c r="CA100" s="382"/>
      <c r="CB100" s="382"/>
      <c r="CC100" s="382"/>
      <c r="CD100" s="382"/>
      <c r="CE100" s="382"/>
      <c r="CF100" s="382"/>
      <c r="CG100" s="382"/>
      <c r="CH100" s="382"/>
      <c r="CI100" s="382"/>
      <c r="CJ100" s="382"/>
      <c r="CK100" s="382"/>
      <c r="CL100" s="382"/>
      <c r="CM100" s="382"/>
      <c r="CN100" s="382"/>
      <c r="CO100" s="382"/>
      <c r="CP100" s="382"/>
      <c r="CQ100" s="382"/>
      <c r="CR100" s="382"/>
      <c r="CS100" s="382"/>
      <c r="CT100" s="854"/>
      <c r="CU100" s="854"/>
      <c r="CV100" s="854"/>
      <c r="CW100" s="475"/>
      <c r="CX100" s="382"/>
      <c r="CY100" s="382"/>
      <c r="CZ100" s="382"/>
      <c r="DA100" s="382"/>
      <c r="DB100" s="382"/>
      <c r="DC100" s="382"/>
      <c r="DD100" s="382"/>
      <c r="DE100" s="382"/>
      <c r="DF100" s="382"/>
      <c r="DG100" s="382"/>
      <c r="DH100" s="382"/>
      <c r="DI100" s="382"/>
      <c r="DJ100" s="382"/>
      <c r="DK100" s="382"/>
      <c r="DL100" s="382"/>
      <c r="DM100" s="382"/>
      <c r="DN100" s="382"/>
      <c r="DO100" s="382"/>
      <c r="DP100" s="208"/>
      <c r="DQ100" s="208"/>
      <c r="DR100" s="208"/>
      <c r="DS100" s="208"/>
      <c r="DT100" s="208"/>
      <c r="DU100" s="208"/>
      <c r="DV100" s="208"/>
      <c r="DW100" s="208"/>
      <c r="DX100" s="208"/>
      <c r="DY100" s="208"/>
      <c r="DZ100" s="227"/>
      <c r="EA100" s="186"/>
      <c r="EB100" s="186"/>
    </row>
    <row r="101" spans="2:132" s="177" customFormat="1" ht="15.75" customHeight="1" x14ac:dyDescent="0.2">
      <c r="D101" s="726"/>
      <c r="E101" s="726"/>
      <c r="F101" s="726"/>
      <c r="G101" s="726"/>
      <c r="H101" s="726"/>
      <c r="I101" s="726"/>
      <c r="J101" s="726"/>
      <c r="K101" s="726"/>
      <c r="L101" s="726"/>
      <c r="M101" s="726"/>
      <c r="N101" s="727"/>
      <c r="O101" s="726"/>
      <c r="P101" s="726"/>
      <c r="Q101" s="728"/>
      <c r="R101" s="728"/>
      <c r="S101" s="723"/>
      <c r="T101" s="726"/>
      <c r="U101" s="726"/>
      <c r="V101" s="726"/>
      <c r="W101" s="726"/>
      <c r="X101" s="726"/>
      <c r="BD101" s="480"/>
      <c r="BE101" s="480"/>
      <c r="BF101" s="480"/>
      <c r="BG101" s="480"/>
      <c r="BH101" s="480"/>
      <c r="BI101" s="480"/>
      <c r="BJ101" s="480"/>
      <c r="BK101" s="480"/>
      <c r="BL101" s="480"/>
      <c r="BM101" s="480"/>
      <c r="BN101" s="480"/>
      <c r="BO101" s="480"/>
      <c r="BP101" s="480"/>
      <c r="BQ101" s="480"/>
      <c r="BR101" s="480"/>
      <c r="BS101" s="480"/>
      <c r="BT101" s="480"/>
      <c r="BU101" s="729"/>
      <c r="BV101" s="480"/>
      <c r="BW101" s="480"/>
      <c r="BX101" s="480"/>
      <c r="BY101" s="480"/>
      <c r="BZ101" s="399"/>
      <c r="CA101" s="399"/>
      <c r="CB101" s="399"/>
      <c r="CC101" s="399"/>
      <c r="CD101" s="399"/>
      <c r="CE101" s="399"/>
      <c r="CF101" s="399"/>
      <c r="CG101" s="399"/>
      <c r="CH101" s="399"/>
      <c r="CI101" s="399"/>
      <c r="CJ101" s="399"/>
      <c r="CK101" s="399"/>
      <c r="CL101" s="399"/>
      <c r="CM101" s="399"/>
      <c r="CN101" s="399"/>
      <c r="CO101" s="399"/>
      <c r="CP101" s="399"/>
      <c r="CQ101" s="399"/>
      <c r="CR101" s="399"/>
      <c r="CS101" s="399"/>
      <c r="CT101" s="854"/>
      <c r="CU101" s="854"/>
      <c r="CV101" s="854"/>
      <c r="CW101" s="475"/>
      <c r="CX101" s="382"/>
      <c r="CY101" s="382"/>
      <c r="CZ101" s="382"/>
      <c r="DA101" s="399"/>
      <c r="DB101" s="399"/>
      <c r="DC101" s="399"/>
      <c r="DD101" s="399"/>
      <c r="DE101" s="399"/>
      <c r="DF101" s="399"/>
      <c r="DG101" s="399"/>
      <c r="DH101" s="399"/>
      <c r="DI101" s="399"/>
      <c r="DJ101" s="399"/>
      <c r="DK101" s="399"/>
      <c r="DL101" s="399"/>
      <c r="DM101" s="399"/>
      <c r="DN101" s="399"/>
      <c r="DO101" s="399"/>
      <c r="DP101" s="480"/>
      <c r="DQ101" s="480"/>
      <c r="DR101" s="480"/>
      <c r="DS101" s="480"/>
      <c r="DT101" s="480"/>
      <c r="DU101" s="480"/>
      <c r="DV101" s="480"/>
      <c r="DW101" s="480"/>
      <c r="DX101" s="480"/>
      <c r="DY101" s="480"/>
      <c r="DZ101" s="730"/>
      <c r="EA101" s="478"/>
      <c r="EB101" s="478"/>
    </row>
    <row r="102" spans="2:132" s="177" customFormat="1" x14ac:dyDescent="0.2">
      <c r="B102" s="731" t="str">
        <f ca="1">B36</f>
        <v>Monatsbeträge für  2019</v>
      </c>
      <c r="C102" s="731" t="str">
        <f ca="1">D35 &amp;  "." &amp; '1 Pers.Ausgaben|Pers Expenses'!$C$4</f>
        <v>1.2019</v>
      </c>
      <c r="D102" s="731" t="str">
        <f ca="1">E35 &amp;  "." &amp; '1 Pers.Ausgaben|Pers Expenses'!$C$4</f>
        <v>2.2019</v>
      </c>
      <c r="E102" s="731" t="str">
        <f ca="1">F35 &amp;  "." &amp; '1 Pers.Ausgaben|Pers Expenses'!$C$4</f>
        <v>3.2019</v>
      </c>
      <c r="F102" s="731" t="str">
        <f ca="1">G35 &amp;  "." &amp; '1 Pers.Ausgaben|Pers Expenses'!$C$4</f>
        <v>4.2019</v>
      </c>
      <c r="G102" s="731" t="str">
        <f ca="1">H35 &amp;  "." &amp; '1 Pers.Ausgaben|Pers Expenses'!$C$4</f>
        <v>5.2019</v>
      </c>
      <c r="H102" s="731" t="str">
        <f ca="1">I35 &amp;  "." &amp; '1 Pers.Ausgaben|Pers Expenses'!$C$4</f>
        <v>6.2019</v>
      </c>
      <c r="I102" s="731" t="str">
        <f ca="1">J35 &amp;  "." &amp; '1 Pers.Ausgaben|Pers Expenses'!$C$4</f>
        <v>7.2019</v>
      </c>
      <c r="J102" s="731" t="str">
        <f ca="1">K35 &amp;  "." &amp; '1 Pers.Ausgaben|Pers Expenses'!$C$4</f>
        <v>8.2019</v>
      </c>
      <c r="K102" s="731" t="str">
        <f ca="1">L35 &amp;  "." &amp; '1 Pers.Ausgaben|Pers Expenses'!$C$4</f>
        <v>9.2019</v>
      </c>
      <c r="L102" s="731" t="str">
        <f ca="1">M35 &amp;  "." &amp; '1 Pers.Ausgaben|Pers Expenses'!$C$4</f>
        <v>10.2019</v>
      </c>
      <c r="M102" s="731" t="str">
        <f ca="1">N35 &amp;  "." &amp; '1 Pers.Ausgaben|Pers Expenses'!$C$4</f>
        <v>11.2019</v>
      </c>
      <c r="N102" s="731" t="str">
        <f ca="1">O35 &amp;  "." &amp; '1 Pers.Ausgaben|Pers Expenses'!$C$4</f>
        <v>12.2019</v>
      </c>
      <c r="O102" s="727" t="str">
        <f ca="1">D43 &amp;  "." &amp; '1 Pers.Ausgaben|Pers Expenses'!$C$4+1</f>
        <v>1.2020</v>
      </c>
      <c r="P102" s="727" t="str">
        <f ca="1">E43 &amp;  "." &amp; '1 Pers.Ausgaben|Pers Expenses'!$C$4+1</f>
        <v>2.2020</v>
      </c>
      <c r="Q102" s="727" t="str">
        <f ca="1">F43 &amp;  "." &amp; '1 Pers.Ausgaben|Pers Expenses'!$C$4+1</f>
        <v>3.2020</v>
      </c>
      <c r="R102" s="727" t="str">
        <f ca="1">G43 &amp;  "." &amp; '1 Pers.Ausgaben|Pers Expenses'!$C$4+1</f>
        <v>4.2020</v>
      </c>
      <c r="S102" s="727" t="str">
        <f ca="1">H43 &amp;  "." &amp; '1 Pers.Ausgaben|Pers Expenses'!$C$4+1</f>
        <v>5.2020</v>
      </c>
      <c r="T102" s="727" t="str">
        <f ca="1">I43 &amp;  "." &amp; '1 Pers.Ausgaben|Pers Expenses'!$C$4+1</f>
        <v>6.2020</v>
      </c>
      <c r="U102" s="727" t="str">
        <f ca="1">J43 &amp;  "." &amp; '1 Pers.Ausgaben|Pers Expenses'!$C$4+1</f>
        <v>7.2020</v>
      </c>
      <c r="V102" s="727" t="str">
        <f ca="1">K43 &amp;  "." &amp; '1 Pers.Ausgaben|Pers Expenses'!$C$4+1</f>
        <v>8.2020</v>
      </c>
      <c r="W102" s="727" t="str">
        <f ca="1">L43 &amp;  "." &amp; '1 Pers.Ausgaben|Pers Expenses'!$C$4+1</f>
        <v>9.2020</v>
      </c>
      <c r="X102" s="727" t="str">
        <f ca="1">M43 &amp;  "." &amp; '1 Pers.Ausgaben|Pers Expenses'!$C$4+1</f>
        <v>10.2020</v>
      </c>
      <c r="Y102" s="727" t="str">
        <f ca="1">N43 &amp;  "." &amp; '1 Pers.Ausgaben|Pers Expenses'!$C$4+1</f>
        <v>11.2020</v>
      </c>
      <c r="Z102" s="727" t="str">
        <f ca="1">O43 &amp;  "." &amp; '1 Pers.Ausgaben|Pers Expenses'!$C$4+1</f>
        <v>12.2020</v>
      </c>
      <c r="BD102" s="480"/>
      <c r="BE102" s="480"/>
      <c r="BF102" s="480"/>
      <c r="BG102" s="480"/>
      <c r="BH102" s="480"/>
      <c r="BI102" s="480"/>
      <c r="BJ102" s="480"/>
      <c r="BK102" s="480"/>
      <c r="BL102" s="480"/>
      <c r="BM102" s="480"/>
      <c r="BN102" s="480"/>
      <c r="BO102" s="480"/>
      <c r="BP102" s="480"/>
      <c r="BQ102" s="480"/>
      <c r="BR102" s="480"/>
      <c r="BS102" s="480"/>
      <c r="BT102" s="480"/>
      <c r="BU102" s="729"/>
      <c r="BV102" s="480"/>
      <c r="BW102" s="480"/>
      <c r="BX102" s="480"/>
      <c r="BY102" s="480"/>
      <c r="BZ102" s="399"/>
      <c r="CA102" s="399"/>
      <c r="CB102" s="399"/>
      <c r="CC102" s="399"/>
      <c r="CD102" s="399"/>
      <c r="CE102" s="399"/>
      <c r="CF102" s="399"/>
      <c r="CG102" s="399"/>
      <c r="CH102" s="399"/>
      <c r="CI102" s="399"/>
      <c r="CJ102" s="399"/>
      <c r="CK102" s="399"/>
      <c r="CL102" s="399"/>
      <c r="CM102" s="399"/>
      <c r="CN102" s="399"/>
      <c r="CO102" s="399"/>
      <c r="CP102" s="399"/>
      <c r="CQ102" s="399"/>
      <c r="CR102" s="399"/>
      <c r="CS102" s="399"/>
      <c r="CT102" s="854"/>
      <c r="CU102" s="854"/>
      <c r="CV102" s="854"/>
      <c r="CW102" s="1297"/>
      <c r="CX102" s="382"/>
      <c r="CY102" s="382"/>
      <c r="CZ102" s="382"/>
      <c r="DA102" s="399"/>
      <c r="DB102" s="399"/>
      <c r="DC102" s="399"/>
      <c r="DD102" s="399"/>
      <c r="DE102" s="399"/>
      <c r="DF102" s="399"/>
      <c r="DG102" s="399"/>
      <c r="DH102" s="399"/>
      <c r="DI102" s="399"/>
      <c r="DJ102" s="399"/>
      <c r="DK102" s="399"/>
      <c r="DL102" s="399"/>
      <c r="DM102" s="399"/>
      <c r="DN102" s="399"/>
      <c r="DO102" s="399"/>
      <c r="DP102" s="480"/>
      <c r="DQ102" s="480"/>
      <c r="DR102" s="480"/>
      <c r="DS102" s="480"/>
      <c r="DT102" s="480"/>
      <c r="DU102" s="480"/>
      <c r="DV102" s="480"/>
      <c r="DW102" s="480"/>
      <c r="DX102" s="480"/>
      <c r="DY102" s="480"/>
      <c r="DZ102" s="730"/>
      <c r="EA102" s="478"/>
      <c r="EB102" s="478"/>
    </row>
    <row r="103" spans="2:132" s="177" customFormat="1" x14ac:dyDescent="0.2">
      <c r="B103" s="731" t="str">
        <f>B37</f>
        <v>Zins Fremdkapital</v>
      </c>
      <c r="C103" s="731">
        <f t="shared" ref="C103:N103" si="6">D37</f>
        <v>0</v>
      </c>
      <c r="D103" s="731">
        <f t="shared" si="6"/>
        <v>0</v>
      </c>
      <c r="E103" s="731">
        <f t="shared" si="6"/>
        <v>0</v>
      </c>
      <c r="F103" s="731">
        <f t="shared" si="6"/>
        <v>0</v>
      </c>
      <c r="G103" s="731">
        <f t="shared" si="6"/>
        <v>0</v>
      </c>
      <c r="H103" s="731">
        <f t="shared" si="6"/>
        <v>0</v>
      </c>
      <c r="I103" s="731">
        <f t="shared" si="6"/>
        <v>0</v>
      </c>
      <c r="J103" s="731">
        <f t="shared" si="6"/>
        <v>0</v>
      </c>
      <c r="K103" s="731">
        <f t="shared" si="6"/>
        <v>0</v>
      </c>
      <c r="L103" s="731">
        <f t="shared" si="6"/>
        <v>0</v>
      </c>
      <c r="M103" s="731">
        <f t="shared" si="6"/>
        <v>0</v>
      </c>
      <c r="N103" s="731">
        <f t="shared" si="6"/>
        <v>0</v>
      </c>
      <c r="O103" s="727">
        <f t="shared" ref="O103:Z104" si="7">D45</f>
        <v>0</v>
      </c>
      <c r="P103" s="727">
        <f t="shared" si="7"/>
        <v>0</v>
      </c>
      <c r="Q103" s="727">
        <f t="shared" si="7"/>
        <v>0</v>
      </c>
      <c r="R103" s="727">
        <f t="shared" si="7"/>
        <v>0</v>
      </c>
      <c r="S103" s="727">
        <f t="shared" si="7"/>
        <v>0</v>
      </c>
      <c r="T103" s="727">
        <f t="shared" si="7"/>
        <v>0</v>
      </c>
      <c r="U103" s="727">
        <f t="shared" si="7"/>
        <v>0</v>
      </c>
      <c r="V103" s="727">
        <f t="shared" si="7"/>
        <v>0</v>
      </c>
      <c r="W103" s="727">
        <f t="shared" si="7"/>
        <v>0</v>
      </c>
      <c r="X103" s="727">
        <f t="shared" si="7"/>
        <v>0</v>
      </c>
      <c r="Y103" s="727">
        <f t="shared" si="7"/>
        <v>0</v>
      </c>
      <c r="Z103" s="727">
        <f t="shared" si="7"/>
        <v>0</v>
      </c>
      <c r="BD103" s="480"/>
      <c r="BE103" s="480"/>
      <c r="BF103" s="480"/>
      <c r="BG103" s="480"/>
      <c r="BH103" s="480"/>
      <c r="BI103" s="480"/>
      <c r="BJ103" s="480"/>
      <c r="BK103" s="480"/>
      <c r="BL103" s="480"/>
      <c r="BM103" s="480"/>
      <c r="BN103" s="480"/>
      <c r="BO103" s="480"/>
      <c r="BP103" s="480"/>
      <c r="BQ103" s="480"/>
      <c r="BR103" s="480"/>
      <c r="BS103" s="480"/>
      <c r="BT103" s="480"/>
      <c r="BU103" s="729"/>
      <c r="BV103" s="480"/>
      <c r="BW103" s="480"/>
      <c r="BX103" s="480"/>
      <c r="BY103" s="480"/>
      <c r="BZ103" s="399"/>
      <c r="CA103" s="399"/>
      <c r="CB103" s="399"/>
      <c r="CC103" s="399"/>
      <c r="CD103" s="399"/>
      <c r="CE103" s="399"/>
      <c r="CF103" s="399"/>
      <c r="CG103" s="399"/>
      <c r="CH103" s="399"/>
      <c r="CI103" s="399"/>
      <c r="CJ103" s="399"/>
      <c r="CK103" s="399"/>
      <c r="CL103" s="399"/>
      <c r="CM103" s="399"/>
      <c r="CN103" s="399"/>
      <c r="CO103" s="399"/>
      <c r="CP103" s="399"/>
      <c r="CQ103" s="399"/>
      <c r="CR103" s="399"/>
      <c r="CS103" s="399"/>
      <c r="CT103" s="854"/>
      <c r="CU103" s="854"/>
      <c r="CV103" s="854"/>
      <c r="CW103" s="1297"/>
      <c r="CX103" s="382"/>
      <c r="CY103" s="382"/>
      <c r="CZ103" s="382"/>
      <c r="DA103" s="399"/>
      <c r="DB103" s="399"/>
      <c r="DC103" s="399"/>
      <c r="DD103" s="399"/>
      <c r="DE103" s="399"/>
      <c r="DF103" s="399"/>
      <c r="DG103" s="399"/>
      <c r="DH103" s="399"/>
      <c r="DI103" s="399"/>
      <c r="DJ103" s="399"/>
      <c r="DK103" s="399"/>
      <c r="DL103" s="399"/>
      <c r="DM103" s="399"/>
      <c r="DN103" s="399"/>
      <c r="DO103" s="399"/>
      <c r="DP103" s="480"/>
      <c r="DQ103" s="480"/>
      <c r="DR103" s="480"/>
      <c r="DS103" s="480"/>
      <c r="DT103" s="480"/>
      <c r="DU103" s="480"/>
      <c r="DV103" s="480"/>
      <c r="DW103" s="480"/>
      <c r="DX103" s="480"/>
      <c r="DY103" s="480"/>
      <c r="DZ103" s="730"/>
      <c r="EA103" s="478"/>
      <c r="EB103" s="478"/>
    </row>
    <row r="104" spans="2:132" s="177" customFormat="1" x14ac:dyDescent="0.2">
      <c r="B104" s="731" t="str">
        <f>B38</f>
        <v>Tilgung Fremdkapital</v>
      </c>
      <c r="C104" s="731">
        <f t="shared" ref="C104:N104" si="8">D38</f>
        <v>0</v>
      </c>
      <c r="D104" s="731">
        <f t="shared" si="8"/>
        <v>0</v>
      </c>
      <c r="E104" s="731">
        <f t="shared" si="8"/>
        <v>0</v>
      </c>
      <c r="F104" s="731">
        <f t="shared" si="8"/>
        <v>0</v>
      </c>
      <c r="G104" s="731">
        <f t="shared" si="8"/>
        <v>0</v>
      </c>
      <c r="H104" s="731">
        <f t="shared" si="8"/>
        <v>0</v>
      </c>
      <c r="I104" s="731">
        <f t="shared" si="8"/>
        <v>0</v>
      </c>
      <c r="J104" s="731">
        <f t="shared" si="8"/>
        <v>0</v>
      </c>
      <c r="K104" s="731">
        <f t="shared" si="8"/>
        <v>0</v>
      </c>
      <c r="L104" s="731">
        <f t="shared" si="8"/>
        <v>0</v>
      </c>
      <c r="M104" s="731">
        <f t="shared" si="8"/>
        <v>0</v>
      </c>
      <c r="N104" s="731">
        <f t="shared" si="8"/>
        <v>0</v>
      </c>
      <c r="O104" s="727">
        <f t="shared" si="7"/>
        <v>0</v>
      </c>
      <c r="P104" s="727">
        <f t="shared" si="7"/>
        <v>0</v>
      </c>
      <c r="Q104" s="727">
        <f t="shared" si="7"/>
        <v>0</v>
      </c>
      <c r="R104" s="727">
        <f t="shared" si="7"/>
        <v>0</v>
      </c>
      <c r="S104" s="727">
        <f t="shared" si="7"/>
        <v>0</v>
      </c>
      <c r="T104" s="727">
        <f t="shared" si="7"/>
        <v>0</v>
      </c>
      <c r="U104" s="727">
        <f t="shared" si="7"/>
        <v>0</v>
      </c>
      <c r="V104" s="727">
        <f t="shared" si="7"/>
        <v>0</v>
      </c>
      <c r="W104" s="727">
        <f t="shared" si="7"/>
        <v>0</v>
      </c>
      <c r="X104" s="727">
        <f t="shared" si="7"/>
        <v>0</v>
      </c>
      <c r="Y104" s="727">
        <f t="shared" si="7"/>
        <v>0</v>
      </c>
      <c r="Z104" s="727">
        <f t="shared" si="7"/>
        <v>0</v>
      </c>
      <c r="BD104" s="480"/>
      <c r="BE104" s="480"/>
      <c r="BF104" s="480"/>
      <c r="BG104" s="480"/>
      <c r="BH104" s="480"/>
      <c r="BI104" s="480"/>
      <c r="BJ104" s="480"/>
      <c r="BK104" s="480"/>
      <c r="BL104" s="480"/>
      <c r="BM104" s="480"/>
      <c r="BN104" s="480"/>
      <c r="BO104" s="480"/>
      <c r="BP104" s="480"/>
      <c r="BQ104" s="480"/>
      <c r="BR104" s="480"/>
      <c r="BS104" s="480"/>
      <c r="BT104" s="480"/>
      <c r="BU104" s="729"/>
      <c r="BV104" s="480"/>
      <c r="BW104" s="480"/>
      <c r="BX104" s="480"/>
      <c r="BY104" s="480"/>
      <c r="BZ104" s="399"/>
      <c r="CA104" s="399"/>
      <c r="CB104" s="399"/>
      <c r="CC104" s="399"/>
      <c r="CD104" s="399"/>
      <c r="CE104" s="399"/>
      <c r="CF104" s="399"/>
      <c r="CG104" s="399"/>
      <c r="CH104" s="399"/>
      <c r="CI104" s="399"/>
      <c r="CJ104" s="399"/>
      <c r="CK104" s="399"/>
      <c r="CL104" s="399"/>
      <c r="CM104" s="399"/>
      <c r="CN104" s="399"/>
      <c r="CO104" s="399"/>
      <c r="CP104" s="399"/>
      <c r="CQ104" s="399"/>
      <c r="CR104" s="399"/>
      <c r="CS104" s="399"/>
      <c r="CT104" s="854"/>
      <c r="CU104" s="854"/>
      <c r="CV104" s="854"/>
      <c r="CW104" s="1297"/>
      <c r="CX104" s="399"/>
      <c r="CY104" s="399"/>
      <c r="CZ104" s="399"/>
      <c r="DA104" s="399"/>
      <c r="DB104" s="399"/>
      <c r="DC104" s="399"/>
      <c r="DD104" s="399"/>
      <c r="DE104" s="399"/>
      <c r="DF104" s="399"/>
      <c r="DG104" s="399"/>
      <c r="DH104" s="399"/>
      <c r="DI104" s="399"/>
      <c r="DJ104" s="399"/>
      <c r="DK104" s="399"/>
      <c r="DL104" s="399"/>
      <c r="DM104" s="399"/>
      <c r="DN104" s="399"/>
      <c r="DO104" s="399"/>
      <c r="DP104" s="480"/>
      <c r="DQ104" s="480"/>
      <c r="DR104" s="480"/>
      <c r="DS104" s="480"/>
      <c r="DT104" s="480"/>
      <c r="DU104" s="480"/>
      <c r="DV104" s="480"/>
      <c r="DW104" s="480"/>
      <c r="DX104" s="480"/>
      <c r="DY104" s="480"/>
      <c r="DZ104" s="730"/>
      <c r="EA104" s="478"/>
      <c r="EB104" s="478"/>
    </row>
    <row r="105" spans="2:132" s="177" customFormat="1" x14ac:dyDescent="0.2">
      <c r="B105" s="731"/>
      <c r="C105" s="731"/>
      <c r="E105" s="731">
        <f ca="1">'1 Pers.Ausgaben|Pers Expenses'!$C$4</f>
        <v>2019</v>
      </c>
      <c r="F105" s="731"/>
      <c r="G105" s="731">
        <f ca="1">E105+1</f>
        <v>2020</v>
      </c>
      <c r="H105" s="731"/>
      <c r="I105" s="731">
        <f ca="1">E105+2</f>
        <v>2021</v>
      </c>
      <c r="J105" s="731"/>
      <c r="K105" s="731">
        <f ca="1">E105+3</f>
        <v>2022</v>
      </c>
      <c r="L105" s="731"/>
      <c r="M105" s="731">
        <f ca="1">E105+4</f>
        <v>2023</v>
      </c>
      <c r="N105" s="731"/>
      <c r="O105" s="727"/>
      <c r="P105" s="727"/>
      <c r="Q105" s="727"/>
      <c r="R105" s="727"/>
      <c r="S105" s="727"/>
      <c r="T105" s="727"/>
      <c r="U105" s="727"/>
      <c r="V105" s="727"/>
      <c r="W105" s="727"/>
      <c r="X105" s="727"/>
      <c r="Y105" s="727"/>
      <c r="Z105" s="727"/>
      <c r="BD105" s="480"/>
      <c r="BE105" s="480"/>
      <c r="BF105" s="480"/>
      <c r="BG105" s="480"/>
      <c r="BH105" s="480"/>
      <c r="BI105" s="480"/>
      <c r="BJ105" s="480"/>
      <c r="BK105" s="480"/>
      <c r="BL105" s="480"/>
      <c r="BM105" s="480"/>
      <c r="BN105" s="480"/>
      <c r="BO105" s="480"/>
      <c r="BP105" s="480"/>
      <c r="BQ105" s="480"/>
      <c r="BR105" s="480"/>
      <c r="BS105" s="480"/>
      <c r="BT105" s="480"/>
      <c r="BU105" s="729"/>
      <c r="BV105" s="480"/>
      <c r="BW105" s="480"/>
      <c r="BX105" s="480"/>
      <c r="BY105" s="480"/>
      <c r="BZ105" s="399"/>
      <c r="CA105" s="399"/>
      <c r="CB105" s="399"/>
      <c r="CC105" s="399"/>
      <c r="CD105" s="399"/>
      <c r="CE105" s="399"/>
      <c r="CF105" s="399"/>
      <c r="CG105" s="399"/>
      <c r="CH105" s="399"/>
      <c r="CI105" s="399"/>
      <c r="CJ105" s="399"/>
      <c r="CK105" s="399"/>
      <c r="CL105" s="399"/>
      <c r="CM105" s="399"/>
      <c r="CN105" s="399"/>
      <c r="CO105" s="399"/>
      <c r="CP105" s="399"/>
      <c r="CQ105" s="399"/>
      <c r="CR105" s="399"/>
      <c r="CS105" s="399"/>
      <c r="CT105" s="854"/>
      <c r="CU105" s="854"/>
      <c r="CV105" s="854"/>
      <c r="CW105" s="1297"/>
      <c r="CX105" s="399"/>
      <c r="CY105" s="399"/>
      <c r="CZ105" s="399"/>
      <c r="DA105" s="399"/>
      <c r="DB105" s="399"/>
      <c r="DC105" s="399"/>
      <c r="DD105" s="399"/>
      <c r="DE105" s="399"/>
      <c r="DF105" s="399"/>
      <c r="DG105" s="399"/>
      <c r="DH105" s="399"/>
      <c r="DI105" s="399"/>
      <c r="DJ105" s="399"/>
      <c r="DK105" s="399"/>
      <c r="DL105" s="399"/>
      <c r="DM105" s="399"/>
      <c r="DN105" s="399"/>
      <c r="DO105" s="399"/>
      <c r="DP105" s="480"/>
      <c r="DQ105" s="480"/>
      <c r="DR105" s="480"/>
      <c r="DS105" s="480"/>
      <c r="DT105" s="480"/>
      <c r="DU105" s="480"/>
      <c r="DV105" s="480"/>
      <c r="DW105" s="480"/>
      <c r="DX105" s="480"/>
      <c r="DY105" s="480"/>
      <c r="DZ105" s="730"/>
      <c r="EA105" s="478"/>
      <c r="EB105" s="478"/>
    </row>
    <row r="106" spans="2:132" s="396" customFormat="1" ht="15.75" customHeight="1" x14ac:dyDescent="0.2">
      <c r="D106" s="480" t="str">
        <f>IF($C$2="English","borrowed capital","aufgenommenes Kapital")</f>
        <v>aufgenommenes Kapital</v>
      </c>
      <c r="E106" s="1046">
        <f>SUM(D143:D154)</f>
        <v>0</v>
      </c>
      <c r="F106" s="1047"/>
      <c r="G106" s="1046">
        <f>SUM(D155:D166)</f>
        <v>0</v>
      </c>
      <c r="H106" s="1047"/>
      <c r="I106" s="1046">
        <f>SUM(D167:D178)</f>
        <v>0</v>
      </c>
      <c r="J106" s="1047"/>
      <c r="K106" s="1046">
        <f>SUM(D179:D190)</f>
        <v>0</v>
      </c>
      <c r="L106" s="1047"/>
      <c r="M106" s="1046">
        <f>SUM(D191:D202)</f>
        <v>0</v>
      </c>
      <c r="N106" s="1048"/>
      <c r="O106" s="1049"/>
      <c r="P106" s="1049"/>
      <c r="Q106" s="728"/>
      <c r="R106" s="728"/>
      <c r="S106" s="1050"/>
      <c r="T106" s="1049"/>
      <c r="U106" s="1049"/>
      <c r="V106" s="1049"/>
      <c r="W106" s="1049"/>
      <c r="X106" s="1049"/>
      <c r="BH106" s="480"/>
      <c r="BI106" s="480"/>
      <c r="BJ106" s="480"/>
      <c r="BK106" s="480"/>
      <c r="BL106" s="480"/>
      <c r="BM106" s="480"/>
      <c r="BN106" s="480"/>
      <c r="BO106" s="480"/>
      <c r="BP106" s="480"/>
      <c r="BQ106" s="480"/>
      <c r="BR106" s="480"/>
      <c r="BS106" s="480"/>
      <c r="BT106" s="480"/>
      <c r="BU106" s="729"/>
      <c r="BV106" s="480"/>
      <c r="BW106" s="480"/>
      <c r="BX106" s="480"/>
      <c r="BY106" s="480"/>
      <c r="BZ106" s="399"/>
      <c r="CA106" s="399"/>
      <c r="CB106" s="399"/>
      <c r="CC106" s="399"/>
      <c r="CD106" s="399"/>
      <c r="CE106" s="399"/>
      <c r="CF106" s="399"/>
      <c r="CG106" s="399"/>
      <c r="CH106" s="399"/>
      <c r="CI106" s="399"/>
      <c r="CJ106" s="399"/>
      <c r="CK106" s="399"/>
      <c r="CL106" s="399"/>
      <c r="CM106" s="399"/>
      <c r="CN106" s="399"/>
      <c r="CO106" s="399"/>
      <c r="CP106" s="399"/>
      <c r="CQ106" s="399"/>
      <c r="CR106" s="399"/>
      <c r="CS106" s="399"/>
      <c r="CT106" s="854"/>
      <c r="CU106" s="854"/>
      <c r="CV106" s="854"/>
      <c r="CW106" s="1298"/>
      <c r="CX106" s="399"/>
      <c r="CY106" s="399"/>
      <c r="CZ106" s="399"/>
      <c r="DA106" s="399"/>
      <c r="DB106" s="399"/>
      <c r="DC106" s="399"/>
      <c r="DD106" s="399"/>
      <c r="DE106" s="399"/>
      <c r="DF106" s="399"/>
      <c r="DG106" s="399"/>
      <c r="DH106" s="399"/>
      <c r="DI106" s="399"/>
      <c r="DJ106" s="399"/>
      <c r="DK106" s="399"/>
      <c r="DL106" s="399"/>
      <c r="DM106" s="399"/>
      <c r="DN106" s="399"/>
      <c r="DO106" s="399"/>
      <c r="DP106" s="480"/>
      <c r="DQ106" s="480"/>
      <c r="DR106" s="480"/>
      <c r="DS106" s="480"/>
      <c r="DT106" s="480"/>
      <c r="DU106" s="480"/>
      <c r="DV106" s="480"/>
      <c r="DW106" s="480"/>
      <c r="DX106" s="480"/>
      <c r="DY106" s="480"/>
      <c r="EA106" s="480"/>
      <c r="EB106" s="480"/>
    </row>
    <row r="107" spans="2:132" s="396" customFormat="1" ht="15.75" customHeight="1" x14ac:dyDescent="0.2">
      <c r="D107" s="480" t="str">
        <f>IF($C$2="English","Interest","Zins")</f>
        <v>Zins</v>
      </c>
      <c r="E107" s="1047"/>
      <c r="F107" s="1046">
        <f>SUM(F143:F154)</f>
        <v>0</v>
      </c>
      <c r="G107" s="1047"/>
      <c r="H107" s="1046">
        <f>SUM(F155:F166)</f>
        <v>0</v>
      </c>
      <c r="I107" s="1047"/>
      <c r="J107" s="1046">
        <f>SUM(F167:F178)</f>
        <v>0</v>
      </c>
      <c r="K107" s="1047"/>
      <c r="L107" s="1046">
        <f>SUM(F179:F190)</f>
        <v>0</v>
      </c>
      <c r="M107" s="1047"/>
      <c r="N107" s="1046">
        <f>SUM(F191:F202)</f>
        <v>0</v>
      </c>
      <c r="O107" s="1049"/>
      <c r="P107" s="1049"/>
      <c r="Q107" s="728"/>
      <c r="R107" s="728"/>
      <c r="S107" s="1050"/>
      <c r="T107" s="1049"/>
      <c r="U107" s="1049"/>
      <c r="V107" s="1049"/>
      <c r="W107" s="1049"/>
      <c r="X107" s="1049"/>
      <c r="BH107" s="480"/>
      <c r="BI107" s="480"/>
      <c r="BJ107" s="480"/>
      <c r="BK107" s="480"/>
      <c r="BL107" s="480"/>
      <c r="BM107" s="480"/>
      <c r="BN107" s="480"/>
      <c r="BO107" s="480"/>
      <c r="BP107" s="480"/>
      <c r="BQ107" s="480"/>
      <c r="BR107" s="480"/>
      <c r="BS107" s="480"/>
      <c r="BT107" s="480"/>
      <c r="BU107" s="729"/>
      <c r="BV107" s="480"/>
      <c r="BW107" s="480"/>
      <c r="BX107" s="480"/>
      <c r="BY107" s="480"/>
      <c r="BZ107" s="399"/>
      <c r="CA107" s="399"/>
      <c r="CB107" s="399"/>
      <c r="CC107" s="399"/>
      <c r="CD107" s="399"/>
      <c r="CE107" s="399"/>
      <c r="CF107" s="399"/>
      <c r="CG107" s="399"/>
      <c r="CH107" s="399"/>
      <c r="CI107" s="399"/>
      <c r="CJ107" s="399"/>
      <c r="CK107" s="399"/>
      <c r="CL107" s="399"/>
      <c r="CM107" s="399"/>
      <c r="CN107" s="399"/>
      <c r="CO107" s="399"/>
      <c r="CP107" s="399"/>
      <c r="CQ107" s="399"/>
      <c r="CR107" s="399"/>
      <c r="CS107" s="399"/>
      <c r="CT107" s="854"/>
      <c r="CU107" s="854"/>
      <c r="CV107" s="854"/>
      <c r="CW107" s="1298"/>
      <c r="CX107" s="399"/>
      <c r="CY107" s="399"/>
      <c r="CZ107" s="399"/>
      <c r="DA107" s="399"/>
      <c r="DB107" s="399"/>
      <c r="DC107" s="399"/>
      <c r="DD107" s="399"/>
      <c r="DE107" s="399"/>
      <c r="DF107" s="399"/>
      <c r="DG107" s="399"/>
      <c r="DH107" s="399"/>
      <c r="DI107" s="399"/>
      <c r="DJ107" s="399"/>
      <c r="DK107" s="399"/>
      <c r="DL107" s="399"/>
      <c r="DM107" s="399"/>
      <c r="DN107" s="399"/>
      <c r="DO107" s="399"/>
      <c r="DP107" s="480"/>
      <c r="DQ107" s="480"/>
      <c r="DR107" s="480"/>
      <c r="DS107" s="480"/>
      <c r="DT107" s="480"/>
      <c r="DU107" s="480"/>
      <c r="DV107" s="480"/>
      <c r="DW107" s="480"/>
      <c r="DX107" s="480"/>
      <c r="DY107" s="480"/>
      <c r="EA107" s="480"/>
      <c r="EB107" s="480"/>
    </row>
    <row r="108" spans="2:132" s="396" customFormat="1" x14ac:dyDescent="0.2">
      <c r="D108" s="480" t="str">
        <f>IF($C$2="English","Paying back","Tilgung")</f>
        <v>Tilgung</v>
      </c>
      <c r="E108" s="1047"/>
      <c r="F108" s="1046">
        <f>SUM(E143:E154)</f>
        <v>0</v>
      </c>
      <c r="G108" s="1047"/>
      <c r="H108" s="1046">
        <f>SUM(E155:E166)</f>
        <v>0</v>
      </c>
      <c r="I108" s="1047"/>
      <c r="J108" s="1046">
        <f>SUM(E167:E178)</f>
        <v>0</v>
      </c>
      <c r="K108" s="1047"/>
      <c r="L108" s="1046">
        <f>SUM(E179:E190)</f>
        <v>0</v>
      </c>
      <c r="M108" s="1047"/>
      <c r="N108" s="1046">
        <f>SUM(E191:E202)</f>
        <v>0</v>
      </c>
      <c r="O108" s="1049"/>
      <c r="P108" s="1049"/>
      <c r="Q108" s="728"/>
      <c r="R108" s="728"/>
      <c r="S108" s="1050"/>
      <c r="T108" s="1049"/>
      <c r="U108" s="1049"/>
      <c r="V108" s="1049"/>
      <c r="W108" s="1049"/>
      <c r="X108" s="1049"/>
      <c r="AD108" s="729"/>
      <c r="AE108" s="480"/>
      <c r="AF108" s="480"/>
      <c r="AG108" s="480"/>
      <c r="AH108" s="480"/>
      <c r="AI108" s="480"/>
      <c r="AJ108" s="480"/>
      <c r="AK108" s="480"/>
      <c r="AL108" s="480"/>
      <c r="AM108" s="480"/>
      <c r="AN108" s="480"/>
      <c r="AO108" s="480"/>
      <c r="AP108" s="480"/>
      <c r="AQ108" s="480"/>
      <c r="AR108" s="480"/>
      <c r="AS108" s="480"/>
      <c r="AT108" s="480"/>
      <c r="AU108" s="480"/>
      <c r="AV108" s="480"/>
      <c r="AW108" s="480"/>
      <c r="AX108" s="480"/>
      <c r="AY108" s="480"/>
      <c r="AZ108" s="480"/>
      <c r="BA108" s="480"/>
      <c r="BB108" s="480"/>
      <c r="BC108" s="480"/>
      <c r="BD108" s="480"/>
      <c r="BE108" s="480"/>
      <c r="BF108" s="480"/>
      <c r="BG108" s="480"/>
      <c r="BH108" s="480"/>
      <c r="BI108" s="480"/>
      <c r="BJ108" s="480"/>
      <c r="BK108" s="480"/>
      <c r="BL108" s="480"/>
      <c r="BM108" s="480"/>
      <c r="BN108" s="480"/>
      <c r="BO108" s="480"/>
      <c r="BP108" s="480"/>
      <c r="BQ108" s="480"/>
      <c r="BR108" s="480"/>
      <c r="BS108" s="480"/>
      <c r="BT108" s="480"/>
      <c r="BU108" s="729"/>
      <c r="BV108" s="480"/>
      <c r="BW108" s="480"/>
      <c r="BX108" s="480"/>
      <c r="BY108" s="480"/>
      <c r="BZ108" s="399"/>
      <c r="CA108" s="399"/>
      <c r="CB108" s="399"/>
      <c r="CC108" s="399"/>
      <c r="CD108" s="399"/>
      <c r="CE108" s="399"/>
      <c r="CF108" s="399"/>
      <c r="CG108" s="399"/>
      <c r="CH108" s="399"/>
      <c r="CI108" s="399"/>
      <c r="CJ108" s="399"/>
      <c r="CK108" s="399"/>
      <c r="CL108" s="399"/>
      <c r="CM108" s="399"/>
      <c r="CN108" s="399"/>
      <c r="CO108" s="399"/>
      <c r="CP108" s="399"/>
      <c r="CQ108" s="399"/>
      <c r="CR108" s="399"/>
      <c r="CS108" s="399"/>
      <c r="CT108" s="854"/>
      <c r="CU108" s="854"/>
      <c r="CV108" s="854"/>
      <c r="CW108" s="1298"/>
      <c r="CX108" s="399"/>
      <c r="CY108" s="399"/>
      <c r="CZ108" s="399"/>
      <c r="DA108" s="399"/>
      <c r="DB108" s="399"/>
      <c r="DC108" s="399"/>
      <c r="DD108" s="399"/>
      <c r="DE108" s="399"/>
      <c r="DF108" s="399"/>
      <c r="DG108" s="399"/>
      <c r="DH108" s="399"/>
      <c r="DI108" s="399"/>
      <c r="DJ108" s="399"/>
      <c r="DK108" s="399"/>
      <c r="DL108" s="399"/>
      <c r="DM108" s="399"/>
      <c r="DN108" s="399"/>
      <c r="DO108" s="399"/>
      <c r="DP108" s="480"/>
      <c r="DQ108" s="480"/>
      <c r="DR108" s="480"/>
      <c r="DS108" s="480"/>
      <c r="DT108" s="480"/>
      <c r="DU108" s="480"/>
      <c r="DV108" s="480"/>
      <c r="DW108" s="480"/>
      <c r="DX108" s="480"/>
      <c r="DY108" s="480"/>
      <c r="EA108" s="480"/>
      <c r="EB108" s="480"/>
    </row>
    <row r="109" spans="2:132" s="396" customFormat="1" x14ac:dyDescent="0.2">
      <c r="D109" s="1049"/>
      <c r="E109" s="1049"/>
      <c r="F109" s="1049"/>
      <c r="G109" s="1049"/>
      <c r="H109" s="1049"/>
      <c r="I109" s="1049"/>
      <c r="J109" s="1049"/>
      <c r="K109" s="1049"/>
      <c r="L109" s="1049"/>
      <c r="M109" s="1049"/>
      <c r="N109" s="1051"/>
      <c r="O109" s="1049"/>
      <c r="P109" s="1049"/>
      <c r="Q109" s="728"/>
      <c r="R109" s="728"/>
      <c r="S109" s="1050"/>
      <c r="T109" s="1049"/>
      <c r="U109" s="1049"/>
      <c r="V109" s="1049"/>
      <c r="W109" s="1049"/>
      <c r="X109" s="1049"/>
      <c r="AD109" s="729"/>
      <c r="AE109" s="480"/>
      <c r="AF109" s="480"/>
      <c r="AG109" s="480"/>
      <c r="AH109" s="480"/>
      <c r="AI109" s="480"/>
      <c r="AJ109" s="480"/>
      <c r="AK109" s="480"/>
      <c r="AL109" s="480"/>
      <c r="AM109" s="480"/>
      <c r="AN109" s="480"/>
      <c r="AO109" s="480"/>
      <c r="AP109" s="480"/>
      <c r="AQ109" s="480"/>
      <c r="AR109" s="480"/>
      <c r="AS109" s="480"/>
      <c r="AT109" s="480"/>
      <c r="AU109" s="480"/>
      <c r="AV109" s="480"/>
      <c r="AW109" s="480"/>
      <c r="AX109" s="480"/>
      <c r="AY109" s="480"/>
      <c r="AZ109" s="480"/>
      <c r="BA109" s="480"/>
      <c r="BB109" s="480"/>
      <c r="BC109" s="480"/>
      <c r="BD109" s="480"/>
      <c r="BE109" s="480"/>
      <c r="BF109" s="480"/>
      <c r="BG109" s="480"/>
      <c r="BH109" s="480"/>
      <c r="BI109" s="480"/>
      <c r="BJ109" s="480"/>
      <c r="BK109" s="480"/>
      <c r="BL109" s="480"/>
      <c r="BM109" s="480"/>
      <c r="BN109" s="480"/>
      <c r="BO109" s="480"/>
      <c r="BP109" s="480"/>
      <c r="BQ109" s="480"/>
      <c r="BR109" s="480"/>
      <c r="BS109" s="480"/>
      <c r="BT109" s="480"/>
      <c r="BU109" s="729"/>
      <c r="BV109" s="480"/>
      <c r="BW109" s="480"/>
      <c r="BX109" s="480"/>
      <c r="BY109" s="480"/>
      <c r="BZ109" s="399"/>
      <c r="CA109" s="399"/>
      <c r="CB109" s="399"/>
      <c r="CC109" s="399"/>
      <c r="CD109" s="399"/>
      <c r="CE109" s="399"/>
      <c r="CF109" s="399"/>
      <c r="CG109" s="399"/>
      <c r="CH109" s="399"/>
      <c r="CI109" s="399"/>
      <c r="CJ109" s="399"/>
      <c r="CK109" s="399"/>
      <c r="CL109" s="399"/>
      <c r="CM109" s="399"/>
      <c r="CN109" s="399"/>
      <c r="CO109" s="399"/>
      <c r="CP109" s="399"/>
      <c r="CQ109" s="399"/>
      <c r="CR109" s="399"/>
      <c r="CS109" s="399"/>
      <c r="CT109" s="854"/>
      <c r="CU109" s="854"/>
      <c r="CV109" s="854"/>
      <c r="CW109" s="1298"/>
      <c r="CX109" s="399"/>
      <c r="CY109" s="399"/>
      <c r="CZ109" s="399"/>
      <c r="DA109" s="399"/>
      <c r="DB109" s="399"/>
      <c r="DC109" s="399"/>
      <c r="DD109" s="399"/>
      <c r="DE109" s="399"/>
      <c r="DF109" s="399"/>
      <c r="DG109" s="399"/>
      <c r="DH109" s="399"/>
      <c r="DI109" s="399"/>
      <c r="DJ109" s="399"/>
      <c r="DK109" s="399"/>
      <c r="DL109" s="399"/>
      <c r="DM109" s="399"/>
      <c r="DN109" s="399"/>
      <c r="DO109" s="399"/>
      <c r="DP109" s="480"/>
      <c r="DQ109" s="480"/>
      <c r="DR109" s="480"/>
      <c r="DS109" s="480"/>
      <c r="DT109" s="480"/>
      <c r="DU109" s="480"/>
      <c r="DV109" s="480"/>
      <c r="DW109" s="480"/>
      <c r="DX109" s="480"/>
      <c r="DY109" s="480"/>
      <c r="EA109" s="480"/>
      <c r="EB109" s="480"/>
    </row>
    <row r="110" spans="2:132" s="396" customFormat="1" x14ac:dyDescent="0.2">
      <c r="D110" s="480"/>
      <c r="E110" s="1052" t="s">
        <v>212</v>
      </c>
      <c r="F110" s="1052">
        <f ca="1">'1 Pers.Ausgaben|Pers Expenses'!$C$4</f>
        <v>2019</v>
      </c>
      <c r="G110" s="1052" t="s">
        <v>213</v>
      </c>
      <c r="H110" s="1052">
        <f ca="1">'1 Pers.Ausgaben|Pers Expenses'!$C$4</f>
        <v>2019</v>
      </c>
      <c r="I110" s="1052" t="s">
        <v>214</v>
      </c>
      <c r="J110" s="1052">
        <f ca="1">'1 Pers.Ausgaben|Pers Expenses'!$C$4</f>
        <v>2019</v>
      </c>
      <c r="K110" s="1052" t="s">
        <v>215</v>
      </c>
      <c r="L110" s="1052">
        <f ca="1">'1 Pers.Ausgaben|Pers Expenses'!$C$4</f>
        <v>2019</v>
      </c>
      <c r="M110" s="1052" t="s">
        <v>216</v>
      </c>
      <c r="N110" s="1052">
        <f ca="1">'1 Pers.Ausgaben|Pers Expenses'!$C$4</f>
        <v>2019</v>
      </c>
      <c r="O110" s="1052" t="s">
        <v>217</v>
      </c>
      <c r="P110" s="1052">
        <f ca="1">'1 Pers.Ausgaben|Pers Expenses'!$C$4</f>
        <v>2019</v>
      </c>
      <c r="Q110" s="1052" t="s">
        <v>218</v>
      </c>
      <c r="R110" s="1052"/>
      <c r="S110" s="1053">
        <f ca="1">'1 Pers.Ausgaben|Pers Expenses'!$C$4</f>
        <v>2019</v>
      </c>
      <c r="T110" s="1052" t="s">
        <v>219</v>
      </c>
      <c r="U110" s="1052">
        <f ca="1">'1 Pers.Ausgaben|Pers Expenses'!$C$4</f>
        <v>2019</v>
      </c>
      <c r="V110" s="1052" t="s">
        <v>220</v>
      </c>
      <c r="W110" s="1052">
        <f ca="1">'1 Pers.Ausgaben|Pers Expenses'!$C$4</f>
        <v>2019</v>
      </c>
      <c r="X110" s="1052" t="s">
        <v>221</v>
      </c>
      <c r="Y110" s="1052">
        <f ca="1">'1 Pers.Ausgaben|Pers Expenses'!$C$4</f>
        <v>2019</v>
      </c>
      <c r="Z110" s="1052" t="s">
        <v>222</v>
      </c>
      <c r="AA110" s="1052">
        <f ca="1">'1 Pers.Ausgaben|Pers Expenses'!$C$4</f>
        <v>2019</v>
      </c>
      <c r="AB110" s="1052" t="s">
        <v>223</v>
      </c>
      <c r="AC110" s="1052">
        <f ca="1">'1 Pers.Ausgaben|Pers Expenses'!$C$4</f>
        <v>2019</v>
      </c>
      <c r="AD110" s="1052" t="s">
        <v>212</v>
      </c>
      <c r="AE110" s="1052">
        <f ca="1">'1 Pers.Ausgaben|Pers Expenses'!C2+1</f>
        <v>2020</v>
      </c>
      <c r="AF110" s="1052" t="s">
        <v>213</v>
      </c>
      <c r="AG110" s="1052">
        <f ca="1">AE110</f>
        <v>2020</v>
      </c>
      <c r="AH110" s="1052" t="s">
        <v>214</v>
      </c>
      <c r="AI110" s="1052">
        <f ca="1">AG110</f>
        <v>2020</v>
      </c>
      <c r="AJ110" s="1052" t="s">
        <v>215</v>
      </c>
      <c r="AK110" s="1052">
        <f ca="1">AI110</f>
        <v>2020</v>
      </c>
      <c r="AL110" s="1052" t="s">
        <v>216</v>
      </c>
      <c r="AM110" s="1052">
        <f ca="1">AK110</f>
        <v>2020</v>
      </c>
      <c r="AN110" s="1052" t="s">
        <v>217</v>
      </c>
      <c r="AO110" s="1052">
        <f ca="1">AM110</f>
        <v>2020</v>
      </c>
      <c r="AP110" s="1052" t="s">
        <v>218</v>
      </c>
      <c r="AQ110" s="1052">
        <f ca="1">AO110</f>
        <v>2020</v>
      </c>
      <c r="AR110" s="1052" t="s">
        <v>219</v>
      </c>
      <c r="AS110" s="1052">
        <f ca="1">AQ110</f>
        <v>2020</v>
      </c>
      <c r="AT110" s="1052" t="s">
        <v>220</v>
      </c>
      <c r="AU110" s="1052">
        <f ca="1">AS110</f>
        <v>2020</v>
      </c>
      <c r="AV110" s="1052" t="s">
        <v>221</v>
      </c>
      <c r="AW110" s="1052">
        <f ca="1">AU110</f>
        <v>2020</v>
      </c>
      <c r="AX110" s="1052" t="s">
        <v>222</v>
      </c>
      <c r="AY110" s="1052">
        <f ca="1">AW110</f>
        <v>2020</v>
      </c>
      <c r="AZ110" s="1052" t="s">
        <v>223</v>
      </c>
      <c r="BA110" s="1052">
        <f ca="1">AY110</f>
        <v>2020</v>
      </c>
      <c r="BB110" s="480"/>
      <c r="BC110" s="480"/>
      <c r="BD110" s="480"/>
      <c r="BE110" s="480"/>
      <c r="BF110" s="480"/>
      <c r="BG110" s="480"/>
      <c r="BH110" s="480"/>
      <c r="BI110" s="480"/>
      <c r="BJ110" s="480"/>
      <c r="BK110" s="480"/>
      <c r="BL110" s="480"/>
      <c r="BM110" s="480"/>
      <c r="BN110" s="480"/>
      <c r="BO110" s="480"/>
      <c r="BP110" s="480"/>
      <c r="BQ110" s="480"/>
      <c r="BR110" s="480"/>
      <c r="BS110" s="480"/>
      <c r="BT110" s="480"/>
      <c r="BU110" s="729"/>
      <c r="BV110" s="480"/>
      <c r="BW110" s="480"/>
      <c r="BX110" s="480"/>
      <c r="BY110" s="480"/>
      <c r="BZ110" s="399"/>
      <c r="CA110" s="399"/>
      <c r="CB110" s="399"/>
      <c r="CC110" s="399"/>
      <c r="CD110" s="399"/>
      <c r="CE110" s="399"/>
      <c r="CF110" s="399"/>
      <c r="CG110" s="399"/>
      <c r="CH110" s="399"/>
      <c r="CI110" s="399"/>
      <c r="CJ110" s="399"/>
      <c r="CK110" s="399"/>
      <c r="CL110" s="399"/>
      <c r="CM110" s="399"/>
      <c r="CN110" s="399"/>
      <c r="CO110" s="399"/>
      <c r="CP110" s="399"/>
      <c r="CQ110" s="399"/>
      <c r="CR110" s="399"/>
      <c r="CS110" s="399"/>
      <c r="CT110" s="399"/>
      <c r="CU110" s="399"/>
      <c r="CV110" s="399"/>
      <c r="CW110" s="483"/>
      <c r="CX110" s="399"/>
      <c r="CY110" s="399"/>
      <c r="CZ110" s="399"/>
      <c r="DA110" s="399"/>
      <c r="DB110" s="399"/>
      <c r="DC110" s="399"/>
      <c r="DD110" s="399"/>
      <c r="DE110" s="399"/>
      <c r="DF110" s="399"/>
      <c r="DG110" s="399"/>
      <c r="DH110" s="399"/>
      <c r="DI110" s="399"/>
      <c r="DJ110" s="399"/>
      <c r="DK110" s="399"/>
      <c r="DL110" s="399"/>
      <c r="DM110" s="399"/>
      <c r="DN110" s="399"/>
      <c r="DO110" s="399"/>
      <c r="DP110" s="480"/>
      <c r="DQ110" s="480"/>
      <c r="DR110" s="480"/>
      <c r="DS110" s="480"/>
      <c r="DT110" s="480"/>
      <c r="DU110" s="480"/>
      <c r="DV110" s="480"/>
      <c r="DW110" s="480"/>
      <c r="DX110" s="480"/>
      <c r="DY110" s="480"/>
      <c r="EA110" s="480"/>
      <c r="EB110" s="480"/>
    </row>
    <row r="111" spans="2:132" s="396" customFormat="1" x14ac:dyDescent="0.2">
      <c r="D111" s="480"/>
      <c r="E111" s="1052"/>
      <c r="F111" s="1052"/>
      <c r="G111" s="1052"/>
      <c r="H111" s="1052"/>
      <c r="I111" s="1052"/>
      <c r="J111" s="1052"/>
      <c r="K111" s="1052"/>
      <c r="L111" s="1052"/>
      <c r="M111" s="1052"/>
      <c r="N111" s="1052"/>
      <c r="O111" s="1052"/>
      <c r="P111" s="1052"/>
      <c r="Q111" s="1052"/>
      <c r="R111" s="1052"/>
      <c r="S111" s="1053"/>
      <c r="T111" s="1052"/>
      <c r="U111" s="1052"/>
      <c r="V111" s="1052"/>
      <c r="W111" s="1052"/>
      <c r="X111" s="1052"/>
      <c r="Y111" s="1052"/>
      <c r="Z111" s="1052"/>
      <c r="AA111" s="1052"/>
      <c r="AB111" s="1052"/>
      <c r="AC111" s="1052"/>
      <c r="AD111" s="1052"/>
      <c r="AE111" s="1052"/>
      <c r="AF111" s="1052"/>
      <c r="AG111" s="1052"/>
      <c r="AH111" s="1052"/>
      <c r="AI111" s="1052"/>
      <c r="AJ111" s="1052"/>
      <c r="AK111" s="1052"/>
      <c r="AL111" s="1052"/>
      <c r="AM111" s="1052"/>
      <c r="AN111" s="1052"/>
      <c r="AO111" s="1052"/>
      <c r="AP111" s="1052"/>
      <c r="AQ111" s="1052"/>
      <c r="AR111" s="1052"/>
      <c r="AS111" s="1052"/>
      <c r="AT111" s="1052"/>
      <c r="AU111" s="1052"/>
      <c r="AV111" s="1052"/>
      <c r="AW111" s="1052"/>
      <c r="AX111" s="1052"/>
      <c r="AY111" s="1052"/>
      <c r="AZ111" s="1052"/>
      <c r="BA111" s="1052"/>
      <c r="BB111" s="480"/>
      <c r="BC111" s="480"/>
      <c r="BD111" s="480"/>
      <c r="BE111" s="480"/>
      <c r="BF111" s="480"/>
      <c r="BG111" s="480"/>
      <c r="BH111" s="480"/>
      <c r="BI111" s="480"/>
      <c r="BJ111" s="480"/>
      <c r="BK111" s="480"/>
      <c r="BL111" s="480"/>
      <c r="BM111" s="480"/>
      <c r="BN111" s="480"/>
      <c r="BO111" s="480"/>
      <c r="BP111" s="480"/>
      <c r="BQ111" s="480"/>
      <c r="BR111" s="480"/>
      <c r="BS111" s="480"/>
      <c r="BT111" s="480"/>
      <c r="BU111" s="729"/>
      <c r="BV111" s="480"/>
      <c r="BW111" s="480"/>
      <c r="BX111" s="480"/>
      <c r="BY111" s="480"/>
      <c r="BZ111" s="399"/>
      <c r="CA111" s="399"/>
      <c r="CB111" s="399"/>
      <c r="CC111" s="399"/>
      <c r="CD111" s="399"/>
      <c r="CE111" s="399"/>
      <c r="CF111" s="399"/>
      <c r="CG111" s="399"/>
      <c r="CH111" s="399"/>
      <c r="CI111" s="399"/>
      <c r="CJ111" s="399"/>
      <c r="CK111" s="399"/>
      <c r="CL111" s="399"/>
      <c r="CM111" s="399"/>
      <c r="CN111" s="399"/>
      <c r="CO111" s="399"/>
      <c r="CP111" s="399"/>
      <c r="CQ111" s="399"/>
      <c r="CR111" s="399"/>
      <c r="CS111" s="399"/>
      <c r="CT111" s="399"/>
      <c r="CU111" s="399"/>
      <c r="CV111" s="399"/>
      <c r="CW111" s="483"/>
      <c r="CX111" s="399"/>
      <c r="CY111" s="399"/>
      <c r="CZ111" s="399"/>
      <c r="DA111" s="399"/>
      <c r="DB111" s="399"/>
      <c r="DC111" s="399"/>
      <c r="DD111" s="399"/>
      <c r="DE111" s="399"/>
      <c r="DF111" s="399"/>
      <c r="DG111" s="399"/>
      <c r="DH111" s="399"/>
      <c r="DI111" s="399"/>
      <c r="DJ111" s="399"/>
      <c r="DK111" s="399"/>
      <c r="DL111" s="399"/>
      <c r="DM111" s="399"/>
      <c r="DN111" s="399"/>
      <c r="DO111" s="399"/>
      <c r="DP111" s="480"/>
      <c r="DQ111" s="480"/>
      <c r="DR111" s="480"/>
      <c r="DS111" s="480"/>
      <c r="DT111" s="480"/>
      <c r="DU111" s="480"/>
      <c r="DV111" s="480"/>
      <c r="DW111" s="480"/>
      <c r="DX111" s="480"/>
      <c r="DY111" s="480"/>
      <c r="EA111" s="480"/>
      <c r="EB111" s="480"/>
    </row>
    <row r="112" spans="2:132" s="396" customFormat="1" x14ac:dyDescent="0.2">
      <c r="D112" s="480" t="str">
        <f>D107</f>
        <v>Zins</v>
      </c>
      <c r="E112" s="1054">
        <f>F143</f>
        <v>0</v>
      </c>
      <c r="F112" s="480"/>
      <c r="G112" s="1054">
        <f>F144</f>
        <v>0</v>
      </c>
      <c r="H112" s="480"/>
      <c r="I112" s="1054">
        <f>F145</f>
        <v>0</v>
      </c>
      <c r="J112" s="480"/>
      <c r="K112" s="1054">
        <f>F146</f>
        <v>0</v>
      </c>
      <c r="L112" s="480"/>
      <c r="M112" s="1054">
        <f>F147</f>
        <v>0</v>
      </c>
      <c r="N112" s="480"/>
      <c r="O112" s="1054">
        <f>F148</f>
        <v>0</v>
      </c>
      <c r="P112" s="480"/>
      <c r="Q112" s="1054">
        <f>F149</f>
        <v>0</v>
      </c>
      <c r="R112" s="1054"/>
      <c r="S112" s="1055"/>
      <c r="T112" s="1054">
        <f>F150</f>
        <v>0</v>
      </c>
      <c r="U112" s="1054"/>
      <c r="V112" s="1054">
        <f>F151</f>
        <v>0</v>
      </c>
      <c r="W112" s="480"/>
      <c r="X112" s="1054">
        <f>F152</f>
        <v>0</v>
      </c>
      <c r="Y112" s="480"/>
      <c r="Z112" s="1054">
        <f>F153</f>
        <v>0</v>
      </c>
      <c r="AA112" s="480"/>
      <c r="AB112" s="1054">
        <f>F154</f>
        <v>0</v>
      </c>
      <c r="AC112" s="480"/>
      <c r="AD112" s="1054">
        <f>F155</f>
        <v>0</v>
      </c>
      <c r="AE112" s="480"/>
      <c r="AF112" s="1054">
        <f>F156</f>
        <v>0</v>
      </c>
      <c r="AG112" s="480"/>
      <c r="AH112" s="1054">
        <f>F157</f>
        <v>0</v>
      </c>
      <c r="AI112" s="480"/>
      <c r="AJ112" s="1054">
        <f>F158</f>
        <v>0</v>
      </c>
      <c r="AK112" s="480"/>
      <c r="AL112" s="1054">
        <f>F159</f>
        <v>0</v>
      </c>
      <c r="AM112" s="480"/>
      <c r="AN112" s="1054">
        <f>F160</f>
        <v>0</v>
      </c>
      <c r="AO112" s="480"/>
      <c r="AP112" s="1054">
        <f>F161</f>
        <v>0</v>
      </c>
      <c r="AQ112" s="480"/>
      <c r="AR112" s="1054">
        <f>F162</f>
        <v>0</v>
      </c>
      <c r="AS112" s="480"/>
      <c r="AT112" s="1054">
        <f>F163</f>
        <v>0</v>
      </c>
      <c r="AU112" s="480"/>
      <c r="AV112" s="1054">
        <f>F164</f>
        <v>0</v>
      </c>
      <c r="AW112" s="480"/>
      <c r="AX112" s="1054">
        <f>F165</f>
        <v>0</v>
      </c>
      <c r="AY112" s="480"/>
      <c r="AZ112" s="1054">
        <f>F166</f>
        <v>0</v>
      </c>
      <c r="BA112" s="480"/>
      <c r="BB112" s="480"/>
      <c r="BC112" s="480"/>
      <c r="BD112" s="480"/>
      <c r="BE112" s="480"/>
      <c r="BF112" s="480"/>
      <c r="BG112" s="480"/>
      <c r="BH112" s="480"/>
      <c r="BI112" s="480"/>
      <c r="BJ112" s="480"/>
      <c r="BK112" s="480"/>
      <c r="BL112" s="480"/>
      <c r="BM112" s="480"/>
      <c r="BN112" s="480"/>
      <c r="BO112" s="480"/>
      <c r="BP112" s="480"/>
      <c r="BQ112" s="480"/>
      <c r="BR112" s="480"/>
      <c r="BS112" s="480"/>
      <c r="BT112" s="480"/>
      <c r="BU112" s="729"/>
      <c r="BV112" s="480"/>
      <c r="BW112" s="480"/>
      <c r="BX112" s="480"/>
      <c r="BY112" s="480"/>
      <c r="BZ112" s="399"/>
      <c r="CA112" s="399"/>
      <c r="CB112" s="399"/>
      <c r="CC112" s="399"/>
      <c r="CD112" s="399"/>
      <c r="CE112" s="399"/>
      <c r="CF112" s="399"/>
      <c r="CG112" s="399"/>
      <c r="CH112" s="399"/>
      <c r="CI112" s="399"/>
      <c r="CJ112" s="399"/>
      <c r="CK112" s="399"/>
      <c r="CL112" s="399"/>
      <c r="CM112" s="399"/>
      <c r="CN112" s="399"/>
      <c r="CO112" s="399"/>
      <c r="CP112" s="399"/>
      <c r="CQ112" s="399"/>
      <c r="CR112" s="399"/>
      <c r="CS112" s="399"/>
      <c r="CT112" s="399"/>
      <c r="CU112" s="399"/>
      <c r="CV112" s="399"/>
      <c r="CW112" s="483"/>
      <c r="CX112" s="399"/>
      <c r="CY112" s="399"/>
      <c r="CZ112" s="399"/>
      <c r="DA112" s="399"/>
      <c r="DB112" s="399"/>
      <c r="DC112" s="399"/>
      <c r="DD112" s="399"/>
      <c r="DE112" s="399"/>
      <c r="DF112" s="399"/>
      <c r="DG112" s="399"/>
      <c r="DH112" s="399"/>
      <c r="DI112" s="399"/>
      <c r="DJ112" s="399"/>
      <c r="DK112" s="399"/>
      <c r="DL112" s="399"/>
      <c r="DM112" s="399"/>
      <c r="DN112" s="399"/>
      <c r="DO112" s="399"/>
      <c r="DP112" s="480"/>
      <c r="DQ112" s="480"/>
      <c r="DR112" s="480"/>
      <c r="DS112" s="480"/>
      <c r="DT112" s="480"/>
      <c r="DU112" s="480"/>
      <c r="DV112" s="480"/>
      <c r="DW112" s="480"/>
      <c r="DX112" s="480"/>
      <c r="DY112" s="480"/>
      <c r="EA112" s="480"/>
      <c r="EB112" s="480"/>
    </row>
    <row r="113" spans="4:132" s="396" customFormat="1" x14ac:dyDescent="0.2">
      <c r="D113" s="480" t="str">
        <f>D108</f>
        <v>Tilgung</v>
      </c>
      <c r="E113" s="480"/>
      <c r="F113" s="1054">
        <f>E143</f>
        <v>0</v>
      </c>
      <c r="G113" s="480"/>
      <c r="H113" s="1054">
        <f>E144</f>
        <v>0</v>
      </c>
      <c r="I113" s="480"/>
      <c r="J113" s="1054">
        <f>E145</f>
        <v>0</v>
      </c>
      <c r="K113" s="480"/>
      <c r="L113" s="1054">
        <f>E146</f>
        <v>0</v>
      </c>
      <c r="M113" s="480"/>
      <c r="N113" s="1054">
        <f>E147</f>
        <v>0</v>
      </c>
      <c r="O113" s="480"/>
      <c r="P113" s="1054">
        <f>E148</f>
        <v>0</v>
      </c>
      <c r="Q113" s="480"/>
      <c r="R113" s="480"/>
      <c r="S113" s="1054">
        <f>E149</f>
        <v>0</v>
      </c>
      <c r="T113" s="480"/>
      <c r="U113" s="1054">
        <f>E150</f>
        <v>0</v>
      </c>
      <c r="V113" s="480"/>
      <c r="W113" s="1054">
        <f>E151</f>
        <v>0</v>
      </c>
      <c r="X113" s="480"/>
      <c r="Y113" s="1054">
        <f>E152</f>
        <v>0</v>
      </c>
      <c r="Z113" s="480"/>
      <c r="AA113" s="1054">
        <f>E153</f>
        <v>0</v>
      </c>
      <c r="AB113" s="480"/>
      <c r="AC113" s="1054">
        <f>E154</f>
        <v>0</v>
      </c>
      <c r="AD113" s="480"/>
      <c r="AE113" s="1054">
        <f>E155</f>
        <v>0</v>
      </c>
      <c r="AF113" s="480"/>
      <c r="AG113" s="1054">
        <f>E156</f>
        <v>0</v>
      </c>
      <c r="AH113" s="480"/>
      <c r="AI113" s="1054">
        <f>E157</f>
        <v>0</v>
      </c>
      <c r="AJ113" s="480"/>
      <c r="AK113" s="1054">
        <f>E158</f>
        <v>0</v>
      </c>
      <c r="AL113" s="480"/>
      <c r="AM113" s="1054">
        <f>E159</f>
        <v>0</v>
      </c>
      <c r="AN113" s="480"/>
      <c r="AO113" s="1054">
        <f>E160</f>
        <v>0</v>
      </c>
      <c r="AP113" s="480"/>
      <c r="AQ113" s="1054">
        <f>E161</f>
        <v>0</v>
      </c>
      <c r="AR113" s="480"/>
      <c r="AS113" s="1054">
        <f>E162</f>
        <v>0</v>
      </c>
      <c r="AT113" s="480"/>
      <c r="AU113" s="1054">
        <f>E163</f>
        <v>0</v>
      </c>
      <c r="AV113" s="480"/>
      <c r="AW113" s="1054">
        <f>E164</f>
        <v>0</v>
      </c>
      <c r="AX113" s="480"/>
      <c r="AY113" s="1054">
        <f>E165</f>
        <v>0</v>
      </c>
      <c r="AZ113" s="480"/>
      <c r="BA113" s="1054">
        <f>E166</f>
        <v>0</v>
      </c>
      <c r="BB113" s="480"/>
      <c r="BC113" s="480"/>
      <c r="BD113" s="480"/>
      <c r="BE113" s="480"/>
      <c r="BF113" s="480"/>
      <c r="BG113" s="480"/>
      <c r="BH113" s="480"/>
      <c r="BI113" s="480"/>
      <c r="BJ113" s="480"/>
      <c r="BK113" s="480"/>
      <c r="BL113" s="480"/>
      <c r="BM113" s="480"/>
      <c r="BN113" s="480"/>
      <c r="BO113" s="480"/>
      <c r="BP113" s="480"/>
      <c r="BQ113" s="480"/>
      <c r="BR113" s="480"/>
      <c r="BS113" s="480"/>
      <c r="BT113" s="480"/>
      <c r="BU113" s="729"/>
      <c r="BV113" s="480"/>
      <c r="BW113" s="480"/>
      <c r="BX113" s="480"/>
      <c r="BY113" s="480"/>
      <c r="BZ113" s="399"/>
      <c r="CA113" s="399"/>
      <c r="CB113" s="399"/>
      <c r="CC113" s="399"/>
      <c r="CD113" s="399"/>
      <c r="CE113" s="399"/>
      <c r="CF113" s="399"/>
      <c r="CG113" s="399"/>
      <c r="CH113" s="399"/>
      <c r="CI113" s="399"/>
      <c r="CJ113" s="399"/>
      <c r="CK113" s="399"/>
      <c r="CL113" s="399"/>
      <c r="CM113" s="399"/>
      <c r="CN113" s="399"/>
      <c r="CO113" s="399"/>
      <c r="CP113" s="399"/>
      <c r="CQ113" s="399"/>
      <c r="CR113" s="399"/>
      <c r="CS113" s="399"/>
      <c r="CT113" s="399"/>
      <c r="CU113" s="399"/>
      <c r="CV113" s="399"/>
      <c r="CW113" s="483"/>
      <c r="CX113" s="399"/>
      <c r="CY113" s="399"/>
      <c r="CZ113" s="399"/>
      <c r="DA113" s="399"/>
      <c r="DB113" s="399"/>
      <c r="DC113" s="399"/>
      <c r="DD113" s="399"/>
      <c r="DE113" s="399"/>
      <c r="DF113" s="399"/>
      <c r="DG113" s="399"/>
      <c r="DH113" s="399"/>
      <c r="DI113" s="399"/>
      <c r="DJ113" s="399"/>
      <c r="DK113" s="399"/>
      <c r="DL113" s="399"/>
      <c r="DM113" s="399"/>
      <c r="DN113" s="399"/>
      <c r="DO113" s="399"/>
      <c r="DP113" s="480"/>
      <c r="DQ113" s="480"/>
      <c r="DR113" s="480"/>
      <c r="DS113" s="480"/>
      <c r="DT113" s="480"/>
      <c r="DU113" s="480"/>
      <c r="DV113" s="480"/>
      <c r="DW113" s="480"/>
      <c r="DX113" s="480"/>
      <c r="DY113" s="480"/>
      <c r="EA113" s="480"/>
      <c r="EB113" s="480"/>
    </row>
    <row r="114" spans="4:132" s="396" customFormat="1" x14ac:dyDescent="0.2"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8"/>
      <c r="O114" s="1047"/>
      <c r="P114" s="1047"/>
      <c r="Q114" s="1056"/>
      <c r="R114" s="1056"/>
      <c r="S114" s="1057"/>
      <c r="T114" s="1047"/>
      <c r="U114" s="1047"/>
      <c r="V114" s="1047"/>
      <c r="W114" s="1047"/>
      <c r="X114" s="1047"/>
      <c r="Y114" s="480"/>
      <c r="Z114" s="480"/>
      <c r="AA114" s="480"/>
      <c r="AB114" s="480"/>
      <c r="AC114" s="480"/>
      <c r="AD114" s="729"/>
      <c r="AE114" s="480"/>
      <c r="AF114" s="480"/>
      <c r="AG114" s="480"/>
      <c r="AH114" s="480"/>
      <c r="AI114" s="480"/>
      <c r="AJ114" s="480"/>
      <c r="AK114" s="480"/>
      <c r="AL114" s="480"/>
      <c r="AM114" s="480"/>
      <c r="AN114" s="480"/>
      <c r="AO114" s="480"/>
      <c r="AP114" s="480"/>
      <c r="AQ114" s="480"/>
      <c r="AR114" s="480"/>
      <c r="AS114" s="480"/>
      <c r="AT114" s="480"/>
      <c r="AU114" s="480"/>
      <c r="AV114" s="480"/>
      <c r="AW114" s="480"/>
      <c r="AX114" s="480"/>
      <c r="AY114" s="480"/>
      <c r="AZ114" s="480"/>
      <c r="BA114" s="480"/>
      <c r="BB114" s="480"/>
      <c r="BC114" s="480"/>
      <c r="BD114" s="480"/>
      <c r="BE114" s="480"/>
      <c r="BF114" s="480"/>
      <c r="BG114" s="480"/>
      <c r="BH114" s="480"/>
      <c r="BI114" s="480"/>
      <c r="BJ114" s="480"/>
      <c r="BK114" s="480"/>
      <c r="BL114" s="480"/>
      <c r="BM114" s="480"/>
      <c r="BN114" s="480"/>
      <c r="BO114" s="480"/>
      <c r="BP114" s="480"/>
      <c r="BQ114" s="480"/>
      <c r="BR114" s="480"/>
      <c r="BS114" s="480"/>
      <c r="BT114" s="480"/>
      <c r="BU114" s="729"/>
      <c r="BV114" s="480"/>
      <c r="BW114" s="480"/>
      <c r="BX114" s="480"/>
      <c r="BY114" s="480"/>
      <c r="BZ114" s="399"/>
      <c r="CA114" s="399"/>
      <c r="CB114" s="399"/>
      <c r="CC114" s="399"/>
      <c r="CD114" s="399"/>
      <c r="CE114" s="399"/>
      <c r="CF114" s="399"/>
      <c r="CG114" s="399"/>
      <c r="CH114" s="399"/>
      <c r="CI114" s="399"/>
      <c r="CJ114" s="399"/>
      <c r="CK114" s="399"/>
      <c r="CL114" s="399"/>
      <c r="CM114" s="399"/>
      <c r="CN114" s="399"/>
      <c r="CO114" s="399"/>
      <c r="CP114" s="399"/>
      <c r="CQ114" s="399"/>
      <c r="CR114" s="399"/>
      <c r="CS114" s="399"/>
      <c r="CT114" s="399"/>
      <c r="CU114" s="399"/>
      <c r="CV114" s="399"/>
      <c r="CW114" s="483"/>
      <c r="CX114" s="399"/>
      <c r="CY114" s="399"/>
      <c r="CZ114" s="399"/>
      <c r="DA114" s="399"/>
      <c r="DB114" s="399"/>
      <c r="DC114" s="399"/>
      <c r="DD114" s="399"/>
      <c r="DE114" s="399"/>
      <c r="DF114" s="399"/>
      <c r="DG114" s="399"/>
      <c r="DH114" s="399"/>
      <c r="DI114" s="399"/>
      <c r="DJ114" s="399"/>
      <c r="DK114" s="399"/>
      <c r="DL114" s="399"/>
      <c r="DM114" s="399"/>
      <c r="DN114" s="399"/>
      <c r="DO114" s="399"/>
      <c r="DP114" s="480"/>
      <c r="DQ114" s="480"/>
      <c r="DR114" s="480"/>
      <c r="DS114" s="480"/>
      <c r="DT114" s="480"/>
      <c r="DU114" s="480"/>
      <c r="DV114" s="480"/>
      <c r="DW114" s="480"/>
      <c r="DX114" s="480"/>
      <c r="DY114" s="480"/>
      <c r="EA114" s="480"/>
      <c r="EB114" s="480"/>
    </row>
    <row r="115" spans="4:132" s="177" customFormat="1" x14ac:dyDescent="0.2">
      <c r="D115" s="726"/>
      <c r="E115" s="726"/>
      <c r="F115" s="726"/>
      <c r="G115" s="726"/>
      <c r="H115" s="726"/>
      <c r="I115" s="726"/>
      <c r="J115" s="726"/>
      <c r="K115" s="726"/>
      <c r="L115" s="726"/>
      <c r="M115" s="726"/>
      <c r="N115" s="727"/>
      <c r="O115" s="726"/>
      <c r="P115" s="726"/>
      <c r="Q115" s="728"/>
      <c r="R115" s="728"/>
      <c r="S115" s="723"/>
      <c r="T115" s="726"/>
      <c r="U115" s="726"/>
      <c r="V115" s="726"/>
      <c r="W115" s="726"/>
      <c r="X115" s="726"/>
      <c r="AB115" s="396"/>
      <c r="AC115" s="396"/>
      <c r="AD115" s="729"/>
      <c r="AE115" s="480"/>
      <c r="AF115" s="480"/>
      <c r="AG115" s="480"/>
      <c r="AH115" s="480"/>
      <c r="AI115" s="480"/>
      <c r="AJ115" s="480"/>
      <c r="AK115" s="480"/>
      <c r="AL115" s="480"/>
      <c r="AM115" s="480"/>
      <c r="AN115" s="480"/>
      <c r="AO115" s="480"/>
      <c r="AP115" s="480"/>
      <c r="AQ115" s="480"/>
      <c r="AR115" s="480"/>
      <c r="AS115" s="480"/>
      <c r="AT115" s="480"/>
      <c r="AU115" s="480"/>
      <c r="AV115" s="480"/>
      <c r="AW115" s="480"/>
      <c r="AX115" s="480"/>
      <c r="AY115" s="480"/>
      <c r="AZ115" s="480"/>
      <c r="BA115" s="480"/>
      <c r="BB115" s="480"/>
      <c r="BC115" s="480"/>
      <c r="BD115" s="480"/>
      <c r="BE115" s="480"/>
      <c r="BF115" s="480"/>
      <c r="BG115" s="480"/>
      <c r="BH115" s="480"/>
      <c r="BI115" s="480"/>
      <c r="BJ115" s="480"/>
      <c r="BK115" s="480"/>
      <c r="BL115" s="480"/>
      <c r="BM115" s="480"/>
      <c r="BN115" s="480"/>
      <c r="BO115" s="480"/>
      <c r="BP115" s="480"/>
      <c r="BQ115" s="480"/>
      <c r="BR115" s="480"/>
      <c r="BS115" s="480"/>
      <c r="BT115" s="480"/>
      <c r="BU115" s="729"/>
      <c r="BV115" s="480"/>
      <c r="BW115" s="480"/>
      <c r="BX115" s="480"/>
      <c r="BY115" s="480"/>
      <c r="BZ115" s="399"/>
      <c r="CA115" s="399"/>
      <c r="CB115" s="399"/>
      <c r="CC115" s="399"/>
      <c r="CD115" s="399"/>
      <c r="CE115" s="399"/>
      <c r="CF115" s="399"/>
      <c r="CG115" s="399"/>
      <c r="CH115" s="399"/>
      <c r="CI115" s="399"/>
      <c r="CJ115" s="399"/>
      <c r="CK115" s="399"/>
      <c r="CL115" s="399"/>
      <c r="CM115" s="399"/>
      <c r="CN115" s="399"/>
      <c r="CO115" s="399"/>
      <c r="CP115" s="399"/>
      <c r="CQ115" s="399"/>
      <c r="CR115" s="399"/>
      <c r="CS115" s="399"/>
      <c r="CT115" s="399"/>
      <c r="CU115" s="399"/>
      <c r="CV115" s="399"/>
      <c r="CW115" s="233"/>
      <c r="CX115" s="399"/>
      <c r="CY115" s="399"/>
      <c r="CZ115" s="399"/>
      <c r="DA115" s="399"/>
      <c r="DB115" s="399"/>
      <c r="DC115" s="399"/>
      <c r="DD115" s="399"/>
      <c r="DE115" s="399"/>
      <c r="DF115" s="399"/>
      <c r="DG115" s="399"/>
      <c r="DH115" s="399"/>
      <c r="DI115" s="399"/>
      <c r="DJ115" s="399"/>
      <c r="DK115" s="399"/>
      <c r="DL115" s="399"/>
      <c r="DM115" s="399"/>
      <c r="DN115" s="399"/>
      <c r="DO115" s="399"/>
      <c r="DP115" s="480"/>
      <c r="DQ115" s="480"/>
      <c r="DR115" s="480"/>
      <c r="DS115" s="480"/>
      <c r="DT115" s="480"/>
      <c r="DU115" s="480"/>
      <c r="DV115" s="480"/>
      <c r="DW115" s="480"/>
      <c r="DX115" s="480"/>
      <c r="DY115" s="480"/>
      <c r="DZ115" s="730"/>
      <c r="EA115" s="478"/>
      <c r="EB115" s="478"/>
    </row>
    <row r="116" spans="4:132" s="177" customFormat="1" x14ac:dyDescent="0.2">
      <c r="D116" s="726"/>
      <c r="E116" s="726"/>
      <c r="F116" s="726"/>
      <c r="G116" s="726"/>
      <c r="H116" s="726"/>
      <c r="I116" s="726"/>
      <c r="J116" s="726"/>
      <c r="K116" s="726"/>
      <c r="L116" s="726"/>
      <c r="M116" s="726"/>
      <c r="N116" s="727"/>
      <c r="O116" s="726"/>
      <c r="P116" s="726"/>
      <c r="Q116" s="728"/>
      <c r="R116" s="728"/>
      <c r="S116" s="723"/>
      <c r="T116" s="726"/>
      <c r="U116" s="726"/>
      <c r="V116" s="726"/>
      <c r="W116" s="726"/>
      <c r="X116" s="726"/>
      <c r="AB116" s="396"/>
      <c r="AC116" s="396"/>
      <c r="AD116" s="729"/>
      <c r="AE116" s="480"/>
      <c r="AF116" s="480"/>
      <c r="AG116" s="480"/>
      <c r="AH116" s="480"/>
      <c r="AI116" s="480"/>
      <c r="AJ116" s="480"/>
      <c r="AK116" s="480"/>
      <c r="AL116" s="480"/>
      <c r="AM116" s="480"/>
      <c r="AN116" s="480"/>
      <c r="AO116" s="480"/>
      <c r="AP116" s="480"/>
      <c r="AQ116" s="480"/>
      <c r="AR116" s="480"/>
      <c r="AS116" s="480"/>
      <c r="AT116" s="480"/>
      <c r="AU116" s="480"/>
      <c r="AV116" s="480"/>
      <c r="AW116" s="480"/>
      <c r="AX116" s="480"/>
      <c r="AY116" s="480"/>
      <c r="AZ116" s="480"/>
      <c r="BA116" s="480"/>
      <c r="BB116" s="480"/>
      <c r="BC116" s="480"/>
      <c r="BD116" s="480"/>
      <c r="BE116" s="480"/>
      <c r="BF116" s="480"/>
      <c r="BG116" s="480"/>
      <c r="BH116" s="480"/>
      <c r="BI116" s="480"/>
      <c r="BJ116" s="480"/>
      <c r="BK116" s="480"/>
      <c r="BL116" s="480"/>
      <c r="BM116" s="480"/>
      <c r="BN116" s="480"/>
      <c r="BO116" s="480"/>
      <c r="BP116" s="480"/>
      <c r="BQ116" s="480"/>
      <c r="BR116" s="480"/>
      <c r="BS116" s="480"/>
      <c r="BT116" s="480"/>
      <c r="BU116" s="729"/>
      <c r="BV116" s="480"/>
      <c r="BW116" s="480"/>
      <c r="BX116" s="480"/>
      <c r="BY116" s="480"/>
      <c r="BZ116" s="399"/>
      <c r="CA116" s="399"/>
      <c r="CB116" s="399"/>
      <c r="CC116" s="399"/>
      <c r="CD116" s="399"/>
      <c r="CE116" s="399"/>
      <c r="CF116" s="399"/>
      <c r="CG116" s="399"/>
      <c r="CH116" s="399"/>
      <c r="CI116" s="399"/>
      <c r="CJ116" s="399"/>
      <c r="CK116" s="399"/>
      <c r="CL116" s="399"/>
      <c r="CM116" s="399"/>
      <c r="CN116" s="399"/>
      <c r="CO116" s="399"/>
      <c r="CP116" s="399"/>
      <c r="CQ116" s="399"/>
      <c r="CR116" s="399"/>
      <c r="CS116" s="399"/>
      <c r="CT116" s="399"/>
      <c r="CU116" s="399"/>
      <c r="CV116" s="399"/>
      <c r="CW116" s="233"/>
      <c r="CX116" s="399"/>
      <c r="CY116" s="399"/>
      <c r="CZ116" s="399"/>
      <c r="DA116" s="399"/>
      <c r="DB116" s="399"/>
      <c r="DC116" s="399"/>
      <c r="DD116" s="399"/>
      <c r="DE116" s="399"/>
      <c r="DF116" s="399"/>
      <c r="DG116" s="399"/>
      <c r="DH116" s="399"/>
      <c r="DI116" s="399"/>
      <c r="DJ116" s="399"/>
      <c r="DK116" s="399"/>
      <c r="DL116" s="399"/>
      <c r="DM116" s="399"/>
      <c r="DN116" s="399"/>
      <c r="DO116" s="399"/>
      <c r="DP116" s="480"/>
      <c r="DQ116" s="480"/>
      <c r="DR116" s="480"/>
      <c r="DS116" s="480"/>
      <c r="DT116" s="480"/>
      <c r="DU116" s="480"/>
      <c r="DV116" s="480"/>
      <c r="DW116" s="480"/>
      <c r="DX116" s="480"/>
      <c r="DY116" s="480"/>
      <c r="DZ116" s="730"/>
      <c r="EA116" s="478"/>
      <c r="EB116" s="478"/>
    </row>
    <row r="117" spans="4:132" s="177" customFormat="1" x14ac:dyDescent="0.2">
      <c r="D117" s="726"/>
      <c r="E117" s="726"/>
      <c r="F117" s="726"/>
      <c r="G117" s="726"/>
      <c r="H117" s="726"/>
      <c r="I117" s="726"/>
      <c r="J117" s="726"/>
      <c r="K117" s="726"/>
      <c r="L117" s="726"/>
      <c r="M117" s="726"/>
      <c r="N117" s="727"/>
      <c r="O117" s="726"/>
      <c r="P117" s="726"/>
      <c r="Q117" s="728"/>
      <c r="R117" s="728"/>
      <c r="S117" s="723"/>
      <c r="T117" s="726"/>
      <c r="U117" s="726"/>
      <c r="V117" s="726"/>
      <c r="W117" s="726"/>
      <c r="X117" s="726"/>
      <c r="AB117" s="396"/>
      <c r="AC117" s="396"/>
      <c r="AD117" s="729"/>
      <c r="AE117" s="480"/>
      <c r="AF117" s="480"/>
      <c r="AG117" s="480"/>
      <c r="AH117" s="480"/>
      <c r="AI117" s="480"/>
      <c r="AJ117" s="480"/>
      <c r="AK117" s="480"/>
      <c r="AL117" s="480"/>
      <c r="AM117" s="480"/>
      <c r="AN117" s="480"/>
      <c r="AO117" s="480"/>
      <c r="AP117" s="480"/>
      <c r="AQ117" s="480"/>
      <c r="AR117" s="480"/>
      <c r="AS117" s="480"/>
      <c r="AT117" s="480"/>
      <c r="AU117" s="480"/>
      <c r="AV117" s="480"/>
      <c r="AW117" s="480"/>
      <c r="AX117" s="480"/>
      <c r="AY117" s="480"/>
      <c r="AZ117" s="480"/>
      <c r="BA117" s="480"/>
      <c r="BB117" s="480"/>
      <c r="BC117" s="480"/>
      <c r="BD117" s="480"/>
      <c r="BE117" s="480"/>
      <c r="BF117" s="480"/>
      <c r="BG117" s="480"/>
      <c r="BH117" s="480"/>
      <c r="BI117" s="480"/>
      <c r="BJ117" s="480"/>
      <c r="BK117" s="480"/>
      <c r="BL117" s="480"/>
      <c r="BM117" s="480"/>
      <c r="BN117" s="480"/>
      <c r="BO117" s="480"/>
      <c r="BP117" s="480"/>
      <c r="BQ117" s="480"/>
      <c r="BR117" s="480"/>
      <c r="BS117" s="480"/>
      <c r="BT117" s="480"/>
      <c r="BU117" s="729"/>
      <c r="BV117" s="480"/>
      <c r="BW117" s="480"/>
      <c r="BX117" s="480"/>
      <c r="BY117" s="480"/>
      <c r="BZ117" s="399"/>
      <c r="CA117" s="399"/>
      <c r="CB117" s="399"/>
      <c r="CC117" s="399"/>
      <c r="CD117" s="399"/>
      <c r="CE117" s="399"/>
      <c r="CF117" s="399"/>
      <c r="CG117" s="399"/>
      <c r="CH117" s="399"/>
      <c r="CI117" s="399"/>
      <c r="CJ117" s="399"/>
      <c r="CK117" s="399"/>
      <c r="CL117" s="399"/>
      <c r="CM117" s="399"/>
      <c r="CN117" s="399"/>
      <c r="CO117" s="399"/>
      <c r="CP117" s="399"/>
      <c r="CQ117" s="399"/>
      <c r="CR117" s="399"/>
      <c r="CS117" s="399"/>
      <c r="CT117" s="399"/>
      <c r="CU117" s="399"/>
      <c r="CV117" s="399"/>
      <c r="CW117" s="233"/>
      <c r="CX117" s="399"/>
      <c r="CY117" s="399"/>
      <c r="CZ117" s="399"/>
      <c r="DA117" s="399"/>
      <c r="DB117" s="399"/>
      <c r="DC117" s="399"/>
      <c r="DD117" s="399"/>
      <c r="DE117" s="399"/>
      <c r="DF117" s="399"/>
      <c r="DG117" s="399"/>
      <c r="DH117" s="399"/>
      <c r="DI117" s="399"/>
      <c r="DJ117" s="399"/>
      <c r="DK117" s="399"/>
      <c r="DL117" s="399"/>
      <c r="DM117" s="399"/>
      <c r="DN117" s="399"/>
      <c r="DO117" s="399"/>
      <c r="DP117" s="480"/>
      <c r="DQ117" s="480"/>
      <c r="DR117" s="480"/>
      <c r="DS117" s="480"/>
      <c r="DT117" s="480"/>
      <c r="DU117" s="480"/>
      <c r="DV117" s="480"/>
      <c r="DW117" s="480"/>
      <c r="DX117" s="480"/>
      <c r="DY117" s="480"/>
      <c r="DZ117" s="730"/>
      <c r="EA117" s="478"/>
      <c r="EB117" s="478"/>
    </row>
    <row r="118" spans="4:132" s="177" customFormat="1" x14ac:dyDescent="0.2">
      <c r="D118" s="726"/>
      <c r="E118" s="726"/>
      <c r="F118" s="726"/>
      <c r="G118" s="726"/>
      <c r="H118" s="726"/>
      <c r="I118" s="726"/>
      <c r="J118" s="726"/>
      <c r="K118" s="726"/>
      <c r="L118" s="726"/>
      <c r="M118" s="726"/>
      <c r="N118" s="727"/>
      <c r="O118" s="726"/>
      <c r="P118" s="726"/>
      <c r="Q118" s="728"/>
      <c r="R118" s="728"/>
      <c r="S118" s="723"/>
      <c r="T118" s="726"/>
      <c r="U118" s="726"/>
      <c r="V118" s="726"/>
      <c r="W118" s="726"/>
      <c r="X118" s="726"/>
      <c r="AB118" s="396"/>
      <c r="AC118" s="396"/>
      <c r="AD118" s="729"/>
      <c r="AE118" s="480"/>
      <c r="AF118" s="480"/>
      <c r="AG118" s="480"/>
      <c r="AH118" s="480"/>
      <c r="AI118" s="480"/>
      <c r="AJ118" s="480"/>
      <c r="AK118" s="480"/>
      <c r="AL118" s="480"/>
      <c r="AM118" s="480"/>
      <c r="AN118" s="480"/>
      <c r="AO118" s="480"/>
      <c r="AP118" s="480"/>
      <c r="AQ118" s="480"/>
      <c r="AR118" s="480"/>
      <c r="AS118" s="480"/>
      <c r="AT118" s="480"/>
      <c r="AU118" s="480"/>
      <c r="AV118" s="480"/>
      <c r="AW118" s="480"/>
      <c r="AX118" s="480"/>
      <c r="AY118" s="480"/>
      <c r="AZ118" s="480"/>
      <c r="BA118" s="480"/>
      <c r="BB118" s="480"/>
      <c r="BC118" s="480"/>
      <c r="BD118" s="480"/>
      <c r="BE118" s="480"/>
      <c r="BF118" s="480"/>
      <c r="BG118" s="480"/>
      <c r="BH118" s="480"/>
      <c r="BI118" s="480"/>
      <c r="BJ118" s="480"/>
      <c r="BK118" s="480"/>
      <c r="BL118" s="480"/>
      <c r="BM118" s="480"/>
      <c r="BN118" s="480"/>
      <c r="BO118" s="480"/>
      <c r="BP118" s="480"/>
      <c r="BQ118" s="480"/>
      <c r="BR118" s="480"/>
      <c r="BS118" s="480"/>
      <c r="BT118" s="480"/>
      <c r="BU118" s="729"/>
      <c r="BV118" s="480"/>
      <c r="BW118" s="480"/>
      <c r="BX118" s="480"/>
      <c r="BY118" s="480"/>
      <c r="BZ118" s="399"/>
      <c r="CA118" s="399"/>
      <c r="CB118" s="399"/>
      <c r="CC118" s="399"/>
      <c r="CD118" s="399"/>
      <c r="CE118" s="399"/>
      <c r="CF118" s="399"/>
      <c r="CG118" s="399"/>
      <c r="CH118" s="399"/>
      <c r="CI118" s="399"/>
      <c r="CJ118" s="399"/>
      <c r="CK118" s="399"/>
      <c r="CL118" s="399"/>
      <c r="CM118" s="399"/>
      <c r="CN118" s="399"/>
      <c r="CO118" s="399"/>
      <c r="CP118" s="399"/>
      <c r="CQ118" s="399"/>
      <c r="CR118" s="399"/>
      <c r="CS118" s="399"/>
      <c r="CT118" s="399"/>
      <c r="CU118" s="399"/>
      <c r="CV118" s="399"/>
      <c r="CW118" s="233"/>
      <c r="CX118" s="399"/>
      <c r="CY118" s="399"/>
      <c r="CZ118" s="399"/>
      <c r="DA118" s="399"/>
      <c r="DB118" s="399"/>
      <c r="DC118" s="399"/>
      <c r="DD118" s="399"/>
      <c r="DE118" s="399"/>
      <c r="DF118" s="399"/>
      <c r="DG118" s="399"/>
      <c r="DH118" s="399"/>
      <c r="DI118" s="399"/>
      <c r="DJ118" s="399"/>
      <c r="DK118" s="399"/>
      <c r="DL118" s="399"/>
      <c r="DM118" s="399"/>
      <c r="DN118" s="399"/>
      <c r="DO118" s="399"/>
      <c r="DP118" s="480"/>
      <c r="DQ118" s="480"/>
      <c r="DR118" s="480"/>
      <c r="DS118" s="480"/>
      <c r="DT118" s="480"/>
      <c r="DU118" s="480"/>
      <c r="DV118" s="480"/>
      <c r="DW118" s="480"/>
      <c r="DX118" s="480"/>
      <c r="DY118" s="480"/>
      <c r="DZ118" s="730"/>
      <c r="EA118" s="478"/>
      <c r="EB118" s="478"/>
    </row>
    <row r="119" spans="4:132" s="177" customFormat="1" x14ac:dyDescent="0.2">
      <c r="D119" s="726"/>
      <c r="E119" s="726"/>
      <c r="F119" s="726"/>
      <c r="G119" s="726"/>
      <c r="H119" s="726"/>
      <c r="I119" s="726"/>
      <c r="J119" s="726"/>
      <c r="K119" s="726"/>
      <c r="L119" s="726"/>
      <c r="M119" s="726"/>
      <c r="N119" s="727"/>
      <c r="O119" s="726"/>
      <c r="P119" s="726"/>
      <c r="Q119" s="728"/>
      <c r="R119" s="728"/>
      <c r="S119" s="723"/>
      <c r="T119" s="726"/>
      <c r="U119" s="726"/>
      <c r="V119" s="726"/>
      <c r="W119" s="726"/>
      <c r="X119" s="726"/>
      <c r="AB119" s="396"/>
      <c r="AC119" s="396"/>
      <c r="AD119" s="729"/>
      <c r="AE119" s="480"/>
      <c r="AF119" s="480"/>
      <c r="AG119" s="480"/>
      <c r="AH119" s="480"/>
      <c r="AI119" s="480"/>
      <c r="AJ119" s="480"/>
      <c r="AK119" s="480"/>
      <c r="AL119" s="480"/>
      <c r="AM119" s="480"/>
      <c r="AN119" s="480"/>
      <c r="AO119" s="480"/>
      <c r="AP119" s="480"/>
      <c r="AQ119" s="480"/>
      <c r="AR119" s="480"/>
      <c r="AS119" s="480"/>
      <c r="AT119" s="480"/>
      <c r="AU119" s="480"/>
      <c r="AV119" s="480"/>
      <c r="AW119" s="480"/>
      <c r="AX119" s="480"/>
      <c r="AY119" s="480"/>
      <c r="AZ119" s="480"/>
      <c r="BA119" s="480"/>
      <c r="BB119" s="480"/>
      <c r="BC119" s="480"/>
      <c r="BD119" s="480"/>
      <c r="BE119" s="480"/>
      <c r="BF119" s="480"/>
      <c r="BG119" s="480"/>
      <c r="BH119" s="480"/>
      <c r="BI119" s="480"/>
      <c r="BJ119" s="480"/>
      <c r="BK119" s="480"/>
      <c r="BL119" s="480"/>
      <c r="BM119" s="480"/>
      <c r="BN119" s="480"/>
      <c r="BO119" s="480"/>
      <c r="BP119" s="480"/>
      <c r="BQ119" s="480"/>
      <c r="BR119" s="480"/>
      <c r="BS119" s="480"/>
      <c r="BT119" s="480"/>
      <c r="BU119" s="729"/>
      <c r="BV119" s="480"/>
      <c r="BW119" s="480"/>
      <c r="BX119" s="480"/>
      <c r="BY119" s="480"/>
      <c r="BZ119" s="399"/>
      <c r="CA119" s="399"/>
      <c r="CB119" s="399"/>
      <c r="CC119" s="399"/>
      <c r="CD119" s="399"/>
      <c r="CE119" s="399"/>
      <c r="CF119" s="399"/>
      <c r="CG119" s="399"/>
      <c r="CH119" s="399"/>
      <c r="CI119" s="399"/>
      <c r="CJ119" s="399"/>
      <c r="CK119" s="399"/>
      <c r="CL119" s="399"/>
      <c r="CM119" s="399"/>
      <c r="CN119" s="399"/>
      <c r="CO119" s="399"/>
      <c r="CP119" s="399"/>
      <c r="CQ119" s="399"/>
      <c r="CR119" s="399"/>
      <c r="CS119" s="399"/>
      <c r="CT119" s="399"/>
      <c r="CU119" s="399"/>
      <c r="CV119" s="399"/>
      <c r="CW119" s="233"/>
      <c r="CX119" s="399"/>
      <c r="CY119" s="399"/>
      <c r="CZ119" s="399"/>
      <c r="DA119" s="399"/>
      <c r="DB119" s="399"/>
      <c r="DC119" s="399"/>
      <c r="DD119" s="399"/>
      <c r="DE119" s="399"/>
      <c r="DF119" s="399"/>
      <c r="DG119" s="399"/>
      <c r="DH119" s="399"/>
      <c r="DI119" s="399"/>
      <c r="DJ119" s="399"/>
      <c r="DK119" s="399"/>
      <c r="DL119" s="399"/>
      <c r="DM119" s="399"/>
      <c r="DN119" s="399"/>
      <c r="DO119" s="399"/>
      <c r="DP119" s="480"/>
      <c r="DQ119" s="480"/>
      <c r="DR119" s="480"/>
      <c r="DS119" s="480"/>
      <c r="DT119" s="480"/>
      <c r="DU119" s="480"/>
      <c r="DV119" s="480"/>
      <c r="DW119" s="480"/>
      <c r="DX119" s="480"/>
      <c r="DY119" s="480"/>
      <c r="DZ119" s="730"/>
      <c r="EA119" s="478"/>
      <c r="EB119" s="478"/>
    </row>
    <row r="120" spans="4:132" s="480" customFormat="1" ht="15.75" customHeight="1" x14ac:dyDescent="0.2">
      <c r="BU120" s="729"/>
      <c r="BZ120" s="399"/>
      <c r="CA120" s="399"/>
      <c r="CB120" s="399"/>
      <c r="CC120" s="399"/>
      <c r="CD120" s="399"/>
      <c r="CE120" s="399"/>
      <c r="CF120" s="399"/>
      <c r="CG120" s="399"/>
      <c r="CH120" s="399"/>
      <c r="CI120" s="399"/>
      <c r="CJ120" s="399"/>
      <c r="CK120" s="399"/>
      <c r="CL120" s="399"/>
      <c r="CM120" s="399"/>
      <c r="CN120" s="399"/>
      <c r="CO120" s="399"/>
      <c r="CP120" s="399"/>
      <c r="CQ120" s="399"/>
      <c r="CR120" s="399"/>
      <c r="CS120" s="399"/>
      <c r="CT120" s="399"/>
      <c r="CU120" s="399"/>
      <c r="CV120" s="399"/>
      <c r="CW120" s="483"/>
      <c r="CX120" s="399"/>
      <c r="CY120" s="399"/>
      <c r="CZ120" s="399"/>
      <c r="DA120" s="399"/>
      <c r="DB120" s="399"/>
      <c r="DC120" s="399"/>
      <c r="DD120" s="399"/>
      <c r="DE120" s="399"/>
      <c r="DF120" s="399"/>
      <c r="DG120" s="399"/>
      <c r="DH120" s="399"/>
      <c r="DI120" s="399"/>
      <c r="DJ120" s="399"/>
      <c r="DK120" s="399"/>
      <c r="DL120" s="399"/>
      <c r="DM120" s="399"/>
      <c r="DN120" s="399"/>
      <c r="DO120" s="399"/>
    </row>
    <row r="121" spans="4:132" s="480" customFormat="1" ht="15.75" customHeight="1" x14ac:dyDescent="0.2">
      <c r="BU121" s="729"/>
      <c r="BZ121" s="399"/>
      <c r="CA121" s="399"/>
      <c r="CB121" s="399"/>
      <c r="CC121" s="399"/>
      <c r="CD121" s="399"/>
      <c r="CE121" s="399"/>
      <c r="CF121" s="399"/>
      <c r="CG121" s="399"/>
      <c r="CH121" s="399"/>
      <c r="CI121" s="399"/>
      <c r="CJ121" s="399"/>
      <c r="CK121" s="399"/>
      <c r="CL121" s="399"/>
      <c r="CM121" s="399"/>
      <c r="CN121" s="399"/>
      <c r="CO121" s="399"/>
      <c r="CP121" s="399"/>
      <c r="CQ121" s="399"/>
      <c r="CR121" s="399"/>
      <c r="CS121" s="399"/>
      <c r="CT121" s="399"/>
      <c r="CU121" s="399"/>
      <c r="CV121" s="399"/>
      <c r="CW121" s="483"/>
      <c r="CX121" s="399"/>
      <c r="CY121" s="399"/>
      <c r="CZ121" s="399"/>
      <c r="DA121" s="399"/>
      <c r="DB121" s="399"/>
      <c r="DC121" s="399"/>
      <c r="DD121" s="399"/>
      <c r="DE121" s="399"/>
      <c r="DF121" s="399"/>
      <c r="DG121" s="399"/>
      <c r="DH121" s="399"/>
      <c r="DI121" s="399"/>
      <c r="DJ121" s="399"/>
      <c r="DK121" s="399"/>
      <c r="DL121" s="399"/>
      <c r="DM121" s="399"/>
      <c r="DN121" s="399"/>
      <c r="DO121" s="399"/>
    </row>
    <row r="122" spans="4:132" s="208" customFormat="1" ht="12.75" hidden="1" customHeight="1" x14ac:dyDescent="0.2">
      <c r="BU122" s="207"/>
      <c r="BZ122" s="382"/>
      <c r="CA122" s="382"/>
      <c r="CB122" s="382"/>
      <c r="CC122" s="382"/>
      <c r="CD122" s="382"/>
      <c r="CE122" s="382"/>
      <c r="CF122" s="382"/>
      <c r="CG122" s="382"/>
      <c r="CH122" s="382"/>
      <c r="CI122" s="382"/>
      <c r="CJ122" s="382"/>
      <c r="CK122" s="382"/>
      <c r="CL122" s="382"/>
      <c r="CM122" s="382"/>
      <c r="CN122" s="382"/>
      <c r="CO122" s="382"/>
      <c r="CP122" s="382"/>
      <c r="CQ122" s="382"/>
      <c r="CR122" s="382"/>
      <c r="CS122" s="382"/>
      <c r="CT122" s="382"/>
      <c r="CU122" s="382"/>
      <c r="CV122" s="382"/>
      <c r="CW122" s="568"/>
      <c r="CX122" s="382"/>
      <c r="CY122" s="382"/>
      <c r="CZ122" s="382"/>
      <c r="DA122" s="382"/>
      <c r="DB122" s="382"/>
      <c r="DC122" s="382"/>
      <c r="DD122" s="382"/>
      <c r="DE122" s="382"/>
      <c r="DF122" s="382"/>
      <c r="DG122" s="382"/>
      <c r="DH122" s="382"/>
      <c r="DI122" s="382"/>
      <c r="DJ122" s="382"/>
      <c r="DK122" s="382"/>
      <c r="DL122" s="382"/>
      <c r="DM122" s="382"/>
      <c r="DN122" s="382"/>
      <c r="DO122" s="382"/>
    </row>
    <row r="123" spans="4:132" s="208" customFormat="1" ht="14.25" hidden="1" customHeight="1" x14ac:dyDescent="0.2">
      <c r="BU123" s="207"/>
      <c r="BZ123" s="382"/>
      <c r="CA123" s="382"/>
      <c r="CB123" s="382"/>
      <c r="CC123" s="382"/>
      <c r="CD123" s="382"/>
      <c r="CE123" s="382"/>
      <c r="CF123" s="382"/>
      <c r="CG123" s="382"/>
      <c r="CH123" s="382"/>
      <c r="CI123" s="382"/>
      <c r="CJ123" s="382"/>
      <c r="CK123" s="382"/>
      <c r="CL123" s="382"/>
      <c r="CM123" s="382"/>
      <c r="CN123" s="382"/>
      <c r="CO123" s="382"/>
      <c r="CP123" s="382"/>
      <c r="CQ123" s="382"/>
      <c r="CR123" s="382"/>
      <c r="CS123" s="382"/>
      <c r="CT123" s="382"/>
      <c r="CU123" s="382"/>
      <c r="CV123" s="382"/>
      <c r="CW123" s="568"/>
      <c r="CX123" s="382"/>
      <c r="CY123" s="382"/>
      <c r="CZ123" s="382"/>
      <c r="DA123" s="382"/>
      <c r="DB123" s="382"/>
      <c r="DC123" s="382"/>
      <c r="DD123" s="382"/>
      <c r="DE123" s="382"/>
      <c r="DF123" s="382"/>
      <c r="DG123" s="382"/>
      <c r="DH123" s="382"/>
      <c r="DI123" s="382"/>
      <c r="DJ123" s="382"/>
      <c r="DK123" s="382"/>
      <c r="DL123" s="382"/>
      <c r="DM123" s="382"/>
      <c r="DN123" s="382"/>
      <c r="DO123" s="382"/>
    </row>
    <row r="124" spans="4:132" s="208" customFormat="1" ht="14.25" hidden="1" customHeight="1" x14ac:dyDescent="0.2">
      <c r="O124" s="732"/>
      <c r="P124" s="732"/>
      <c r="Q124" s="733"/>
      <c r="R124" s="733"/>
      <c r="S124" s="734"/>
      <c r="T124" s="732"/>
      <c r="U124" s="732"/>
      <c r="V124" s="732"/>
      <c r="W124" s="732"/>
      <c r="X124" s="732"/>
      <c r="AD124" s="207"/>
      <c r="BU124" s="207"/>
      <c r="BZ124" s="382"/>
      <c r="CA124" s="382"/>
      <c r="CB124" s="382"/>
      <c r="CC124" s="382"/>
      <c r="CD124" s="382"/>
      <c r="CE124" s="382"/>
      <c r="CF124" s="382"/>
      <c r="CG124" s="382"/>
      <c r="CH124" s="382"/>
      <c r="CI124" s="382"/>
      <c r="CJ124" s="382"/>
      <c r="CK124" s="382"/>
      <c r="CL124" s="382"/>
      <c r="CM124" s="382"/>
      <c r="CN124" s="382"/>
      <c r="CO124" s="382"/>
      <c r="CP124" s="382"/>
      <c r="CQ124" s="382"/>
      <c r="CR124" s="382"/>
      <c r="CS124" s="382"/>
      <c r="CT124" s="382"/>
      <c r="CU124" s="382"/>
      <c r="CV124" s="382"/>
      <c r="CW124" s="568"/>
      <c r="CX124" s="382"/>
      <c r="CY124" s="382"/>
      <c r="CZ124" s="382"/>
      <c r="DA124" s="382"/>
      <c r="DB124" s="382"/>
      <c r="DC124" s="382"/>
      <c r="DD124" s="382"/>
      <c r="DE124" s="382"/>
      <c r="DF124" s="382"/>
      <c r="DG124" s="382"/>
      <c r="DH124" s="382"/>
      <c r="DI124" s="382"/>
      <c r="DJ124" s="382"/>
      <c r="DK124" s="382"/>
      <c r="DL124" s="382"/>
      <c r="DM124" s="382"/>
      <c r="DN124" s="382"/>
      <c r="DO124" s="382"/>
    </row>
    <row r="125" spans="4:132" s="208" customFormat="1" ht="14.25" hidden="1" customHeight="1" x14ac:dyDescent="0.2">
      <c r="O125" s="732"/>
      <c r="P125" s="732"/>
      <c r="Q125" s="733"/>
      <c r="R125" s="733"/>
      <c r="S125" s="734"/>
      <c r="T125" s="732"/>
      <c r="U125" s="732"/>
      <c r="V125" s="732"/>
      <c r="W125" s="732"/>
      <c r="X125" s="732"/>
      <c r="AD125" s="207"/>
      <c r="BU125" s="207"/>
      <c r="BZ125" s="382"/>
      <c r="CA125" s="382"/>
      <c r="CB125" s="382"/>
      <c r="CC125" s="382"/>
      <c r="CD125" s="382"/>
      <c r="CE125" s="382"/>
      <c r="CF125" s="382"/>
      <c r="CG125" s="382"/>
      <c r="CH125" s="382"/>
      <c r="CI125" s="382"/>
      <c r="CJ125" s="382"/>
      <c r="CK125" s="382"/>
      <c r="CL125" s="382"/>
      <c r="CM125" s="382"/>
      <c r="CN125" s="382"/>
      <c r="CO125" s="382"/>
      <c r="CP125" s="382"/>
      <c r="CQ125" s="382"/>
      <c r="CR125" s="382"/>
      <c r="CS125" s="382"/>
      <c r="CT125" s="382"/>
      <c r="CU125" s="382"/>
      <c r="CV125" s="382"/>
      <c r="CW125" s="568"/>
      <c r="CX125" s="382"/>
      <c r="CY125" s="382"/>
      <c r="CZ125" s="382"/>
      <c r="DA125" s="382"/>
      <c r="DB125" s="382"/>
      <c r="DC125" s="382"/>
      <c r="DD125" s="382"/>
      <c r="DE125" s="382"/>
      <c r="DF125" s="382"/>
      <c r="DG125" s="382"/>
      <c r="DH125" s="382"/>
      <c r="DI125" s="382"/>
      <c r="DJ125" s="382"/>
      <c r="DK125" s="382"/>
      <c r="DL125" s="382"/>
      <c r="DM125" s="382"/>
      <c r="DN125" s="382"/>
      <c r="DO125" s="382"/>
    </row>
    <row r="126" spans="4:132" s="208" customFormat="1" ht="14.25" hidden="1" customHeight="1" x14ac:dyDescent="0.2">
      <c r="O126" s="735"/>
      <c r="P126" s="735"/>
      <c r="Q126" s="735"/>
      <c r="R126" s="735"/>
      <c r="S126" s="736"/>
      <c r="T126" s="735"/>
      <c r="U126" s="735"/>
      <c r="V126" s="735"/>
      <c r="W126" s="735"/>
      <c r="X126" s="735"/>
      <c r="Y126" s="735"/>
      <c r="Z126" s="735"/>
      <c r="AA126" s="735"/>
      <c r="AB126" s="735"/>
      <c r="AC126" s="735"/>
      <c r="AD126" s="735"/>
      <c r="AE126" s="735"/>
      <c r="AF126" s="735"/>
      <c r="AG126" s="735"/>
      <c r="BU126" s="207"/>
      <c r="BZ126" s="382"/>
      <c r="CA126" s="382"/>
      <c r="CB126" s="382"/>
      <c r="CC126" s="382"/>
      <c r="CD126" s="382"/>
      <c r="CE126" s="382"/>
      <c r="CF126" s="382"/>
      <c r="CG126" s="382"/>
      <c r="CH126" s="382"/>
      <c r="CI126" s="382"/>
      <c r="CJ126" s="382"/>
      <c r="CK126" s="382"/>
      <c r="CL126" s="382"/>
      <c r="CM126" s="382"/>
      <c r="CN126" s="382"/>
      <c r="CO126" s="382"/>
      <c r="CP126" s="382"/>
      <c r="CQ126" s="382"/>
      <c r="CR126" s="382"/>
      <c r="CS126" s="382"/>
      <c r="CT126" s="382"/>
      <c r="CU126" s="382"/>
      <c r="CV126" s="382"/>
      <c r="CW126" s="568"/>
      <c r="CX126" s="382"/>
      <c r="CY126" s="382"/>
      <c r="CZ126" s="382"/>
      <c r="DA126" s="382"/>
      <c r="DB126" s="382"/>
      <c r="DC126" s="382"/>
      <c r="DD126" s="382"/>
      <c r="DE126" s="382"/>
      <c r="DF126" s="382"/>
      <c r="DG126" s="382"/>
      <c r="DH126" s="382"/>
      <c r="DI126" s="382"/>
      <c r="DJ126" s="382"/>
      <c r="DK126" s="382"/>
      <c r="DL126" s="382"/>
      <c r="DM126" s="382"/>
      <c r="DN126" s="382"/>
      <c r="DO126" s="382"/>
    </row>
    <row r="127" spans="4:132" s="208" customFormat="1" ht="14.25" hidden="1" customHeight="1" x14ac:dyDescent="0.2">
      <c r="O127" s="737"/>
      <c r="P127" s="737"/>
      <c r="Q127" s="737"/>
      <c r="R127" s="737"/>
      <c r="S127" s="717"/>
      <c r="T127" s="737"/>
      <c r="U127" s="737"/>
      <c r="V127" s="737"/>
      <c r="W127" s="737"/>
      <c r="X127" s="737"/>
      <c r="Y127" s="737"/>
      <c r="Z127" s="737"/>
      <c r="AA127" s="737"/>
      <c r="AB127" s="737"/>
      <c r="AC127" s="737"/>
      <c r="AD127" s="737"/>
      <c r="AE127" s="737"/>
      <c r="AF127" s="737"/>
      <c r="AG127" s="737"/>
      <c r="BU127" s="207"/>
      <c r="BZ127" s="382"/>
      <c r="CA127" s="382"/>
      <c r="CB127" s="382"/>
      <c r="CC127" s="382"/>
      <c r="CD127" s="382"/>
      <c r="CE127" s="382"/>
      <c r="CF127" s="382"/>
      <c r="CG127" s="382"/>
      <c r="CH127" s="382"/>
      <c r="CI127" s="382"/>
      <c r="CJ127" s="382"/>
      <c r="CK127" s="382"/>
      <c r="CL127" s="382"/>
      <c r="CM127" s="382"/>
      <c r="CN127" s="382"/>
      <c r="CO127" s="382"/>
      <c r="CP127" s="382"/>
      <c r="CQ127" s="382"/>
      <c r="CR127" s="382"/>
      <c r="CS127" s="382"/>
      <c r="CT127" s="382"/>
      <c r="CU127" s="382"/>
      <c r="CV127" s="382"/>
      <c r="CW127" s="568"/>
      <c r="CX127" s="382"/>
      <c r="CY127" s="382"/>
      <c r="CZ127" s="382"/>
      <c r="DA127" s="382"/>
      <c r="DB127" s="382"/>
      <c r="DC127" s="382"/>
      <c r="DD127" s="382"/>
      <c r="DE127" s="382"/>
      <c r="DF127" s="382"/>
      <c r="DG127" s="382"/>
      <c r="DH127" s="382"/>
      <c r="DI127" s="382"/>
      <c r="DJ127" s="382"/>
      <c r="DK127" s="382"/>
      <c r="DL127" s="382"/>
      <c r="DM127" s="382"/>
      <c r="DN127" s="382"/>
      <c r="DO127" s="382"/>
    </row>
    <row r="128" spans="4:132" s="186" customFormat="1" ht="14.25" hidden="1" customHeight="1" x14ac:dyDescent="0.2">
      <c r="D128" s="738"/>
      <c r="E128" s="738"/>
      <c r="F128" s="738"/>
      <c r="G128" s="738"/>
      <c r="H128" s="738"/>
      <c r="I128" s="738"/>
      <c r="J128" s="738"/>
      <c r="K128" s="738"/>
      <c r="L128" s="738"/>
      <c r="M128" s="738"/>
      <c r="N128" s="738"/>
      <c r="O128" s="739"/>
      <c r="P128" s="739"/>
      <c r="Q128" s="739"/>
      <c r="R128" s="740"/>
      <c r="S128" s="715"/>
      <c r="T128" s="739"/>
      <c r="U128" s="739"/>
      <c r="V128" s="739"/>
      <c r="W128" s="739"/>
      <c r="X128" s="739"/>
      <c r="Y128" s="739"/>
      <c r="Z128" s="739"/>
      <c r="AA128" s="739"/>
      <c r="AB128" s="739"/>
      <c r="AC128" s="739"/>
      <c r="AD128" s="739"/>
      <c r="AE128" s="739"/>
      <c r="AF128" s="739"/>
      <c r="AG128" s="739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7"/>
      <c r="BV128" s="208"/>
      <c r="BW128" s="208"/>
      <c r="BX128" s="208"/>
      <c r="BY128" s="208"/>
      <c r="BZ128" s="382"/>
      <c r="CA128" s="382"/>
      <c r="CB128" s="382"/>
      <c r="CC128" s="382"/>
      <c r="CD128" s="382"/>
      <c r="CE128" s="382"/>
      <c r="CF128" s="382"/>
      <c r="CG128" s="382"/>
      <c r="CH128" s="382"/>
      <c r="CI128" s="382"/>
      <c r="CJ128" s="382"/>
      <c r="CK128" s="382"/>
      <c r="CL128" s="382"/>
      <c r="CM128" s="382"/>
      <c r="CN128" s="382"/>
      <c r="CO128" s="382"/>
      <c r="CP128" s="382"/>
      <c r="CQ128" s="382"/>
      <c r="CR128" s="382"/>
      <c r="CS128" s="382"/>
      <c r="CT128" s="382"/>
      <c r="CU128" s="382"/>
      <c r="CV128" s="382"/>
      <c r="CW128" s="189"/>
      <c r="CX128" s="382"/>
      <c r="CY128" s="382"/>
      <c r="CZ128" s="382"/>
      <c r="DA128" s="382"/>
      <c r="DB128" s="382"/>
      <c r="DC128" s="382"/>
      <c r="DD128" s="382"/>
      <c r="DE128" s="382"/>
      <c r="DF128" s="382"/>
      <c r="DG128" s="382"/>
      <c r="DH128" s="382"/>
      <c r="DI128" s="382"/>
      <c r="DJ128" s="382"/>
      <c r="DK128" s="382"/>
      <c r="DL128" s="382"/>
      <c r="DM128" s="382"/>
      <c r="DN128" s="382"/>
      <c r="DO128" s="382"/>
      <c r="DP128" s="208"/>
      <c r="DQ128" s="208"/>
      <c r="DR128" s="208"/>
      <c r="DS128" s="208"/>
      <c r="DT128" s="208"/>
      <c r="DU128" s="208"/>
      <c r="DV128" s="208"/>
      <c r="DW128" s="208"/>
      <c r="DX128" s="208"/>
      <c r="DY128" s="208"/>
      <c r="DZ128" s="741"/>
    </row>
    <row r="129" spans="2:132" s="186" customFormat="1" ht="13.7" hidden="1" customHeight="1" x14ac:dyDescent="0.2">
      <c r="D129" s="742" t="s">
        <v>211</v>
      </c>
      <c r="E129" s="742"/>
      <c r="F129" s="742">
        <f>IF(D143&gt;0,D143,0)</f>
        <v>0</v>
      </c>
      <c r="G129" s="742">
        <f>IF(D144&gt;0,D144,0)</f>
        <v>0</v>
      </c>
      <c r="H129" s="742">
        <f>IF(D145&gt;0,D145,0)</f>
        <v>0</v>
      </c>
      <c r="I129" s="742">
        <f>IF(D146&gt;0,D146,0)</f>
        <v>0</v>
      </c>
      <c r="J129" s="742">
        <f>IF(D147&gt;0,D147,0)</f>
        <v>0</v>
      </c>
      <c r="K129" s="742">
        <f>IF(D148&gt;0,D148,0)</f>
        <v>0</v>
      </c>
      <c r="L129" s="742">
        <f>IF(D149&gt;0,D149,0)</f>
        <v>0</v>
      </c>
      <c r="M129" s="742">
        <f>IF(D150&gt;0,D150,0)</f>
        <v>0</v>
      </c>
      <c r="N129" s="742">
        <f>IF(D151&gt;0,D151,0)</f>
        <v>0</v>
      </c>
      <c r="O129" s="742">
        <f>IF(D152&gt;0,D152,0)</f>
        <v>0</v>
      </c>
      <c r="P129" s="742">
        <f>IF(D153&gt;0,D153,0)</f>
        <v>0</v>
      </c>
      <c r="Q129" s="742">
        <f>IF(D154&gt;0,D154,0)</f>
        <v>0</v>
      </c>
      <c r="R129" s="743"/>
      <c r="S129" s="744">
        <f>IF(D155&gt;0,D155,0)</f>
        <v>0</v>
      </c>
      <c r="T129" s="744">
        <f>IF(D156&gt;0,D156,0)</f>
        <v>0</v>
      </c>
      <c r="U129" s="744">
        <f>IF(D157&gt;0,D157,0)</f>
        <v>0</v>
      </c>
      <c r="V129" s="744">
        <f>IF(D158&gt;0,D158,0)</f>
        <v>0</v>
      </c>
      <c r="W129" s="744">
        <f>IF(D159&gt;0,D159,0)</f>
        <v>0</v>
      </c>
      <c r="X129" s="744">
        <f>IF(D160&gt;0,D160,0)</f>
        <v>0</v>
      </c>
      <c r="Y129" s="744">
        <f>IF(D161&gt;0,D161,0)</f>
        <v>0</v>
      </c>
      <c r="Z129" s="744">
        <f>IF(D162&gt;0,D162,0)</f>
        <v>0</v>
      </c>
      <c r="AA129" s="744">
        <f>IF(D163&gt;0,D163,0)</f>
        <v>0</v>
      </c>
      <c r="AB129" s="744">
        <f>IF(D164&gt;0,D164,0)</f>
        <v>0</v>
      </c>
      <c r="AC129" s="744">
        <f>IF(D165&gt;0,D165,0)</f>
        <v>0</v>
      </c>
      <c r="AD129" s="744">
        <f>IF(D166&gt;0,D166,0)</f>
        <v>0</v>
      </c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  <c r="BP129" s="208"/>
      <c r="BQ129" s="208"/>
      <c r="BR129" s="208"/>
      <c r="BS129" s="208"/>
      <c r="BT129" s="208"/>
      <c r="BU129" s="207"/>
      <c r="BV129" s="208"/>
      <c r="BW129" s="208"/>
      <c r="BX129" s="208"/>
      <c r="BY129" s="208"/>
      <c r="BZ129" s="382"/>
      <c r="CA129" s="382"/>
      <c r="CB129" s="382"/>
      <c r="CC129" s="382"/>
      <c r="CD129" s="382"/>
      <c r="CE129" s="382"/>
      <c r="CF129" s="382"/>
      <c r="CG129" s="382"/>
      <c r="CH129" s="382"/>
      <c r="CI129" s="382"/>
      <c r="CJ129" s="382"/>
      <c r="CK129" s="382"/>
      <c r="CL129" s="382"/>
      <c r="CM129" s="382"/>
      <c r="CN129" s="382"/>
      <c r="CO129" s="382"/>
      <c r="CP129" s="382"/>
      <c r="CQ129" s="382"/>
      <c r="CR129" s="382"/>
      <c r="CS129" s="382"/>
      <c r="CT129" s="382"/>
      <c r="CU129" s="382"/>
      <c r="CV129" s="382"/>
      <c r="CW129" s="189"/>
      <c r="CX129" s="382"/>
      <c r="CY129" s="382"/>
      <c r="CZ129" s="382"/>
      <c r="DA129" s="382"/>
      <c r="DB129" s="382"/>
      <c r="DC129" s="382"/>
      <c r="DD129" s="382"/>
      <c r="DE129" s="382"/>
      <c r="DF129" s="382"/>
      <c r="DG129" s="382"/>
      <c r="DH129" s="382"/>
      <c r="DI129" s="382"/>
      <c r="DJ129" s="382"/>
      <c r="DK129" s="382"/>
      <c r="DL129" s="382"/>
      <c r="DM129" s="382"/>
      <c r="DN129" s="382"/>
      <c r="DO129" s="382"/>
      <c r="DP129" s="208"/>
      <c r="DQ129" s="208"/>
      <c r="DR129" s="208"/>
      <c r="DS129" s="208"/>
      <c r="DT129" s="208"/>
      <c r="DU129" s="208"/>
      <c r="DV129" s="208"/>
      <c r="DW129" s="208"/>
      <c r="DX129" s="208"/>
      <c r="DY129" s="208"/>
      <c r="DZ129" s="741"/>
    </row>
    <row r="130" spans="2:132" s="186" customFormat="1" ht="14.25" hidden="1" customHeight="1" x14ac:dyDescent="0.2">
      <c r="D130" s="745" t="s">
        <v>189</v>
      </c>
      <c r="E130" s="746">
        <f ca="1">B142</f>
        <v>2019</v>
      </c>
      <c r="F130" s="745">
        <f t="shared" ref="F130:L130" ca="1" si="9">$E$130+INT(E131/12)</f>
        <v>2019</v>
      </c>
      <c r="G130" s="745">
        <f t="shared" ca="1" si="9"/>
        <v>2019</v>
      </c>
      <c r="H130" s="745">
        <f t="shared" ca="1" si="9"/>
        <v>2019</v>
      </c>
      <c r="I130" s="745">
        <f t="shared" ca="1" si="9"/>
        <v>2019</v>
      </c>
      <c r="J130" s="745">
        <f t="shared" ca="1" si="9"/>
        <v>2019</v>
      </c>
      <c r="K130" s="745">
        <f t="shared" ca="1" si="9"/>
        <v>2019</v>
      </c>
      <c r="L130" s="745">
        <f t="shared" ca="1" si="9"/>
        <v>2019</v>
      </c>
      <c r="M130" s="745">
        <f ca="1">$E$130+INT(M131/12)</f>
        <v>2019</v>
      </c>
      <c r="N130" s="745">
        <f ca="1">$E$130+INT(M131/12)</f>
        <v>2019</v>
      </c>
      <c r="O130" s="745">
        <f ca="1">$E$130+INT(N131/12)</f>
        <v>2019</v>
      </c>
      <c r="P130" s="745">
        <f ca="1">$E$130+INT(O131/12)</f>
        <v>2019</v>
      </c>
      <c r="Q130" s="745">
        <f ca="1">$E$130+INT(P131/12)</f>
        <v>2019</v>
      </c>
      <c r="R130" s="747"/>
      <c r="S130" s="748">
        <f ca="1">$E$130+INT(Q131/12)</f>
        <v>2020</v>
      </c>
      <c r="T130" s="745">
        <f t="shared" ref="T130:AD130" ca="1" si="10">$E$130+INT(S131/12)</f>
        <v>2020</v>
      </c>
      <c r="U130" s="745">
        <f t="shared" ca="1" si="10"/>
        <v>2020</v>
      </c>
      <c r="V130" s="745">
        <f t="shared" ca="1" si="10"/>
        <v>2020</v>
      </c>
      <c r="W130" s="745">
        <f t="shared" ca="1" si="10"/>
        <v>2020</v>
      </c>
      <c r="X130" s="745">
        <f t="shared" ca="1" si="10"/>
        <v>2020</v>
      </c>
      <c r="Y130" s="745">
        <f t="shared" ca="1" si="10"/>
        <v>2020</v>
      </c>
      <c r="Z130" s="745">
        <f t="shared" ca="1" si="10"/>
        <v>2020</v>
      </c>
      <c r="AA130" s="745">
        <f t="shared" ca="1" si="10"/>
        <v>2020</v>
      </c>
      <c r="AB130" s="745">
        <f t="shared" ca="1" si="10"/>
        <v>2020</v>
      </c>
      <c r="AC130" s="745">
        <f t="shared" ca="1" si="10"/>
        <v>2020</v>
      </c>
      <c r="AD130" s="745">
        <f t="shared" ca="1" si="10"/>
        <v>2020</v>
      </c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7"/>
      <c r="BV130" s="208"/>
      <c r="BW130" s="208"/>
      <c r="BX130" s="208"/>
      <c r="BY130" s="208"/>
      <c r="BZ130" s="382"/>
      <c r="CA130" s="382"/>
      <c r="CB130" s="382"/>
      <c r="CC130" s="382"/>
      <c r="CD130" s="382"/>
      <c r="CE130" s="382"/>
      <c r="CF130" s="382"/>
      <c r="CG130" s="382"/>
      <c r="CH130" s="382"/>
      <c r="CI130" s="382"/>
      <c r="CJ130" s="382"/>
      <c r="CK130" s="382"/>
      <c r="CL130" s="382"/>
      <c r="CM130" s="382"/>
      <c r="CN130" s="382"/>
      <c r="CO130" s="382"/>
      <c r="CP130" s="382"/>
      <c r="CQ130" s="382"/>
      <c r="CR130" s="382"/>
      <c r="CS130" s="382"/>
      <c r="CT130" s="382"/>
      <c r="CU130" s="382"/>
      <c r="CV130" s="382"/>
      <c r="CW130" s="189"/>
      <c r="CX130" s="382"/>
      <c r="CY130" s="382"/>
      <c r="CZ130" s="382"/>
      <c r="DA130" s="382"/>
      <c r="DB130" s="382"/>
      <c r="DC130" s="382"/>
      <c r="DD130" s="382"/>
      <c r="DE130" s="382"/>
      <c r="DF130" s="382"/>
      <c r="DG130" s="382"/>
      <c r="DH130" s="382"/>
      <c r="DI130" s="382"/>
      <c r="DJ130" s="382"/>
      <c r="DK130" s="382"/>
      <c r="DL130" s="382"/>
      <c r="DM130" s="382"/>
      <c r="DN130" s="382"/>
      <c r="DO130" s="382"/>
      <c r="DP130" s="208"/>
      <c r="DQ130" s="208"/>
      <c r="DR130" s="208"/>
      <c r="DS130" s="208"/>
      <c r="DT130" s="208"/>
      <c r="DU130" s="208"/>
      <c r="DV130" s="208"/>
      <c r="DW130" s="208"/>
      <c r="DX130" s="208"/>
      <c r="DY130" s="208"/>
      <c r="DZ130" s="741"/>
    </row>
    <row r="131" spans="2:132" s="186" customFormat="1" ht="14.25" hidden="1" customHeight="1" x14ac:dyDescent="0.2">
      <c r="D131" s="745" t="s">
        <v>196</v>
      </c>
      <c r="E131" s="745">
        <v>0</v>
      </c>
      <c r="F131" s="745">
        <v>1</v>
      </c>
      <c r="G131" s="745">
        <v>2</v>
      </c>
      <c r="H131" s="745">
        <v>3</v>
      </c>
      <c r="I131" s="745">
        <v>4</v>
      </c>
      <c r="J131" s="745">
        <v>5</v>
      </c>
      <c r="K131" s="745">
        <v>6</v>
      </c>
      <c r="L131" s="745">
        <v>7</v>
      </c>
      <c r="M131" s="745">
        <v>8</v>
      </c>
      <c r="N131" s="745">
        <v>9</v>
      </c>
      <c r="O131" s="745">
        <v>10</v>
      </c>
      <c r="P131" s="745">
        <v>11</v>
      </c>
      <c r="Q131" s="745">
        <v>12</v>
      </c>
      <c r="R131" s="747"/>
      <c r="S131" s="748">
        <v>13</v>
      </c>
      <c r="T131" s="745">
        <v>14</v>
      </c>
      <c r="U131" s="745">
        <v>15</v>
      </c>
      <c r="V131" s="745">
        <v>16</v>
      </c>
      <c r="W131" s="745">
        <v>17</v>
      </c>
      <c r="X131" s="745">
        <v>18</v>
      </c>
      <c r="Y131" s="745">
        <v>19</v>
      </c>
      <c r="Z131" s="745">
        <v>20</v>
      </c>
      <c r="AA131" s="745">
        <v>21</v>
      </c>
      <c r="AB131" s="745">
        <v>22</v>
      </c>
      <c r="AC131" s="745">
        <v>23</v>
      </c>
      <c r="AD131" s="745">
        <v>24</v>
      </c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7"/>
      <c r="BV131" s="208"/>
      <c r="BW131" s="208"/>
      <c r="BX131" s="208"/>
      <c r="BY131" s="208"/>
      <c r="BZ131" s="382"/>
      <c r="CA131" s="382"/>
      <c r="CB131" s="382"/>
      <c r="CC131" s="382"/>
      <c r="CD131" s="382"/>
      <c r="CE131" s="382"/>
      <c r="CF131" s="382"/>
      <c r="CG131" s="382"/>
      <c r="CH131" s="382"/>
      <c r="CI131" s="382"/>
      <c r="CJ131" s="382"/>
      <c r="CK131" s="382"/>
      <c r="CL131" s="382"/>
      <c r="CM131" s="382"/>
      <c r="CN131" s="382"/>
      <c r="CO131" s="382"/>
      <c r="CP131" s="382"/>
      <c r="CQ131" s="382"/>
      <c r="CR131" s="382"/>
      <c r="CS131" s="382"/>
      <c r="CT131" s="382"/>
      <c r="CU131" s="382"/>
      <c r="CV131" s="382"/>
      <c r="CW131" s="189"/>
      <c r="CX131" s="382"/>
      <c r="CY131" s="382"/>
      <c r="CZ131" s="382"/>
      <c r="DA131" s="382"/>
      <c r="DB131" s="382"/>
      <c r="DC131" s="382"/>
      <c r="DD131" s="382"/>
      <c r="DE131" s="382"/>
      <c r="DF131" s="382"/>
      <c r="DG131" s="382"/>
      <c r="DH131" s="382"/>
      <c r="DI131" s="382"/>
      <c r="DJ131" s="382"/>
      <c r="DK131" s="382"/>
      <c r="DL131" s="382"/>
      <c r="DM131" s="382"/>
      <c r="DN131" s="382"/>
      <c r="DO131" s="382"/>
      <c r="DP131" s="208"/>
      <c r="DQ131" s="208"/>
      <c r="DR131" s="208"/>
      <c r="DS131" s="208"/>
      <c r="DT131" s="208"/>
      <c r="DU131" s="208"/>
      <c r="DV131" s="208"/>
      <c r="DW131" s="208"/>
      <c r="DX131" s="208"/>
      <c r="DY131" s="208"/>
      <c r="DZ131" s="741"/>
    </row>
    <row r="132" spans="2:132" s="176" customFormat="1" ht="14.25" hidden="1" customHeight="1" x14ac:dyDescent="0.2">
      <c r="F132" s="202"/>
      <c r="S132" s="749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7"/>
      <c r="BV132" s="208"/>
      <c r="BW132" s="208"/>
      <c r="BX132" s="208"/>
      <c r="BY132" s="208"/>
      <c r="BZ132" s="382"/>
      <c r="CA132" s="382"/>
      <c r="CB132" s="382"/>
      <c r="CC132" s="382"/>
      <c r="CD132" s="382"/>
      <c r="CE132" s="382"/>
      <c r="CF132" s="382"/>
      <c r="CG132" s="382"/>
      <c r="CH132" s="382"/>
      <c r="CI132" s="382"/>
      <c r="CJ132" s="382"/>
      <c r="CK132" s="382"/>
      <c r="CL132" s="382"/>
      <c r="CM132" s="382"/>
      <c r="CN132" s="382"/>
      <c r="CO132" s="382"/>
      <c r="CP132" s="382"/>
      <c r="CQ132" s="382"/>
      <c r="CR132" s="382"/>
      <c r="CS132" s="382"/>
      <c r="CT132" s="382"/>
      <c r="CU132" s="382"/>
      <c r="CV132" s="382"/>
      <c r="CW132" s="189"/>
      <c r="CX132" s="382"/>
      <c r="CY132" s="382"/>
      <c r="CZ132" s="382"/>
      <c r="DA132" s="382"/>
      <c r="DB132" s="382"/>
      <c r="DC132" s="382"/>
      <c r="DD132" s="382"/>
      <c r="DE132" s="382"/>
      <c r="DF132" s="382"/>
      <c r="DG132" s="382"/>
      <c r="DH132" s="382"/>
      <c r="DI132" s="382"/>
      <c r="DJ132" s="382"/>
      <c r="DK132" s="382"/>
      <c r="DL132" s="382"/>
      <c r="DM132" s="382"/>
      <c r="DN132" s="382"/>
      <c r="DO132" s="382"/>
      <c r="DP132" s="208"/>
      <c r="DQ132" s="208"/>
      <c r="DR132" s="208"/>
      <c r="DS132" s="208"/>
      <c r="DT132" s="208"/>
      <c r="DU132" s="208"/>
      <c r="DV132" s="208"/>
      <c r="DW132" s="208"/>
      <c r="DX132" s="208"/>
      <c r="DY132" s="208"/>
      <c r="DZ132" s="227"/>
      <c r="EA132" s="186"/>
      <c r="EB132" s="186"/>
    </row>
    <row r="133" spans="2:132" s="176" customFormat="1" ht="14.25" hidden="1" customHeight="1" x14ac:dyDescent="0.2">
      <c r="G133" s="750" t="str">
        <f>$C$14</f>
        <v>Beteiligung</v>
      </c>
      <c r="H133" s="751">
        <f>IF($D$14&lt;&gt;"",$D$14,IF($F$14&lt;&gt;"",$F$14,IF($H$14&lt;&gt;"",$H$14,IF($J$14&lt;&gt;"",$J$14,IF($L$14&lt;&gt;"",$L$14,0)))))</f>
        <v>0</v>
      </c>
      <c r="I133" s="752" t="s">
        <v>185</v>
      </c>
      <c r="J133" s="750" t="str">
        <f>$C$16</f>
        <v xml:space="preserve">Kontokorrent Kredit </v>
      </c>
      <c r="K133" s="751">
        <f>IF($D$16&lt;&gt;"",$D$16,IF($F$16&lt;&gt;"",$F$16,IF($H$16&lt;&gt;"",$H$16,IF($J$16&lt;&gt;"",$J$16,IF($L$16&lt;&gt;"",$L$16,0)))))</f>
        <v>0</v>
      </c>
      <c r="L133" s="753" t="s">
        <v>185</v>
      </c>
      <c r="M133" s="750" t="str">
        <f>$C$18</f>
        <v>Kurzfristige Darlehen</v>
      </c>
      <c r="N133" s="751">
        <f>IF($D$18&lt;&gt;"",$D$18,IF($F$18&lt;&gt;"",$F$18,IF($H$18&lt;&gt;"",$H$18,IF($J$18&lt;&gt;"",$J$18,IF($L$18&lt;&gt;"",$L$18,0)))))</f>
        <v>0</v>
      </c>
      <c r="O133" s="753" t="s">
        <v>185</v>
      </c>
      <c r="P133" s="750" t="str">
        <f>$C$21</f>
        <v>Öffentliche Förderdarlehen</v>
      </c>
      <c r="Q133" s="751">
        <f>IF($D$21&lt;&gt;"",$D$21,IF($F$21&lt;&gt;"",$F$21,IF($H$21&lt;&gt;"",$H$21,IF($J$21&lt;&gt;"",$J$21,IF($L$21&lt;&gt;"",$L$21,0)))))</f>
        <v>0</v>
      </c>
      <c r="S133" s="224" t="s">
        <v>185</v>
      </c>
      <c r="T133" s="750" t="str">
        <f>$C$22</f>
        <v>KfW  Programm</v>
      </c>
      <c r="U133" s="751">
        <f>IF($D$22&lt;&gt;"",$D$22,IF($F$22&lt;&gt;"",$F$22,IF($H$22&lt;&gt;"",$H$22,IF($J$22&lt;&gt;"",$J$22,IF($L$22&lt;&gt;"",$L$22,0)))))</f>
        <v>0</v>
      </c>
      <c r="V133" s="754" t="s">
        <v>185</v>
      </c>
      <c r="W133" s="750" t="str">
        <f>$C$23</f>
        <v>L - Bank-Darlehen</v>
      </c>
      <c r="X133" s="751">
        <f>IF($D$23&lt;&gt;"",$D$23,IF($F$23&lt;&gt;"",$F$23,IF($H$23&lt;&gt;"",$H$23,IF($J$23&lt;&gt;"",$J$23,IF($L$23&lt;&gt;"",$L$23,0)))))</f>
        <v>0</v>
      </c>
      <c r="Y133" s="754" t="s">
        <v>185</v>
      </c>
      <c r="Z133" s="750" t="str">
        <f>$C$24</f>
        <v xml:space="preserve">Bürgschaftsbank- Darlehen </v>
      </c>
      <c r="AA133" s="751">
        <f>IF($D$24&lt;&gt;"",$D$24,IF($F$24&lt;&gt;"",$F$24,IF($H$24&lt;&gt;"",$H$24,IF($J$24&lt;&gt;"",$J$24,IF($L$24&lt;&gt;"",$L$24,0)))))</f>
        <v>0</v>
      </c>
      <c r="AB133" s="754" t="s">
        <v>185</v>
      </c>
      <c r="AC133" s="750" t="str">
        <f>$C$25</f>
        <v>Haus -  Bank-Darlehen</v>
      </c>
      <c r="AD133" s="751">
        <f>IF($D$25&lt;&gt;"",$D$25,IF($F$25&lt;&gt;"",$F$25,IF($H$25&lt;&gt;"",$H$25,IF($J$25&lt;&gt;"",$J$25,IF($L$25&lt;&gt;"",$L$25,0)))))</f>
        <v>0</v>
      </c>
      <c r="AE133" s="754" t="s">
        <v>185</v>
      </c>
      <c r="AF133" s="750" t="str">
        <f>C26</f>
        <v>Privat -  Darlehen</v>
      </c>
      <c r="AG133" s="751">
        <f>IF($D$26&lt;&gt;"",$D$26,IF($F$26&lt;&gt;"",$F$26,IF($H$26&lt;&gt;"",$H$26,IF($J$26&lt;&gt;"",$J$26,IF($L$26&lt;&gt;"",$L$26,0)))))</f>
        <v>0</v>
      </c>
      <c r="AH133" s="754" t="s">
        <v>185</v>
      </c>
      <c r="AI133" s="755" t="str">
        <f>C27</f>
        <v>Sonstige</v>
      </c>
      <c r="AJ133" s="751">
        <f>IF($D$27&lt;&gt;"",$D$27,IF($F$27&lt;&gt;"",$F$27,IF($H$27&lt;&gt;"",$H$27,IF($J$27&lt;&gt;"",$J$27,IF($L$27&lt;&gt;"",$L$27,0)))))</f>
        <v>0</v>
      </c>
      <c r="AK133" s="754" t="s">
        <v>185</v>
      </c>
      <c r="AL133" s="750" t="str">
        <f>$C$10</f>
        <v>Eigenkapital</v>
      </c>
      <c r="AM133" s="751">
        <f>$D$10</f>
        <v>0</v>
      </c>
      <c r="AN133" s="754" t="s">
        <v>185</v>
      </c>
      <c r="AO133" s="750" t="str">
        <f>$C$12</f>
        <v>Eigenleistung</v>
      </c>
      <c r="AP133" s="751">
        <f>$D$12</f>
        <v>0</v>
      </c>
      <c r="AQ133" s="754" t="s">
        <v>185</v>
      </c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7"/>
      <c r="BV133" s="208"/>
      <c r="BW133" s="208"/>
      <c r="BX133" s="208"/>
      <c r="BY133" s="208"/>
      <c r="BZ133" s="382"/>
      <c r="CA133" s="382"/>
      <c r="CB133" s="382"/>
      <c r="CC133" s="382"/>
      <c r="CD133" s="382"/>
      <c r="CE133" s="382"/>
      <c r="CF133" s="382"/>
      <c r="CG133" s="382"/>
      <c r="CH133" s="382"/>
      <c r="CI133" s="382"/>
      <c r="CJ133" s="382"/>
      <c r="CK133" s="382"/>
      <c r="CL133" s="382"/>
      <c r="CM133" s="382"/>
      <c r="CN133" s="382"/>
      <c r="CO133" s="382"/>
      <c r="CP133" s="382"/>
      <c r="CQ133" s="382"/>
      <c r="CR133" s="382"/>
      <c r="CS133" s="382"/>
      <c r="CT133" s="382"/>
      <c r="CU133" s="382"/>
      <c r="CV133" s="382"/>
      <c r="CW133" s="189"/>
      <c r="CX133" s="382"/>
      <c r="CY133" s="382"/>
      <c r="CZ133" s="382"/>
      <c r="DA133" s="382"/>
      <c r="DB133" s="382"/>
      <c r="DC133" s="382"/>
      <c r="DD133" s="382"/>
      <c r="DE133" s="382"/>
      <c r="DF133" s="382"/>
      <c r="DG133" s="382"/>
      <c r="DH133" s="382"/>
      <c r="DI133" s="382"/>
      <c r="DJ133" s="382"/>
      <c r="DK133" s="382"/>
      <c r="DL133" s="382"/>
      <c r="DM133" s="382"/>
      <c r="DN133" s="382"/>
      <c r="DO133" s="382"/>
      <c r="DP133" s="208"/>
      <c r="DQ133" s="208"/>
      <c r="DR133" s="208"/>
      <c r="DS133" s="208"/>
      <c r="DT133" s="208"/>
      <c r="DU133" s="208"/>
      <c r="DV133" s="208"/>
      <c r="DW133" s="208"/>
      <c r="DX133" s="208"/>
      <c r="DY133" s="208"/>
      <c r="DZ133" s="227"/>
      <c r="EA133" s="186"/>
      <c r="EB133" s="186"/>
    </row>
    <row r="134" spans="2:132" s="176" customFormat="1" ht="14.25" hidden="1" customHeight="1" x14ac:dyDescent="0.2">
      <c r="G134" s="756"/>
      <c r="H134" s="757">
        <f>IF($P$14&lt;&gt;"",$P$14,0)</f>
        <v>0</v>
      </c>
      <c r="I134" s="752" t="s">
        <v>195</v>
      </c>
      <c r="J134" s="756"/>
      <c r="K134" s="757">
        <f>IF($P$16&lt;&gt;"",$P$16,0)</f>
        <v>0</v>
      </c>
      <c r="L134" s="754" t="s">
        <v>195</v>
      </c>
      <c r="M134" s="756"/>
      <c r="N134" s="757">
        <f>IF($P$18&lt;&gt;"",$P$18,0)</f>
        <v>0</v>
      </c>
      <c r="O134" s="754" t="s">
        <v>195</v>
      </c>
      <c r="P134" s="756"/>
      <c r="Q134" s="757">
        <f>IF($P$21&lt;&gt;"",$P$21,0)</f>
        <v>0</v>
      </c>
      <c r="S134" s="224" t="s">
        <v>195</v>
      </c>
      <c r="T134" s="758"/>
      <c r="U134" s="757">
        <f>IF($P$22&lt;&gt;"",$P$22,0)</f>
        <v>0</v>
      </c>
      <c r="V134" s="754" t="s">
        <v>195</v>
      </c>
      <c r="W134" s="758"/>
      <c r="X134" s="757">
        <f>IF($P$23&lt;&gt;"",$P$23,0)</f>
        <v>0</v>
      </c>
      <c r="Y134" s="754" t="s">
        <v>195</v>
      </c>
      <c r="Z134" s="758"/>
      <c r="AA134" s="757">
        <f>IF($P$24&lt;&gt;"",$P$24,0)</f>
        <v>0</v>
      </c>
      <c r="AB134" s="754" t="s">
        <v>195</v>
      </c>
      <c r="AC134" s="758"/>
      <c r="AD134" s="757">
        <f>IF($P$25&lt;&gt;"",$P$25,0)</f>
        <v>0</v>
      </c>
      <c r="AE134" s="754" t="s">
        <v>195</v>
      </c>
      <c r="AF134" s="758"/>
      <c r="AG134" s="757">
        <f>IF($P$26&lt;&gt;"",$P$26,0)</f>
        <v>0</v>
      </c>
      <c r="AH134" s="754" t="s">
        <v>195</v>
      </c>
      <c r="AI134" s="758"/>
      <c r="AJ134" s="757">
        <f>IF($P$27&lt;&gt;"",$P$27,0)</f>
        <v>0</v>
      </c>
      <c r="AK134" s="754" t="s">
        <v>195</v>
      </c>
      <c r="AL134" s="758"/>
      <c r="AM134" s="757">
        <v>0</v>
      </c>
      <c r="AN134" s="754"/>
      <c r="AO134" s="758"/>
      <c r="AP134" s="757">
        <v>0</v>
      </c>
      <c r="AQ134" s="754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7"/>
      <c r="BV134" s="208"/>
      <c r="BW134" s="208"/>
      <c r="BX134" s="208"/>
      <c r="BY134" s="208"/>
      <c r="BZ134" s="382"/>
      <c r="CA134" s="382"/>
      <c r="CB134" s="382"/>
      <c r="CC134" s="382"/>
      <c r="CD134" s="382"/>
      <c r="CE134" s="382"/>
      <c r="CF134" s="382"/>
      <c r="CG134" s="382"/>
      <c r="CH134" s="382"/>
      <c r="CI134" s="382"/>
      <c r="CJ134" s="382"/>
      <c r="CK134" s="382"/>
      <c r="CL134" s="382"/>
      <c r="CM134" s="382"/>
      <c r="CN134" s="382"/>
      <c r="CO134" s="382"/>
      <c r="CP134" s="382"/>
      <c r="CQ134" s="382"/>
      <c r="CR134" s="382"/>
      <c r="CS134" s="382"/>
      <c r="CT134" s="382"/>
      <c r="CU134" s="382"/>
      <c r="CV134" s="382"/>
      <c r="CW134" s="189"/>
      <c r="CX134" s="382"/>
      <c r="CY134" s="382"/>
      <c r="CZ134" s="382"/>
      <c r="DA134" s="382"/>
      <c r="DB134" s="382"/>
      <c r="DC134" s="382"/>
      <c r="DD134" s="382"/>
      <c r="DE134" s="382"/>
      <c r="DF134" s="382"/>
      <c r="DG134" s="382"/>
      <c r="DH134" s="382"/>
      <c r="DI134" s="382"/>
      <c r="DJ134" s="382"/>
      <c r="DK134" s="382"/>
      <c r="DL134" s="382"/>
      <c r="DM134" s="382"/>
      <c r="DN134" s="382"/>
      <c r="DO134" s="382"/>
      <c r="DP134" s="208"/>
      <c r="DQ134" s="208"/>
      <c r="DR134" s="208"/>
      <c r="DS134" s="208"/>
      <c r="DT134" s="208"/>
      <c r="DU134" s="208"/>
      <c r="DV134" s="208"/>
      <c r="DW134" s="208"/>
      <c r="DX134" s="208"/>
      <c r="DY134" s="208"/>
      <c r="DZ134" s="227"/>
      <c r="EA134" s="186"/>
      <c r="EB134" s="186"/>
    </row>
    <row r="135" spans="2:132" s="176" customFormat="1" ht="14.25" hidden="1" customHeight="1" x14ac:dyDescent="0.2">
      <c r="G135" s="756"/>
      <c r="H135" s="759">
        <f>IF($N$14="",0,$N$14)</f>
        <v>0</v>
      </c>
      <c r="I135" s="752" t="s">
        <v>90</v>
      </c>
      <c r="J135" s="756"/>
      <c r="K135" s="759">
        <f>IF($N$16="",0,$N$16)</f>
        <v>0</v>
      </c>
      <c r="L135" s="754" t="s">
        <v>90</v>
      </c>
      <c r="M135" s="756"/>
      <c r="N135" s="759">
        <f>IF($N$18="",0,$N$18)</f>
        <v>0</v>
      </c>
      <c r="O135" s="754" t="s">
        <v>90</v>
      </c>
      <c r="P135" s="756"/>
      <c r="Q135" s="759">
        <f>IF($N$21="",0,$N$21)</f>
        <v>0</v>
      </c>
      <c r="S135" s="224" t="s">
        <v>90</v>
      </c>
      <c r="T135" s="758"/>
      <c r="U135" s="759">
        <f>IF($N$22="",0,$N$22)</f>
        <v>0</v>
      </c>
      <c r="V135" s="754" t="s">
        <v>90</v>
      </c>
      <c r="W135" s="758"/>
      <c r="X135" s="759">
        <f>IF($N$23="",0,$N$23)</f>
        <v>0</v>
      </c>
      <c r="Y135" s="754" t="s">
        <v>90</v>
      </c>
      <c r="Z135" s="758"/>
      <c r="AA135" s="759">
        <f>IF($N$24="",0,$N$24)</f>
        <v>0</v>
      </c>
      <c r="AB135" s="754" t="s">
        <v>90</v>
      </c>
      <c r="AC135" s="758"/>
      <c r="AD135" s="759">
        <f>IF($N$25="",0,$N$25)</f>
        <v>0</v>
      </c>
      <c r="AE135" s="754" t="s">
        <v>90</v>
      </c>
      <c r="AF135" s="758"/>
      <c r="AG135" s="759">
        <f>IF($N$26="",0,$N$26)</f>
        <v>0</v>
      </c>
      <c r="AH135" s="754" t="s">
        <v>90</v>
      </c>
      <c r="AI135" s="758"/>
      <c r="AJ135" s="759">
        <f>IF($N$27="",0,$N$27)</f>
        <v>0</v>
      </c>
      <c r="AK135" s="754" t="s">
        <v>90</v>
      </c>
      <c r="AL135" s="758"/>
      <c r="AM135" s="759">
        <v>0</v>
      </c>
      <c r="AN135" s="754"/>
      <c r="AO135" s="758"/>
      <c r="AP135" s="759">
        <v>0</v>
      </c>
      <c r="AQ135" s="754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7"/>
      <c r="BV135" s="208"/>
      <c r="BW135" s="208"/>
      <c r="BX135" s="208"/>
      <c r="BY135" s="208"/>
      <c r="BZ135" s="382"/>
      <c r="CA135" s="382"/>
      <c r="CB135" s="382"/>
      <c r="CC135" s="382"/>
      <c r="CD135" s="382"/>
      <c r="CE135" s="382"/>
      <c r="CF135" s="382"/>
      <c r="CG135" s="382"/>
      <c r="CH135" s="382"/>
      <c r="CI135" s="382"/>
      <c r="CJ135" s="382"/>
      <c r="CK135" s="382"/>
      <c r="CL135" s="382"/>
      <c r="CM135" s="382"/>
      <c r="CN135" s="382"/>
      <c r="CO135" s="382"/>
      <c r="CP135" s="382"/>
      <c r="CQ135" s="382"/>
      <c r="CR135" s="382"/>
      <c r="CS135" s="382"/>
      <c r="CT135" s="382"/>
      <c r="CU135" s="382"/>
      <c r="CV135" s="382"/>
      <c r="CW135" s="189"/>
      <c r="CX135" s="382"/>
      <c r="CY135" s="382"/>
      <c r="CZ135" s="382"/>
      <c r="DA135" s="382"/>
      <c r="DB135" s="382"/>
      <c r="DC135" s="382"/>
      <c r="DD135" s="382"/>
      <c r="DE135" s="382"/>
      <c r="DF135" s="382"/>
      <c r="DG135" s="382"/>
      <c r="DH135" s="382"/>
      <c r="DI135" s="382"/>
      <c r="DJ135" s="382"/>
      <c r="DK135" s="382"/>
      <c r="DL135" s="382"/>
      <c r="DM135" s="382"/>
      <c r="DN135" s="382"/>
      <c r="DO135" s="382"/>
      <c r="DP135" s="208"/>
      <c r="DQ135" s="208"/>
      <c r="DR135" s="208"/>
      <c r="DS135" s="208"/>
      <c r="DT135" s="208"/>
      <c r="DU135" s="208"/>
      <c r="DV135" s="208"/>
      <c r="DW135" s="208"/>
      <c r="DX135" s="208"/>
      <c r="DY135" s="208"/>
      <c r="DZ135" s="227"/>
      <c r="EA135" s="186"/>
      <c r="EB135" s="186"/>
    </row>
    <row r="136" spans="2:132" s="176" customFormat="1" ht="14.25" hidden="1" customHeight="1" x14ac:dyDescent="0.2">
      <c r="G136" s="756"/>
      <c r="H136" s="757">
        <f>IF($O$14&lt;&gt;"",$O$14,0)</f>
        <v>0</v>
      </c>
      <c r="I136" s="752" t="s">
        <v>186</v>
      </c>
      <c r="J136" s="756"/>
      <c r="K136" s="757">
        <f>IF($O$16&lt;&gt;"",$O$16,0)</f>
        <v>0</v>
      </c>
      <c r="L136" s="754" t="s">
        <v>186</v>
      </c>
      <c r="M136" s="756"/>
      <c r="N136" s="757">
        <f>IF($O$18&lt;&gt;"",$O$18,0)</f>
        <v>0</v>
      </c>
      <c r="O136" s="754" t="s">
        <v>186</v>
      </c>
      <c r="P136" s="756"/>
      <c r="Q136" s="757">
        <f>IF($O$21&lt;&gt;"",$O$21,0)</f>
        <v>0</v>
      </c>
      <c r="S136" s="224" t="s">
        <v>186</v>
      </c>
      <c r="T136" s="758"/>
      <c r="U136" s="757">
        <f>IF($O$22&lt;&gt;"",$O$22,0)</f>
        <v>0</v>
      </c>
      <c r="V136" s="754" t="s">
        <v>186</v>
      </c>
      <c r="W136" s="758"/>
      <c r="X136" s="757">
        <f>IF($O$23&lt;&gt;"",$O$23,0)</f>
        <v>0</v>
      </c>
      <c r="Y136" s="754" t="s">
        <v>186</v>
      </c>
      <c r="Z136" s="758"/>
      <c r="AA136" s="757">
        <f>IF($O$24&lt;&gt;"",$O$24,0)</f>
        <v>0</v>
      </c>
      <c r="AB136" s="754" t="s">
        <v>186</v>
      </c>
      <c r="AC136" s="758"/>
      <c r="AD136" s="757">
        <f>IF($O$25&lt;&gt;"",$O$25,0)</f>
        <v>0</v>
      </c>
      <c r="AE136" s="754" t="s">
        <v>186</v>
      </c>
      <c r="AF136" s="758"/>
      <c r="AG136" s="757">
        <f>IF($O$26&lt;&gt;"",$O$26,0)</f>
        <v>0</v>
      </c>
      <c r="AH136" s="754" t="s">
        <v>186</v>
      </c>
      <c r="AI136" s="758"/>
      <c r="AJ136" s="757">
        <f>IF($O$27&lt;&gt;"",$O$27,0)</f>
        <v>0</v>
      </c>
      <c r="AK136" s="754" t="s">
        <v>186</v>
      </c>
      <c r="AL136" s="758"/>
      <c r="AM136" s="757">
        <v>0</v>
      </c>
      <c r="AN136" s="754"/>
      <c r="AO136" s="758"/>
      <c r="AP136" s="757">
        <v>0</v>
      </c>
      <c r="AQ136" s="754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7"/>
      <c r="BV136" s="208"/>
      <c r="BW136" s="208"/>
      <c r="BX136" s="208"/>
      <c r="BY136" s="208"/>
      <c r="BZ136" s="382"/>
      <c r="CA136" s="382"/>
      <c r="CB136" s="382"/>
      <c r="CC136" s="382"/>
      <c r="CD136" s="382"/>
      <c r="CE136" s="382"/>
      <c r="CF136" s="382"/>
      <c r="CG136" s="382"/>
      <c r="CH136" s="382"/>
      <c r="CI136" s="382"/>
      <c r="CJ136" s="382"/>
      <c r="CK136" s="382"/>
      <c r="CL136" s="382"/>
      <c r="CM136" s="382"/>
      <c r="CN136" s="382"/>
      <c r="CO136" s="382"/>
      <c r="CP136" s="382"/>
      <c r="CQ136" s="382"/>
      <c r="CR136" s="382"/>
      <c r="CS136" s="382"/>
      <c r="CT136" s="382"/>
      <c r="CU136" s="382"/>
      <c r="CV136" s="382"/>
      <c r="CW136" s="189"/>
      <c r="CX136" s="382"/>
      <c r="CY136" s="382"/>
      <c r="CZ136" s="382"/>
      <c r="DA136" s="382"/>
      <c r="DB136" s="382"/>
      <c r="DC136" s="382"/>
      <c r="DD136" s="382"/>
      <c r="DE136" s="382"/>
      <c r="DF136" s="382"/>
      <c r="DG136" s="382"/>
      <c r="DH136" s="382"/>
      <c r="DI136" s="382"/>
      <c r="DJ136" s="382"/>
      <c r="DK136" s="382"/>
      <c r="DL136" s="382"/>
      <c r="DM136" s="382"/>
      <c r="DN136" s="382"/>
      <c r="DO136" s="382"/>
      <c r="DP136" s="208"/>
      <c r="DQ136" s="208"/>
      <c r="DR136" s="208"/>
      <c r="DS136" s="208"/>
      <c r="DT136" s="208"/>
      <c r="DU136" s="208"/>
      <c r="DV136" s="208"/>
      <c r="DW136" s="208"/>
      <c r="DX136" s="208"/>
      <c r="DY136" s="208"/>
      <c r="DZ136" s="227"/>
      <c r="EA136" s="186"/>
      <c r="EB136" s="186"/>
    </row>
    <row r="137" spans="2:132" s="176" customFormat="1" ht="14.25" hidden="1" customHeight="1" x14ac:dyDescent="0.2">
      <c r="G137" s="756"/>
      <c r="H137" s="760">
        <f>IF($D$14&lt;&gt;"",$D$7,IF($F$14&lt;&gt;"",$F$7,IF($H$14&lt;&gt;"",$H$7,IF($J$14&lt;&gt;"",$J$7,IF($L$14&lt;&gt;"",$L$7,0)))))</f>
        <v>0</v>
      </c>
      <c r="I137" s="752" t="s">
        <v>194</v>
      </c>
      <c r="J137" s="756"/>
      <c r="K137" s="760">
        <f>IF($D$16&lt;&gt;"",$D$7,IF($F$16&lt;&gt;"",$F$7,IF($H$16&lt;&gt;"",$H$7,IF($J$16&lt;&gt;"",$J$7,IF($L$16&lt;&gt;"",$L$7,0)))))</f>
        <v>0</v>
      </c>
      <c r="L137" s="754" t="s">
        <v>194</v>
      </c>
      <c r="M137" s="756"/>
      <c r="N137" s="760">
        <f>IF($D$18&lt;&gt;"",$D$7,IF($F$18&lt;&gt;"",$F$7,IF($H$18&lt;&gt;"",$H$7,IF($J$18&lt;&gt;"",$J$7,IF($L$18&lt;&gt;"",$L$7,0)))))</f>
        <v>0</v>
      </c>
      <c r="O137" s="754" t="s">
        <v>194</v>
      </c>
      <c r="P137" s="756"/>
      <c r="Q137" s="760">
        <f>IF($D$21&lt;&gt;"",$D$7,IF($F$21&lt;&gt;"",$F$7,IF($H$21&lt;&gt;"",$H$7,IF($J$21&lt;&gt;"",$J$7,IF($L$21&lt;&gt;"",$L$7,0)))))</f>
        <v>0</v>
      </c>
      <c r="S137" s="224" t="s">
        <v>194</v>
      </c>
      <c r="T137" s="758"/>
      <c r="U137" s="760">
        <f>IF($D$22&lt;&gt;"",$D$7,IF($F$22&lt;&gt;"",$F$7,IF($H$22&lt;&gt;"",$H$7,IF($J$22&lt;&gt;"",$J$7,IF($L$22&lt;&gt;"",$L$7,0)))))</f>
        <v>0</v>
      </c>
      <c r="V137" s="754" t="s">
        <v>194</v>
      </c>
      <c r="W137" s="758"/>
      <c r="X137" s="760">
        <f>IF($D$23&lt;&gt;"",$D$7,IF($F$23&lt;&gt;"",$F$7,IF($H$23&lt;&gt;"",$H$7,IF($J$23&lt;&gt;"",$J$7,IF($L$23&lt;&gt;"",$L$7,0)))))</f>
        <v>0</v>
      </c>
      <c r="Y137" s="754" t="s">
        <v>194</v>
      </c>
      <c r="Z137" s="758"/>
      <c r="AA137" s="760">
        <f>IF($D$24&lt;&gt;"",$D$7,IF($F$24&lt;&gt;"",$F$7,IF($H$24&lt;&gt;"",$H$7,IF($J$24&lt;&gt;"",$J$7,IF($L$24&lt;&gt;"",$L$7,0)))))</f>
        <v>0</v>
      </c>
      <c r="AB137" s="754" t="s">
        <v>194</v>
      </c>
      <c r="AC137" s="758"/>
      <c r="AD137" s="760">
        <f>IF($D$25&lt;&gt;"",$D$7,IF($F$25&lt;&gt;"",$F$7,IF($H$25&lt;&gt;"",$H$7,IF($J$25&lt;&gt;"",$J$7,IF($L$25&lt;&gt;"",$L$7,0)))))</f>
        <v>0</v>
      </c>
      <c r="AE137" s="754" t="s">
        <v>194</v>
      </c>
      <c r="AF137" s="758"/>
      <c r="AG137" s="760">
        <f>IF($D$26&lt;&gt;"",$D$7,IF($F$26&lt;&gt;"",$F$7,IF($H$26&lt;&gt;"",$H$7,IF($J$26&lt;&gt;"",$J$7,IF($L$26&lt;&gt;"",$L$7,0)))))</f>
        <v>0</v>
      </c>
      <c r="AH137" s="754" t="s">
        <v>194</v>
      </c>
      <c r="AI137" s="758"/>
      <c r="AJ137" s="760">
        <f>IF($D$27&lt;&gt;"",$D$7,IF($F$27&lt;&gt;"",$F$7,IF($H$27&lt;&gt;"",$H$7,IF($J$27&lt;&gt;"",$J$7,IF($L$27&lt;&gt;"",$L$7,0)))))</f>
        <v>0</v>
      </c>
      <c r="AK137" s="754" t="s">
        <v>194</v>
      </c>
      <c r="AL137" s="758"/>
      <c r="AM137" s="760">
        <f ca="1">$B$142</f>
        <v>2019</v>
      </c>
      <c r="AN137" s="754" t="s">
        <v>194</v>
      </c>
      <c r="AO137" s="758"/>
      <c r="AP137" s="760">
        <f ca="1">$B$142</f>
        <v>2019</v>
      </c>
      <c r="AQ137" s="754" t="s">
        <v>194</v>
      </c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7"/>
      <c r="BV137" s="208"/>
      <c r="BW137" s="208"/>
      <c r="BX137" s="208"/>
      <c r="BY137" s="208"/>
      <c r="BZ137" s="382"/>
      <c r="CA137" s="382"/>
      <c r="CB137" s="382"/>
      <c r="CC137" s="382"/>
      <c r="CD137" s="382"/>
      <c r="CE137" s="382"/>
      <c r="CF137" s="382"/>
      <c r="CG137" s="382"/>
      <c r="CH137" s="382"/>
      <c r="CI137" s="382"/>
      <c r="CJ137" s="382"/>
      <c r="CK137" s="382"/>
      <c r="CL137" s="382"/>
      <c r="CM137" s="382"/>
      <c r="CN137" s="382"/>
      <c r="CO137" s="382"/>
      <c r="CP137" s="382"/>
      <c r="CQ137" s="382"/>
      <c r="CR137" s="382"/>
      <c r="CS137" s="382"/>
      <c r="CT137" s="382"/>
      <c r="CU137" s="382"/>
      <c r="CV137" s="382"/>
      <c r="CW137" s="189"/>
      <c r="CX137" s="382"/>
      <c r="CY137" s="382"/>
      <c r="CZ137" s="382"/>
      <c r="DA137" s="382"/>
      <c r="DB137" s="382"/>
      <c r="DC137" s="382"/>
      <c r="DD137" s="382"/>
      <c r="DE137" s="382"/>
      <c r="DF137" s="382"/>
      <c r="DG137" s="382"/>
      <c r="DH137" s="382"/>
      <c r="DI137" s="382"/>
      <c r="DJ137" s="382"/>
      <c r="DK137" s="382"/>
      <c r="DL137" s="382"/>
      <c r="DM137" s="382"/>
      <c r="DN137" s="382"/>
      <c r="DO137" s="382"/>
      <c r="DP137" s="208"/>
      <c r="DQ137" s="208"/>
      <c r="DR137" s="208"/>
      <c r="DS137" s="208"/>
      <c r="DT137" s="208"/>
      <c r="DU137" s="208"/>
      <c r="DV137" s="208"/>
      <c r="DW137" s="208"/>
      <c r="DX137" s="208"/>
      <c r="DY137" s="208"/>
      <c r="DZ137" s="227"/>
      <c r="EA137" s="186"/>
      <c r="EB137" s="186"/>
    </row>
    <row r="138" spans="2:132" s="176" customFormat="1" ht="14.25" hidden="1" customHeight="1" x14ac:dyDescent="0.2">
      <c r="G138" s="756"/>
      <c r="H138" s="760">
        <f>IF($H$133=0,0,$H$140+H$136)</f>
        <v>0</v>
      </c>
      <c r="I138" s="752" t="s">
        <v>187</v>
      </c>
      <c r="J138" s="756"/>
      <c r="K138" s="760">
        <f>IF($K$133=0,0,$K$140+$K$136)</f>
        <v>0</v>
      </c>
      <c r="L138" s="754" t="s">
        <v>187</v>
      </c>
      <c r="M138" s="756"/>
      <c r="N138" s="760">
        <f>IF($N$133=0,0,$N$140+$N$136)</f>
        <v>0</v>
      </c>
      <c r="O138" s="754" t="s">
        <v>187</v>
      </c>
      <c r="P138" s="756"/>
      <c r="Q138" s="760">
        <f>IF($Q$133=0,0,$Q$140+$Q$136)</f>
        <v>0</v>
      </c>
      <c r="S138" s="224" t="s">
        <v>187</v>
      </c>
      <c r="T138" s="758"/>
      <c r="U138" s="760">
        <f>IF($U$133=0,0,$U$140+$U$136)</f>
        <v>0</v>
      </c>
      <c r="V138" s="754" t="s">
        <v>187</v>
      </c>
      <c r="W138" s="758"/>
      <c r="X138" s="760">
        <f>IF($X$133=0,0,$X$140+$X$136)</f>
        <v>0</v>
      </c>
      <c r="Y138" s="754" t="s">
        <v>187</v>
      </c>
      <c r="Z138" s="758"/>
      <c r="AA138" s="760">
        <f>IF($AA$133=0,0,$AA$140+$AA$136)</f>
        <v>0</v>
      </c>
      <c r="AB138" s="754" t="s">
        <v>187</v>
      </c>
      <c r="AC138" s="758"/>
      <c r="AD138" s="760">
        <f>IF($AD$133=0,0,$AD$140+$AD$136)</f>
        <v>0</v>
      </c>
      <c r="AE138" s="754" t="s">
        <v>187</v>
      </c>
      <c r="AF138" s="758"/>
      <c r="AG138" s="760">
        <f>IF($AG$133=0,0,$AG$140+$AG$136)</f>
        <v>0</v>
      </c>
      <c r="AH138" s="754" t="s">
        <v>187</v>
      </c>
      <c r="AI138" s="758"/>
      <c r="AJ138" s="760">
        <f>IF($AJ$133=0,0,$AJ$140+$AJ$136)</f>
        <v>0</v>
      </c>
      <c r="AK138" s="754" t="s">
        <v>187</v>
      </c>
      <c r="AL138" s="758"/>
      <c r="AM138" s="760">
        <f>AM140</f>
        <v>0</v>
      </c>
      <c r="AN138" s="754"/>
      <c r="AO138" s="758"/>
      <c r="AP138" s="760">
        <f>AP140</f>
        <v>0</v>
      </c>
      <c r="AQ138" s="754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7"/>
      <c r="BV138" s="208"/>
      <c r="BW138" s="208"/>
      <c r="BX138" s="208"/>
      <c r="BY138" s="208"/>
      <c r="BZ138" s="382"/>
      <c r="CA138" s="382"/>
      <c r="CB138" s="382"/>
      <c r="CC138" s="382"/>
      <c r="CD138" s="382"/>
      <c r="CE138" s="382"/>
      <c r="CF138" s="382"/>
      <c r="CG138" s="382"/>
      <c r="CH138" s="382"/>
      <c r="CI138" s="382"/>
      <c r="CJ138" s="382"/>
      <c r="CK138" s="382"/>
      <c r="CL138" s="382"/>
      <c r="CM138" s="382"/>
      <c r="CN138" s="382"/>
      <c r="CO138" s="382"/>
      <c r="CP138" s="382"/>
      <c r="CQ138" s="382"/>
      <c r="CR138" s="382"/>
      <c r="CS138" s="382"/>
      <c r="CT138" s="382"/>
      <c r="CU138" s="382"/>
      <c r="CV138" s="382"/>
      <c r="CW138" s="189"/>
      <c r="CX138" s="382"/>
      <c r="CY138" s="382"/>
      <c r="CZ138" s="382"/>
      <c r="DA138" s="382"/>
      <c r="DB138" s="382"/>
      <c r="DC138" s="382"/>
      <c r="DD138" s="382"/>
      <c r="DE138" s="382"/>
      <c r="DF138" s="382"/>
      <c r="DG138" s="382"/>
      <c r="DH138" s="382"/>
      <c r="DI138" s="382"/>
      <c r="DJ138" s="382"/>
      <c r="DK138" s="382"/>
      <c r="DL138" s="382"/>
      <c r="DM138" s="382"/>
      <c r="DN138" s="382"/>
      <c r="DO138" s="382"/>
      <c r="DP138" s="208"/>
      <c r="DQ138" s="208"/>
      <c r="DR138" s="208"/>
      <c r="DS138" s="208"/>
      <c r="DT138" s="208"/>
      <c r="DU138" s="208"/>
      <c r="DV138" s="208"/>
      <c r="DW138" s="208"/>
      <c r="DX138" s="208"/>
      <c r="DY138" s="208"/>
      <c r="DZ138" s="227"/>
      <c r="EA138" s="186"/>
      <c r="EB138" s="186"/>
    </row>
    <row r="139" spans="2:132" s="176" customFormat="1" ht="14.25" hidden="1" customHeight="1" x14ac:dyDescent="0.2">
      <c r="G139" s="756"/>
      <c r="H139" s="760">
        <f>IF($H$133=0,0,$H$140+$H$136-1+$H$134*12)</f>
        <v>0</v>
      </c>
      <c r="I139" s="752" t="s">
        <v>188</v>
      </c>
      <c r="J139" s="756"/>
      <c r="K139" s="760">
        <f>IF($K$133=0,0,$K$140+$K$136-1+$K$134*12)</f>
        <v>0</v>
      </c>
      <c r="L139" s="754" t="s">
        <v>188</v>
      </c>
      <c r="M139" s="756"/>
      <c r="N139" s="760">
        <f>IF($N$133=0,0,$N$140+$N$136-1+$N$134*12)</f>
        <v>0</v>
      </c>
      <c r="O139" s="754" t="s">
        <v>188</v>
      </c>
      <c r="P139" s="756"/>
      <c r="Q139" s="760">
        <f>IF($Q$133=0,0,$Q$140+$Q$136-1+$Q$134*12)</f>
        <v>0</v>
      </c>
      <c r="S139" s="224" t="s">
        <v>188</v>
      </c>
      <c r="T139" s="758"/>
      <c r="U139" s="760">
        <f>IF($U$133=0,0,$U$140+$U$136-1+$U$134*12)</f>
        <v>0</v>
      </c>
      <c r="V139" s="754" t="s">
        <v>188</v>
      </c>
      <c r="W139" s="758"/>
      <c r="X139" s="760">
        <f>IF($X$133=0,0,$X$140+$X$136-1+$X$134*12)</f>
        <v>0</v>
      </c>
      <c r="Y139" s="754" t="s">
        <v>188</v>
      </c>
      <c r="Z139" s="758"/>
      <c r="AA139" s="760">
        <f>IF($AA$133=0,0,$AA$140+$AA$136-1+$AA$134*12)</f>
        <v>0</v>
      </c>
      <c r="AB139" s="754" t="s">
        <v>188</v>
      </c>
      <c r="AC139" s="758"/>
      <c r="AD139" s="760">
        <f>IF($AD$133=0,0,$AD$140+$AD$136-1+$AD$134*12)</f>
        <v>0</v>
      </c>
      <c r="AE139" s="754" t="s">
        <v>188</v>
      </c>
      <c r="AF139" s="758"/>
      <c r="AG139" s="760">
        <f>IF($AG$133=0,0,$AG$140+$AG$136-1+$AG$134*12)</f>
        <v>0</v>
      </c>
      <c r="AH139" s="754" t="s">
        <v>188</v>
      </c>
      <c r="AI139" s="758"/>
      <c r="AJ139" s="760">
        <f>IF($AJ$133=0,0,$AJ$140+$AJ$136-1+$AJ$134*12)</f>
        <v>0</v>
      </c>
      <c r="AK139" s="754" t="s">
        <v>188</v>
      </c>
      <c r="AL139" s="758"/>
      <c r="AM139" s="760">
        <f>AM140</f>
        <v>0</v>
      </c>
      <c r="AN139" s="754"/>
      <c r="AO139" s="758"/>
      <c r="AP139" s="760"/>
      <c r="AQ139" s="754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7"/>
      <c r="BV139" s="208"/>
      <c r="BW139" s="208"/>
      <c r="BX139" s="208"/>
      <c r="BY139" s="208"/>
      <c r="BZ139" s="382"/>
      <c r="CA139" s="382"/>
      <c r="CB139" s="382"/>
      <c r="CC139" s="382"/>
      <c r="CD139" s="382"/>
      <c r="CE139" s="382"/>
      <c r="CF139" s="382"/>
      <c r="CG139" s="382"/>
      <c r="CH139" s="382"/>
      <c r="CI139" s="382"/>
      <c r="CJ139" s="382"/>
      <c r="CK139" s="382"/>
      <c r="CL139" s="382"/>
      <c r="CM139" s="382"/>
      <c r="CN139" s="382"/>
      <c r="CO139" s="382"/>
      <c r="CP139" s="382"/>
      <c r="CQ139" s="382"/>
      <c r="CR139" s="382"/>
      <c r="CS139" s="382"/>
      <c r="CT139" s="382"/>
      <c r="CU139" s="382"/>
      <c r="CV139" s="382"/>
      <c r="CW139" s="189"/>
      <c r="CX139" s="382"/>
      <c r="CY139" s="382"/>
      <c r="CZ139" s="382"/>
      <c r="DA139" s="382"/>
      <c r="DB139" s="382"/>
      <c r="DC139" s="382"/>
      <c r="DD139" s="382"/>
      <c r="DE139" s="382"/>
      <c r="DF139" s="382"/>
      <c r="DG139" s="382"/>
      <c r="DH139" s="382"/>
      <c r="DI139" s="382"/>
      <c r="DJ139" s="382"/>
      <c r="DK139" s="382"/>
      <c r="DL139" s="382"/>
      <c r="DM139" s="382"/>
      <c r="DN139" s="382"/>
      <c r="DO139" s="382"/>
      <c r="DP139" s="208"/>
      <c r="DQ139" s="208"/>
      <c r="DR139" s="208"/>
      <c r="DS139" s="208"/>
      <c r="DT139" s="208"/>
      <c r="DU139" s="208"/>
      <c r="DV139" s="208"/>
      <c r="DW139" s="208"/>
      <c r="DX139" s="208"/>
      <c r="DY139" s="208"/>
      <c r="DZ139" s="227"/>
      <c r="EA139" s="186"/>
      <c r="EB139" s="186"/>
    </row>
    <row r="140" spans="2:132" s="176" customFormat="1" ht="14.25" hidden="1" customHeight="1" x14ac:dyDescent="0.2">
      <c r="G140" s="756"/>
      <c r="H140" s="761">
        <f>IF($H$133=0,0,IF($D$14&lt;&gt;"",$E$14+($H$137-$B$142)*12,IF($F$14&lt;&gt;"",$G$14+($H$137-$B$142)*12,IF($H$14&lt;&gt;"",$I$14+($H$137-$B$142)*12,IF($J$14&lt;&gt;"",$K$14+($H$137-$B$142)*12,IF($L$14&lt;&gt;"",$M$14+($H$137-$B$142)*12,0))))))</f>
        <v>0</v>
      </c>
      <c r="I140" s="752" t="s">
        <v>191</v>
      </c>
      <c r="J140" s="756"/>
      <c r="K140" s="761">
        <f>IF($K$133=0,0,IF($D$16&lt;&gt;"",$E$16+($K$137-$B$142)*12,IF($F$16&lt;&gt;"",$G$16+($K$137-$B$142)*12,IF($H$16&lt;&gt;"",$I$16+($K$137-$B$142)*12,IF($J$16&lt;&gt;"",$K$16+($K$137-$B$142)*12,IF($L$16&lt;&gt;"",$M$16+($K$137-$B$142)*12,0))))))</f>
        <v>0</v>
      </c>
      <c r="L140" s="754" t="s">
        <v>191</v>
      </c>
      <c r="M140" s="756"/>
      <c r="N140" s="761">
        <f>IF($N$133=0,0,IF($D$18&lt;&gt;"",$E$18+($N$137-$B$142)*12,IF($F$18&lt;&gt;"",$G$18+($N$137-$B$142)*12,IF($H$18&lt;&gt;"",$I$18+($N$137-$B$142)*12,IF($J$18&lt;&gt;"",$K$18+($N$137-$B$142)*12,IF($L$18&lt;&gt;"",$M$18+($N$137-$B$142)*12,0))))))</f>
        <v>0</v>
      </c>
      <c r="O140" s="754" t="s">
        <v>191</v>
      </c>
      <c r="P140" s="756"/>
      <c r="Q140" s="761">
        <f>IF($Q$133=0,0,IF($D$21&lt;&gt;"",$E$21+($Q$137-$B$142)*12,IF($F$21&lt;&gt;"",$G$21+($Q$137-$B$142)*12,IF($H$21&lt;&gt;"",$I$21+($Q$137-$B$142)*12,IF($J$21&lt;&gt;"",$K$21+($Q$137-$B$142)*12,IF($L$21&lt;&gt;"",$M$21+($Q$137-$B$142)*12,0))))))</f>
        <v>0</v>
      </c>
      <c r="S140" s="224" t="s">
        <v>191</v>
      </c>
      <c r="T140" s="758"/>
      <c r="U140" s="761">
        <f>IF($U$133=0,0,IF($D$22&lt;&gt;"",$E$22+($U$137-$B$142)*12,IF($F$22&lt;&gt;"",$G$22+($U$137-$B$142)*12,IF($H$22&lt;&gt;"",$I$22+($U$137-$B$142)*12,IF($J$22&lt;&gt;"",$K$22+($U$137-$B$142)*12,IF($L$22&lt;&gt;"",$M$22+($U$137-$B$142)*12,0))))))</f>
        <v>0</v>
      </c>
      <c r="V140" s="754" t="s">
        <v>191</v>
      </c>
      <c r="W140" s="758"/>
      <c r="X140" s="761">
        <f>IF($X$133=0,0,IF($D$23&lt;&gt;"",$E$23+($X$137-$B$142)*12,IF($F$23&lt;&gt;"",$G$23+($X$137-$B$142)*12,IF($H$23&lt;&gt;"",$I$23+($X$137-$B$142)*12,IF($J$23&lt;&gt;"",$K$23+($X$137-$B$142)*12,IF($L$23&lt;&gt;"",$M$23+($X$137-$B$142)*12,0))))))</f>
        <v>0</v>
      </c>
      <c r="Y140" s="754" t="s">
        <v>191</v>
      </c>
      <c r="Z140" s="758"/>
      <c r="AA140" s="761">
        <f>IF($AA$133=0,0,IF($D$24&lt;&gt;"",$E$24+($AA$137-$B$142)*12,IF($F$24&lt;&gt;"",$G$24+($AA$137-$B$142)*12,IF($H$24&lt;&gt;"",$I$24+($AA$137-$B$142)*12,IF($J$24&lt;&gt;"",$K$24+($AA$137-$B$142)*12,IF($L$24&lt;&gt;"",$M$24+($AA$137-$B$142)*12,0))))))</f>
        <v>0</v>
      </c>
      <c r="AB140" s="754" t="s">
        <v>191</v>
      </c>
      <c r="AC140" s="758"/>
      <c r="AD140" s="761">
        <f>IF($AD$133=0,0,IF($D$25&lt;&gt;"",$E$25+($AD$137-$B$142)*12,IF($F$25&lt;&gt;"",$G$25+($AD$137-$B$142)*12,IF($H$25&lt;&gt;"",$I$25+($AD$137-$B$142)*12,IF($J$25&lt;&gt;"",$K$25+($AD$137-$B$142)*12,IF($L$25&lt;&gt;"",$M$25+($AD$137-$B$142)*12,0))))))</f>
        <v>0</v>
      </c>
      <c r="AE140" s="754" t="s">
        <v>191</v>
      </c>
      <c r="AF140" s="758">
        <f>AG132</f>
        <v>0</v>
      </c>
      <c r="AG140" s="761">
        <f>IF($AG$133=0,0,IF($D$26&lt;&gt;"",$E$26+($AG$137-$B$142)*12,IF($F$26&lt;&gt;"",$G$26+($AG$137-$B$142)*12,IF($H$26&lt;&gt;"",$I$26+($AG$137-$B$142)*12,IF($J$26&lt;&gt;"",$K$26+($AG$137-$B$142)*12,IF($L$26&lt;&gt;"",$M$26+($AG$137-$B$142)*12,0))))))</f>
        <v>0</v>
      </c>
      <c r="AH140" s="754" t="s">
        <v>191</v>
      </c>
      <c r="AI140" s="758"/>
      <c r="AJ140" s="761">
        <f>IF($AJ$133=0,0,IF($D$27&lt;&gt;"",$E$27+($AJ$137-$B$142)*12,IF($F$27&lt;&gt;"",$G$27+($AJ$137-$B$142)*12,IF($H$27&lt;&gt;"",$I$27+($AJ$137-$B$142)*12,IF($J$27&lt;&gt;"",$K$27+($AJ$137-$B$142)*12,IF($L$27&lt;&gt;"",$M$27+($AJ$137-$B$142)*12,0))))))</f>
        <v>0</v>
      </c>
      <c r="AK140" s="754" t="s">
        <v>191</v>
      </c>
      <c r="AL140" s="758"/>
      <c r="AM140" s="761">
        <f>$E$10</f>
        <v>0</v>
      </c>
      <c r="AN140" s="754" t="s">
        <v>191</v>
      </c>
      <c r="AO140" s="758"/>
      <c r="AP140" s="761">
        <f>E12</f>
        <v>0</v>
      </c>
      <c r="AQ140" s="754" t="s">
        <v>191</v>
      </c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7"/>
      <c r="BV140" s="208"/>
      <c r="BW140" s="208"/>
      <c r="BX140" s="208"/>
      <c r="BY140" s="208"/>
      <c r="BZ140" s="382"/>
      <c r="CA140" s="382"/>
      <c r="CB140" s="382"/>
      <c r="CC140" s="382"/>
      <c r="CD140" s="382"/>
      <c r="CE140" s="382"/>
      <c r="CF140" s="382"/>
      <c r="CG140" s="382"/>
      <c r="CH140" s="382"/>
      <c r="CI140" s="382"/>
      <c r="CJ140" s="382"/>
      <c r="CK140" s="382"/>
      <c r="CL140" s="382"/>
      <c r="CM140" s="382"/>
      <c r="CN140" s="382"/>
      <c r="CO140" s="382"/>
      <c r="CP140" s="382"/>
      <c r="CQ140" s="382"/>
      <c r="CR140" s="382"/>
      <c r="CS140" s="382"/>
      <c r="CT140" s="382"/>
      <c r="CU140" s="382"/>
      <c r="CV140" s="382"/>
      <c r="CW140" s="189"/>
      <c r="CX140" s="382"/>
      <c r="CY140" s="382"/>
      <c r="CZ140" s="382"/>
      <c r="DA140" s="382"/>
      <c r="DB140" s="382"/>
      <c r="DC140" s="382"/>
      <c r="DD140" s="382"/>
      <c r="DE140" s="382"/>
      <c r="DF140" s="382"/>
      <c r="DG140" s="382"/>
      <c r="DH140" s="382"/>
      <c r="DI140" s="382"/>
      <c r="DJ140" s="382"/>
      <c r="DK140" s="382"/>
      <c r="DL140" s="382"/>
      <c r="DM140" s="382"/>
      <c r="DN140" s="382"/>
      <c r="DO140" s="382"/>
      <c r="DP140" s="208"/>
      <c r="DQ140" s="208"/>
      <c r="DR140" s="208"/>
      <c r="DS140" s="208"/>
      <c r="DT140" s="208"/>
      <c r="DU140" s="208"/>
      <c r="DV140" s="208"/>
      <c r="DW140" s="208"/>
      <c r="DX140" s="208"/>
      <c r="DY140" s="208"/>
      <c r="DZ140" s="227"/>
      <c r="EA140" s="186"/>
      <c r="EB140" s="186"/>
    </row>
    <row r="141" spans="2:132" s="176" customFormat="1" ht="42.75" hidden="1" customHeight="1" x14ac:dyDescent="0.2">
      <c r="B141" s="750" t="s">
        <v>236</v>
      </c>
      <c r="C141" s="762" t="s">
        <v>237</v>
      </c>
      <c r="D141" s="750" t="s">
        <v>235</v>
      </c>
      <c r="E141" s="750" t="s">
        <v>233</v>
      </c>
      <c r="F141" s="750" t="s">
        <v>234</v>
      </c>
      <c r="G141" s="763"/>
      <c r="H141" s="750" t="s">
        <v>190</v>
      </c>
      <c r="I141" s="750" t="s">
        <v>192</v>
      </c>
      <c r="J141" s="763"/>
      <c r="K141" s="750" t="s">
        <v>190</v>
      </c>
      <c r="L141" s="750" t="s">
        <v>192</v>
      </c>
      <c r="M141" s="763"/>
      <c r="N141" s="750" t="s">
        <v>190</v>
      </c>
      <c r="O141" s="750" t="s">
        <v>192</v>
      </c>
      <c r="P141" s="763"/>
      <c r="Q141" s="750" t="s">
        <v>190</v>
      </c>
      <c r="S141" s="764" t="s">
        <v>192</v>
      </c>
      <c r="T141" s="765"/>
      <c r="U141" s="750" t="s">
        <v>190</v>
      </c>
      <c r="V141" s="750" t="s">
        <v>192</v>
      </c>
      <c r="W141" s="765"/>
      <c r="X141" s="750" t="s">
        <v>190</v>
      </c>
      <c r="Y141" s="750" t="s">
        <v>192</v>
      </c>
      <c r="Z141" s="765"/>
      <c r="AA141" s="750" t="s">
        <v>190</v>
      </c>
      <c r="AB141" s="750" t="s">
        <v>192</v>
      </c>
      <c r="AC141" s="765"/>
      <c r="AD141" s="750" t="s">
        <v>190</v>
      </c>
      <c r="AE141" s="750" t="s">
        <v>192</v>
      </c>
      <c r="AF141" s="765"/>
      <c r="AG141" s="750" t="s">
        <v>190</v>
      </c>
      <c r="AH141" s="750" t="s">
        <v>192</v>
      </c>
      <c r="AI141" s="765" t="str">
        <f>$C$27</f>
        <v>Sonstige</v>
      </c>
      <c r="AJ141" s="750" t="s">
        <v>190</v>
      </c>
      <c r="AK141" s="750" t="s">
        <v>192</v>
      </c>
      <c r="AL141" s="765"/>
      <c r="AM141" s="750" t="s">
        <v>190</v>
      </c>
      <c r="AN141" s="766" t="s">
        <v>192</v>
      </c>
      <c r="AO141" s="765"/>
      <c r="AP141" s="750" t="s">
        <v>190</v>
      </c>
      <c r="AQ141" s="750" t="s">
        <v>192</v>
      </c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7"/>
      <c r="BV141" s="208"/>
      <c r="BW141" s="208"/>
      <c r="BX141" s="208"/>
      <c r="BY141" s="208"/>
      <c r="BZ141" s="382"/>
      <c r="CA141" s="382"/>
      <c r="CB141" s="382"/>
      <c r="CC141" s="382"/>
      <c r="CD141" s="382"/>
      <c r="CE141" s="382"/>
      <c r="CF141" s="382"/>
      <c r="CG141" s="382"/>
      <c r="CH141" s="382"/>
      <c r="CI141" s="382"/>
      <c r="CJ141" s="382"/>
      <c r="CK141" s="382"/>
      <c r="CL141" s="382"/>
      <c r="CM141" s="382"/>
      <c r="CN141" s="382"/>
      <c r="CO141" s="382"/>
      <c r="CP141" s="382"/>
      <c r="CQ141" s="382"/>
      <c r="CR141" s="382"/>
      <c r="CS141" s="382"/>
      <c r="CT141" s="382"/>
      <c r="CU141" s="382"/>
      <c r="CV141" s="382"/>
      <c r="CW141" s="978" t="s">
        <v>237</v>
      </c>
      <c r="CX141" s="382"/>
      <c r="CY141" s="382"/>
      <c r="CZ141" s="382"/>
      <c r="DA141" s="382"/>
      <c r="DB141" s="382"/>
      <c r="DC141" s="382"/>
      <c r="DD141" s="382"/>
      <c r="DE141" s="382"/>
      <c r="DF141" s="382"/>
      <c r="DG141" s="382"/>
      <c r="DH141" s="382"/>
      <c r="DI141" s="382"/>
      <c r="DJ141" s="382"/>
      <c r="DK141" s="382"/>
      <c r="DL141" s="382"/>
      <c r="DM141" s="382"/>
      <c r="DN141" s="382"/>
      <c r="DO141" s="382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27"/>
      <c r="EA141" s="186"/>
      <c r="EB141" s="186"/>
    </row>
    <row r="142" spans="2:132" s="176" customFormat="1" ht="14.25" hidden="1" customHeight="1" x14ac:dyDescent="0.2">
      <c r="B142" s="746">
        <f ca="1">$D$7</f>
        <v>2019</v>
      </c>
      <c r="C142" s="745">
        <v>0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67"/>
      <c r="O142" s="767"/>
      <c r="P142" s="767"/>
      <c r="Q142" s="767"/>
      <c r="S142" s="768"/>
      <c r="T142" s="767"/>
      <c r="U142" s="767"/>
      <c r="V142" s="767"/>
      <c r="W142" s="767"/>
      <c r="X142" s="767"/>
      <c r="Y142" s="767"/>
      <c r="Z142" s="767"/>
      <c r="AA142" s="767"/>
      <c r="AB142" s="767"/>
      <c r="AC142" s="767"/>
      <c r="AD142" s="767"/>
      <c r="AE142" s="767"/>
      <c r="AF142" s="767"/>
      <c r="AG142" s="767"/>
      <c r="AH142" s="767"/>
      <c r="AI142" s="767"/>
      <c r="AJ142" s="767"/>
      <c r="AK142" s="767"/>
      <c r="AL142" s="767"/>
      <c r="AM142" s="767"/>
      <c r="AN142" s="767"/>
      <c r="AO142" s="767"/>
      <c r="AP142" s="767"/>
      <c r="AQ142" s="767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7"/>
      <c r="BV142" s="208"/>
      <c r="BW142" s="208"/>
      <c r="BX142" s="208"/>
      <c r="BY142" s="208"/>
      <c r="BZ142" s="382"/>
      <c r="CA142" s="382"/>
      <c r="CB142" s="382"/>
      <c r="CC142" s="382"/>
      <c r="CD142" s="382"/>
      <c r="CE142" s="382"/>
      <c r="CF142" s="382"/>
      <c r="CG142" s="382"/>
      <c r="CH142" s="382"/>
      <c r="CI142" s="382"/>
      <c r="CJ142" s="382"/>
      <c r="CK142" s="382"/>
      <c r="CL142" s="382"/>
      <c r="CM142" s="382"/>
      <c r="CN142" s="382"/>
      <c r="CO142" s="382"/>
      <c r="CP142" s="382"/>
      <c r="CQ142" s="382"/>
      <c r="CR142" s="382"/>
      <c r="CS142" s="382"/>
      <c r="CT142" s="382"/>
      <c r="CU142" s="382"/>
      <c r="CV142" s="382"/>
      <c r="CW142" s="769">
        <v>0</v>
      </c>
      <c r="CX142" s="382"/>
      <c r="CY142" s="382"/>
      <c r="CZ142" s="382"/>
      <c r="DA142" s="382"/>
      <c r="DB142" s="382"/>
      <c r="DC142" s="382"/>
      <c r="DD142" s="382"/>
      <c r="DE142" s="382"/>
      <c r="DF142" s="382"/>
      <c r="DG142" s="382"/>
      <c r="DH142" s="382"/>
      <c r="DI142" s="382"/>
      <c r="DJ142" s="382"/>
      <c r="DK142" s="382"/>
      <c r="DL142" s="382"/>
      <c r="DM142" s="382"/>
      <c r="DN142" s="382"/>
      <c r="DO142" s="382"/>
      <c r="DP142" s="208"/>
      <c r="DQ142" s="208"/>
      <c r="DR142" s="208"/>
      <c r="DS142" s="208"/>
      <c r="DT142" s="208"/>
      <c r="DU142" s="208"/>
      <c r="DV142" s="208"/>
      <c r="DW142" s="208"/>
      <c r="DX142" s="208"/>
      <c r="DY142" s="208"/>
      <c r="DZ142" s="227"/>
      <c r="EA142" s="186"/>
      <c r="EB142" s="186"/>
    </row>
    <row r="143" spans="2:132" s="176" customFormat="1" ht="14.25" hidden="1" customHeight="1" x14ac:dyDescent="0.2">
      <c r="B143" s="760">
        <f ca="1">B142+INT(C142/12)</f>
        <v>2019</v>
      </c>
      <c r="C143" s="760">
        <v>1</v>
      </c>
      <c r="D143" s="770">
        <f t="shared" ref="D143:D174" si="11">G143+J143+M143+P143+T143+W143+Z143+AC143+AF143+AI143</f>
        <v>0</v>
      </c>
      <c r="E143" s="771">
        <f>H143+K143+N143+Q143+U143+X143+AA143+AD143+AG143+AJ143+AM143+AP143</f>
        <v>0</v>
      </c>
      <c r="F143" s="771">
        <f t="shared" ref="F143:F174" si="12">I143+L143+O143+S143+V143+Y143+AB143+AE143+AH143+AK143+AN143+AQ143</f>
        <v>0</v>
      </c>
      <c r="G143" s="771">
        <f t="shared" ref="G143:G174" si="13">IF(AND(I143&gt;0,I142=0),$H$133,0)</f>
        <v>0</v>
      </c>
      <c r="H143" s="772">
        <f t="shared" ref="H143:H174" si="14">IF(AND($C143&lt;=H$139,$C143&gt;=H$138),H$133/(H$134*12),0)</f>
        <v>0</v>
      </c>
      <c r="I143" s="773">
        <f t="shared" ref="I143:I174" si="15">IF(AND($C143&gt;=H$140,$C143&lt;=H$139),(H$133-($C143-H$138)*H143)*H$135/12,0)</f>
        <v>0</v>
      </c>
      <c r="J143" s="771">
        <f>IF(AND(L143&gt;0,L142=0),K133,0)</f>
        <v>0</v>
      </c>
      <c r="K143" s="772">
        <f t="shared" ref="K143:K174" si="16">IF(AND($C143&lt;=K$139,$C143&gt;=K$138),K$133/(K$134*12),0)</f>
        <v>0</v>
      </c>
      <c r="L143" s="773">
        <f t="shared" ref="L143:L174" si="17">IF(AND($C143&gt;=K$140,$C143&lt;=K$139),(K$133-($C143-K$138)*K143)*K$135/12,0)</f>
        <v>0</v>
      </c>
      <c r="M143" s="771">
        <f>IF(AND(O143&gt;0,O142=0),N133,0)</f>
        <v>0</v>
      </c>
      <c r="N143" s="772">
        <f t="shared" ref="N143:N174" si="18">IF(AND($C143&lt;=N$139,$C143&gt;=N$138),N$133/(N$134*12),0)</f>
        <v>0</v>
      </c>
      <c r="O143" s="773">
        <f t="shared" ref="O143:O174" si="19">IF(AND($C143&gt;=N$140,$C143&lt;=N$139),(N$133-($C143-N$138)*N143)*N$135/12,0)</f>
        <v>0</v>
      </c>
      <c r="P143" s="771">
        <f>IF(AND(S143&gt;0,S142=0),Q133,0)</f>
        <v>0</v>
      </c>
      <c r="Q143" s="774">
        <f t="shared" ref="Q143:Q174" si="20">IF(AND($C143&lt;=Q$139,$C143&gt;=Q$138),Q$133/(Q$134*12),0)</f>
        <v>0</v>
      </c>
      <c r="S143" s="775">
        <f t="shared" ref="S143:S174" si="21">IF(AND($C143&gt;=Q$140,$C143&lt;=Q$139),(Q$133-($C143-Q$138)*Q143)*Q$135/12,0)</f>
        <v>0</v>
      </c>
      <c r="T143" s="771">
        <f>IF(AND(V143&gt;0,V142=0),U133,0)</f>
        <v>0</v>
      </c>
      <c r="U143" s="772">
        <f t="shared" ref="U143:U174" si="22">IF(AND($C143&lt;=U$139,$C143&gt;=U$138),U$133/(U$134*12),0)</f>
        <v>0</v>
      </c>
      <c r="V143" s="773">
        <f t="shared" ref="V143:V174" si="23">IF(AND($C143&gt;=U$140,$C143&lt;=U$139),(U$133-($C143-U$138)*U143)*U$135/12,0)</f>
        <v>0</v>
      </c>
      <c r="W143" s="771">
        <f>IF(AND(Y143&gt;0,Y142=0),X133,0)</f>
        <v>0</v>
      </c>
      <c r="X143" s="772">
        <f t="shared" ref="X143:X174" si="24">IF(AND($C143&lt;=X$139,$C143&gt;=X$138),X$133/(X$134*12),0)</f>
        <v>0</v>
      </c>
      <c r="Y143" s="773">
        <f t="shared" ref="Y143:Y174" si="25">IF(AND($C143&gt;=X$140,$C143&lt;=X$139),(X$133-($C143-X$138)*X143)*X$135/12,0)</f>
        <v>0</v>
      </c>
      <c r="Z143" s="771">
        <f>IF(AND(AB143&gt;0,AB142=0),AA133,0)</f>
        <v>0</v>
      </c>
      <c r="AA143" s="772">
        <f t="shared" ref="AA143:AA174" si="26">IF(AND($C143&lt;=AA$139,$C143&gt;=AA$138),AA$133/(AA$134*12),0)</f>
        <v>0</v>
      </c>
      <c r="AB143" s="773">
        <f t="shared" ref="AB143:AB174" si="27">IF(AND($C143&gt;=AA$140,$C143&lt;=AA$139),(AA$133-($C143-AA$138)*AA143)*AA$135/12,0)</f>
        <v>0</v>
      </c>
      <c r="AC143" s="771">
        <f>IF(AND(AE143&gt;0,AE142=0),AD133,0)</f>
        <v>0</v>
      </c>
      <c r="AD143" s="772">
        <f t="shared" ref="AD143:AD174" si="28">IF(AND($C143&lt;=AD$139,$C143&gt;=AD$138),AD$133/(AD$134*12),0)</f>
        <v>0</v>
      </c>
      <c r="AE143" s="773">
        <f t="shared" ref="AE143:AE174" si="29">IF(AND($C143&gt;=AD$140,$C143&lt;=AD$139),(AD$133-($C143-AD$138)*AD143)*AD$135/12,0)</f>
        <v>0</v>
      </c>
      <c r="AF143" s="771">
        <f>IF(AND(AH143&gt;0,AH142=0),AG133,0)</f>
        <v>0</v>
      </c>
      <c r="AG143" s="772">
        <f t="shared" ref="AG143:AG174" si="30">IF(AND($C143&lt;=AG$139,$C143&gt;=AG$138),AG$133/(AG$134*12),0)</f>
        <v>0</v>
      </c>
      <c r="AH143" s="773">
        <f t="shared" ref="AH143:AH174" si="31">IF(AND($C143&gt;=AG$140,$C143&lt;=AG$139),(AG$133-($C143-AG$138)*AG143)*AG$135/12,0)</f>
        <v>0</v>
      </c>
      <c r="AI143" s="771">
        <f>IF(AND(AK143&gt;0,AK142=0),AJ133,0)</f>
        <v>0</v>
      </c>
      <c r="AJ143" s="772">
        <f t="shared" ref="AJ143:AJ174" si="32">IF(AND($C143&lt;=AJ$139,$C143&gt;=AJ$138),AJ$133/(AJ$134*12),0)</f>
        <v>0</v>
      </c>
      <c r="AK143" s="773">
        <f t="shared" ref="AK143:AK174" si="33">IF(AND($C143&gt;=AJ$140,$C143&lt;=AJ$139),(AJ$133-($C143-AJ$138)*AJ143)*AJ$135/12,0)</f>
        <v>0</v>
      </c>
      <c r="AL143" s="771">
        <f t="shared" ref="AL143:AL174" ca="1" si="34">IF(AND($AM$137=B143,$AM$140=C143),$AM$133,0)</f>
        <v>0</v>
      </c>
      <c r="AM143" s="776"/>
      <c r="AN143" s="773"/>
      <c r="AO143" s="771">
        <f t="shared" ref="AO143:AO174" ca="1" si="35">IF(AND($AP$137=B143,$AP$140=C143),$AP$133,0)</f>
        <v>0</v>
      </c>
      <c r="AP143" s="776"/>
      <c r="AQ143" s="773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7"/>
      <c r="BV143" s="208"/>
      <c r="BW143" s="208"/>
      <c r="BX143" s="208"/>
      <c r="BY143" s="208"/>
      <c r="BZ143" s="382"/>
      <c r="CA143" s="382"/>
      <c r="CB143" s="382"/>
      <c r="CC143" s="382"/>
      <c r="CD143" s="382"/>
      <c r="CE143" s="382"/>
      <c r="CF143" s="382"/>
      <c r="CG143" s="382"/>
      <c r="CH143" s="382"/>
      <c r="CI143" s="382"/>
      <c r="CJ143" s="382"/>
      <c r="CK143" s="382"/>
      <c r="CL143" s="382"/>
      <c r="CM143" s="382"/>
      <c r="CN143" s="382"/>
      <c r="CO143" s="382"/>
      <c r="CP143" s="382"/>
      <c r="CQ143" s="382"/>
      <c r="CR143" s="382"/>
      <c r="CS143" s="382"/>
      <c r="CT143" s="382"/>
      <c r="CU143" s="382"/>
      <c r="CV143" s="382"/>
      <c r="CW143" s="769">
        <v>1</v>
      </c>
      <c r="CX143" s="382"/>
      <c r="CY143" s="382"/>
      <c r="CZ143" s="382"/>
      <c r="DA143" s="382"/>
      <c r="DB143" s="382"/>
      <c r="DC143" s="382"/>
      <c r="DD143" s="382"/>
      <c r="DE143" s="382"/>
      <c r="DF143" s="382"/>
      <c r="DG143" s="382"/>
      <c r="DH143" s="382"/>
      <c r="DI143" s="382"/>
      <c r="DJ143" s="382"/>
      <c r="DK143" s="382"/>
      <c r="DL143" s="382"/>
      <c r="DM143" s="382"/>
      <c r="DN143" s="382"/>
      <c r="DO143" s="382"/>
      <c r="DP143" s="208"/>
      <c r="DQ143" s="208"/>
      <c r="DR143" s="208"/>
      <c r="DS143" s="208"/>
      <c r="DT143" s="208"/>
      <c r="DU143" s="208"/>
      <c r="DV143" s="208"/>
      <c r="DW143" s="208"/>
      <c r="DX143" s="208"/>
      <c r="DY143" s="208"/>
      <c r="DZ143" s="227"/>
      <c r="EA143" s="186"/>
      <c r="EB143" s="186"/>
    </row>
    <row r="144" spans="2:132" s="176" customFormat="1" ht="14.25" hidden="1" customHeight="1" x14ac:dyDescent="0.2">
      <c r="B144" s="760">
        <f ca="1">B142+INT(C143/12)</f>
        <v>2019</v>
      </c>
      <c r="C144" s="760">
        <v>2</v>
      </c>
      <c r="D144" s="777">
        <f t="shared" si="11"/>
        <v>0</v>
      </c>
      <c r="E144" s="771">
        <f t="shared" ref="E144:E202" si="36">H144+K144+N144+Q144+U144+X144+AA144+AD144+AG144+AJ144+AM144+AP144</f>
        <v>0</v>
      </c>
      <c r="F144" s="778">
        <f t="shared" si="12"/>
        <v>0</v>
      </c>
      <c r="G144" s="778">
        <f t="shared" si="13"/>
        <v>0</v>
      </c>
      <c r="H144" s="779">
        <f t="shared" si="14"/>
        <v>0</v>
      </c>
      <c r="I144" s="780">
        <f t="shared" si="15"/>
        <v>0</v>
      </c>
      <c r="J144" s="778">
        <f>IF(AND(L144&gt;0,L143=0),K133,0)</f>
        <v>0</v>
      </c>
      <c r="K144" s="779">
        <f t="shared" si="16"/>
        <v>0</v>
      </c>
      <c r="L144" s="780">
        <f t="shared" si="17"/>
        <v>0</v>
      </c>
      <c r="M144" s="778">
        <f>IF(AND(O144&gt;0,O143=0),N133,0)</f>
        <v>0</v>
      </c>
      <c r="N144" s="779">
        <f t="shared" si="18"/>
        <v>0</v>
      </c>
      <c r="O144" s="780">
        <f t="shared" si="19"/>
        <v>0</v>
      </c>
      <c r="P144" s="778">
        <f>IF(AND(S144&gt;0,S143=0),Q133,0)</f>
        <v>0</v>
      </c>
      <c r="Q144" s="781">
        <f t="shared" si="20"/>
        <v>0</v>
      </c>
      <c r="S144" s="782">
        <f t="shared" si="21"/>
        <v>0</v>
      </c>
      <c r="T144" s="778">
        <f>IF(AND(V144&gt;0,V143=0),U133,0)</f>
        <v>0</v>
      </c>
      <c r="U144" s="779">
        <f t="shared" si="22"/>
        <v>0</v>
      </c>
      <c r="V144" s="780">
        <f t="shared" si="23"/>
        <v>0</v>
      </c>
      <c r="W144" s="778">
        <f>IF(AND(Y144&gt;0,Y143=0),X133,0)</f>
        <v>0</v>
      </c>
      <c r="X144" s="779">
        <f t="shared" si="24"/>
        <v>0</v>
      </c>
      <c r="Y144" s="780">
        <f t="shared" si="25"/>
        <v>0</v>
      </c>
      <c r="Z144" s="778">
        <f>IF(AND(AB144&gt;0,AB143=0),AA133,0)</f>
        <v>0</v>
      </c>
      <c r="AA144" s="779">
        <f t="shared" si="26"/>
        <v>0</v>
      </c>
      <c r="AB144" s="780">
        <f t="shared" si="27"/>
        <v>0</v>
      </c>
      <c r="AC144" s="778">
        <f>IF(AND(AE144&gt;0,AE143=0),AD133,0)</f>
        <v>0</v>
      </c>
      <c r="AD144" s="779">
        <f t="shared" si="28"/>
        <v>0</v>
      </c>
      <c r="AE144" s="780">
        <f t="shared" si="29"/>
        <v>0</v>
      </c>
      <c r="AF144" s="778">
        <f>IF(AND(AH144&gt;0,AH143=0),AG133,0)</f>
        <v>0</v>
      </c>
      <c r="AG144" s="779">
        <f t="shared" si="30"/>
        <v>0</v>
      </c>
      <c r="AH144" s="780">
        <f t="shared" si="31"/>
        <v>0</v>
      </c>
      <c r="AI144" s="778">
        <f>IF(AND(AK144&gt;0,AK143=0),AJ133,0)</f>
        <v>0</v>
      </c>
      <c r="AJ144" s="779">
        <f t="shared" si="32"/>
        <v>0</v>
      </c>
      <c r="AK144" s="780">
        <f t="shared" si="33"/>
        <v>0</v>
      </c>
      <c r="AL144" s="778">
        <f t="shared" ca="1" si="34"/>
        <v>0</v>
      </c>
      <c r="AM144" s="783"/>
      <c r="AN144" s="780"/>
      <c r="AO144" s="778">
        <f t="shared" ca="1" si="35"/>
        <v>0</v>
      </c>
      <c r="AP144" s="783"/>
      <c r="AQ144" s="780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7"/>
      <c r="BV144" s="208"/>
      <c r="BW144" s="208"/>
      <c r="BX144" s="208"/>
      <c r="BY144" s="208"/>
      <c r="BZ144" s="382"/>
      <c r="CA144" s="382"/>
      <c r="CB144" s="382"/>
      <c r="CC144" s="382"/>
      <c r="CD144" s="382"/>
      <c r="CE144" s="382"/>
      <c r="CF144" s="382"/>
      <c r="CG144" s="382"/>
      <c r="CH144" s="382"/>
      <c r="CI144" s="382"/>
      <c r="CJ144" s="382"/>
      <c r="CK144" s="382"/>
      <c r="CL144" s="382"/>
      <c r="CM144" s="382"/>
      <c r="CN144" s="382"/>
      <c r="CO144" s="382"/>
      <c r="CP144" s="382"/>
      <c r="CQ144" s="382"/>
      <c r="CR144" s="382"/>
      <c r="CS144" s="382"/>
      <c r="CT144" s="382"/>
      <c r="CU144" s="382"/>
      <c r="CV144" s="382"/>
      <c r="CW144" s="769">
        <v>2</v>
      </c>
      <c r="CX144" s="382"/>
      <c r="CY144" s="382"/>
      <c r="CZ144" s="382"/>
      <c r="DA144" s="382"/>
      <c r="DB144" s="382"/>
      <c r="DC144" s="382"/>
      <c r="DD144" s="382"/>
      <c r="DE144" s="382"/>
      <c r="DF144" s="382"/>
      <c r="DG144" s="382"/>
      <c r="DH144" s="382"/>
      <c r="DI144" s="382"/>
      <c r="DJ144" s="382"/>
      <c r="DK144" s="382"/>
      <c r="DL144" s="382"/>
      <c r="DM144" s="382"/>
      <c r="DN144" s="382"/>
      <c r="DO144" s="382"/>
      <c r="DP144" s="208"/>
      <c r="DQ144" s="208"/>
      <c r="DR144" s="208"/>
      <c r="DS144" s="208"/>
      <c r="DT144" s="208"/>
      <c r="DU144" s="208"/>
      <c r="DV144" s="208"/>
      <c r="DW144" s="208"/>
      <c r="DX144" s="208"/>
      <c r="DY144" s="208"/>
      <c r="DZ144" s="227"/>
      <c r="EA144" s="186"/>
      <c r="EB144" s="186"/>
    </row>
    <row r="145" spans="2:132" s="176" customFormat="1" ht="14.25" hidden="1" customHeight="1" x14ac:dyDescent="0.2">
      <c r="B145" s="760">
        <f ca="1">B142+INT(C144/12)</f>
        <v>2019</v>
      </c>
      <c r="C145" s="760">
        <v>3</v>
      </c>
      <c r="D145" s="777">
        <f t="shared" si="11"/>
        <v>0</v>
      </c>
      <c r="E145" s="771">
        <f t="shared" si="36"/>
        <v>0</v>
      </c>
      <c r="F145" s="778">
        <f t="shared" si="12"/>
        <v>0</v>
      </c>
      <c r="G145" s="778">
        <f t="shared" si="13"/>
        <v>0</v>
      </c>
      <c r="H145" s="779">
        <f t="shared" si="14"/>
        <v>0</v>
      </c>
      <c r="I145" s="780">
        <f t="shared" si="15"/>
        <v>0</v>
      </c>
      <c r="J145" s="778">
        <f>IF(AND(L145&gt;0,L144=0),K133,0)</f>
        <v>0</v>
      </c>
      <c r="K145" s="779">
        <f t="shared" si="16"/>
        <v>0</v>
      </c>
      <c r="L145" s="780">
        <f t="shared" si="17"/>
        <v>0</v>
      </c>
      <c r="M145" s="778">
        <f>IF(AND(O145&gt;0,O144=0),N133,0)</f>
        <v>0</v>
      </c>
      <c r="N145" s="779">
        <f t="shared" si="18"/>
        <v>0</v>
      </c>
      <c r="O145" s="780">
        <f t="shared" si="19"/>
        <v>0</v>
      </c>
      <c r="P145" s="778">
        <f>IF(AND(S145&gt;0,S144=0),Q133,0)</f>
        <v>0</v>
      </c>
      <c r="Q145" s="781">
        <f t="shared" si="20"/>
        <v>0</v>
      </c>
      <c r="S145" s="782">
        <f t="shared" si="21"/>
        <v>0</v>
      </c>
      <c r="T145" s="778">
        <f>IF(AND(V145&gt;0,V144=0),U133,0)</f>
        <v>0</v>
      </c>
      <c r="U145" s="779">
        <f t="shared" si="22"/>
        <v>0</v>
      </c>
      <c r="V145" s="780">
        <f t="shared" si="23"/>
        <v>0</v>
      </c>
      <c r="W145" s="778">
        <f>IF(AND(Y145&gt;0,Y144=0),X133,0)</f>
        <v>0</v>
      </c>
      <c r="X145" s="779">
        <f t="shared" si="24"/>
        <v>0</v>
      </c>
      <c r="Y145" s="780">
        <f t="shared" si="25"/>
        <v>0</v>
      </c>
      <c r="Z145" s="778">
        <f>IF(AND(AB145&gt;0,AB144=0),AA133,0)</f>
        <v>0</v>
      </c>
      <c r="AA145" s="779">
        <f t="shared" si="26"/>
        <v>0</v>
      </c>
      <c r="AB145" s="780">
        <f t="shared" si="27"/>
        <v>0</v>
      </c>
      <c r="AC145" s="778">
        <f>IF(AND(AE145&gt;0,AE144=0),AD133,0)</f>
        <v>0</v>
      </c>
      <c r="AD145" s="779">
        <f t="shared" si="28"/>
        <v>0</v>
      </c>
      <c r="AE145" s="780">
        <f t="shared" si="29"/>
        <v>0</v>
      </c>
      <c r="AF145" s="778">
        <f>IF(AND(AH145&gt;0,AH144=0),AG133,0)</f>
        <v>0</v>
      </c>
      <c r="AG145" s="779">
        <f t="shared" si="30"/>
        <v>0</v>
      </c>
      <c r="AH145" s="780">
        <f t="shared" si="31"/>
        <v>0</v>
      </c>
      <c r="AI145" s="778">
        <f>IF(AND(AK145&gt;0,AK144=0),AJ133,0)</f>
        <v>0</v>
      </c>
      <c r="AJ145" s="779">
        <f t="shared" si="32"/>
        <v>0</v>
      </c>
      <c r="AK145" s="780">
        <f t="shared" si="33"/>
        <v>0</v>
      </c>
      <c r="AL145" s="778">
        <f t="shared" ca="1" si="34"/>
        <v>0</v>
      </c>
      <c r="AM145" s="783"/>
      <c r="AN145" s="780"/>
      <c r="AO145" s="778">
        <f t="shared" ca="1" si="35"/>
        <v>0</v>
      </c>
      <c r="AP145" s="783"/>
      <c r="AQ145" s="780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7"/>
      <c r="BV145" s="208"/>
      <c r="BW145" s="208"/>
      <c r="BX145" s="208"/>
      <c r="BY145" s="208"/>
      <c r="BZ145" s="382"/>
      <c r="CA145" s="382"/>
      <c r="CB145" s="382"/>
      <c r="CC145" s="382"/>
      <c r="CD145" s="382"/>
      <c r="CE145" s="382"/>
      <c r="CF145" s="382"/>
      <c r="CG145" s="382"/>
      <c r="CH145" s="382"/>
      <c r="CI145" s="382"/>
      <c r="CJ145" s="382"/>
      <c r="CK145" s="382"/>
      <c r="CL145" s="382"/>
      <c r="CM145" s="382"/>
      <c r="CN145" s="382"/>
      <c r="CO145" s="382"/>
      <c r="CP145" s="382"/>
      <c r="CQ145" s="382"/>
      <c r="CR145" s="382"/>
      <c r="CS145" s="382"/>
      <c r="CT145" s="382"/>
      <c r="CU145" s="382"/>
      <c r="CV145" s="382"/>
      <c r="CW145" s="769">
        <v>3</v>
      </c>
      <c r="CX145" s="382"/>
      <c r="CY145" s="382"/>
      <c r="CZ145" s="382"/>
      <c r="DA145" s="382"/>
      <c r="DB145" s="382"/>
      <c r="DC145" s="382"/>
      <c r="DD145" s="382"/>
      <c r="DE145" s="382"/>
      <c r="DF145" s="382"/>
      <c r="DG145" s="382"/>
      <c r="DH145" s="382"/>
      <c r="DI145" s="382"/>
      <c r="DJ145" s="382"/>
      <c r="DK145" s="382"/>
      <c r="DL145" s="382"/>
      <c r="DM145" s="382"/>
      <c r="DN145" s="382"/>
      <c r="DO145" s="382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27"/>
      <c r="EA145" s="186"/>
      <c r="EB145" s="186"/>
    </row>
    <row r="146" spans="2:132" s="176" customFormat="1" ht="14.25" hidden="1" customHeight="1" x14ac:dyDescent="0.2">
      <c r="B146" s="760">
        <f ca="1">B142+INT(C145/12)</f>
        <v>2019</v>
      </c>
      <c r="C146" s="760">
        <v>4</v>
      </c>
      <c r="D146" s="777">
        <f t="shared" si="11"/>
        <v>0</v>
      </c>
      <c r="E146" s="771">
        <f t="shared" si="36"/>
        <v>0</v>
      </c>
      <c r="F146" s="778">
        <f t="shared" si="12"/>
        <v>0</v>
      </c>
      <c r="G146" s="778">
        <f t="shared" si="13"/>
        <v>0</v>
      </c>
      <c r="H146" s="779">
        <f t="shared" si="14"/>
        <v>0</v>
      </c>
      <c r="I146" s="780">
        <f t="shared" si="15"/>
        <v>0</v>
      </c>
      <c r="J146" s="778">
        <f>IF(AND(L146&gt;0,L145=0),K133,0)</f>
        <v>0</v>
      </c>
      <c r="K146" s="779">
        <f t="shared" si="16"/>
        <v>0</v>
      </c>
      <c r="L146" s="780">
        <f t="shared" si="17"/>
        <v>0</v>
      </c>
      <c r="M146" s="778">
        <f>IF(AND(O146&gt;0,O145=0),N133,0)</f>
        <v>0</v>
      </c>
      <c r="N146" s="779">
        <f t="shared" si="18"/>
        <v>0</v>
      </c>
      <c r="O146" s="780">
        <f t="shared" si="19"/>
        <v>0</v>
      </c>
      <c r="P146" s="778">
        <f>IF(AND(S146&gt;0,S145=0),Q133,0)</f>
        <v>0</v>
      </c>
      <c r="Q146" s="781">
        <f t="shared" si="20"/>
        <v>0</v>
      </c>
      <c r="S146" s="782">
        <f t="shared" si="21"/>
        <v>0</v>
      </c>
      <c r="T146" s="778">
        <f>IF(AND(V146&gt;0,V145=0),U133,0)</f>
        <v>0</v>
      </c>
      <c r="U146" s="779">
        <f t="shared" si="22"/>
        <v>0</v>
      </c>
      <c r="V146" s="780">
        <f t="shared" si="23"/>
        <v>0</v>
      </c>
      <c r="W146" s="778">
        <f>IF(AND(Y146&gt;0,Y145=0),X133,0)</f>
        <v>0</v>
      </c>
      <c r="X146" s="779">
        <f t="shared" si="24"/>
        <v>0</v>
      </c>
      <c r="Y146" s="780">
        <f t="shared" si="25"/>
        <v>0</v>
      </c>
      <c r="Z146" s="778">
        <f>IF(AND(AB146&gt;0,AB145=0),AA133,0)</f>
        <v>0</v>
      </c>
      <c r="AA146" s="779">
        <f t="shared" si="26"/>
        <v>0</v>
      </c>
      <c r="AB146" s="780">
        <f t="shared" si="27"/>
        <v>0</v>
      </c>
      <c r="AC146" s="778">
        <f>IF(AND(AE146&gt;0,AE145=0),AD133,0)</f>
        <v>0</v>
      </c>
      <c r="AD146" s="779">
        <f t="shared" si="28"/>
        <v>0</v>
      </c>
      <c r="AE146" s="780">
        <f t="shared" si="29"/>
        <v>0</v>
      </c>
      <c r="AF146" s="778">
        <f>IF(AND(AH146&gt;0,AH145=0),AG133,0)</f>
        <v>0</v>
      </c>
      <c r="AG146" s="779">
        <f t="shared" si="30"/>
        <v>0</v>
      </c>
      <c r="AH146" s="780">
        <f t="shared" si="31"/>
        <v>0</v>
      </c>
      <c r="AI146" s="778">
        <f>IF(AND(AK146&gt;0,AK145=0),AJ133,0)</f>
        <v>0</v>
      </c>
      <c r="AJ146" s="779">
        <f t="shared" si="32"/>
        <v>0</v>
      </c>
      <c r="AK146" s="780">
        <f t="shared" si="33"/>
        <v>0</v>
      </c>
      <c r="AL146" s="778">
        <f t="shared" ca="1" si="34"/>
        <v>0</v>
      </c>
      <c r="AM146" s="783"/>
      <c r="AN146" s="780"/>
      <c r="AO146" s="778">
        <f t="shared" ca="1" si="35"/>
        <v>0</v>
      </c>
      <c r="AP146" s="783"/>
      <c r="AQ146" s="780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7"/>
      <c r="BV146" s="208"/>
      <c r="BW146" s="208"/>
      <c r="BX146" s="208"/>
      <c r="BY146" s="208"/>
      <c r="BZ146" s="382"/>
      <c r="CA146" s="382"/>
      <c r="CB146" s="382"/>
      <c r="CC146" s="382"/>
      <c r="CD146" s="382"/>
      <c r="CE146" s="382"/>
      <c r="CF146" s="382"/>
      <c r="CG146" s="382"/>
      <c r="CH146" s="382"/>
      <c r="CI146" s="382"/>
      <c r="CJ146" s="382"/>
      <c r="CK146" s="382"/>
      <c r="CL146" s="382"/>
      <c r="CM146" s="382"/>
      <c r="CN146" s="382"/>
      <c r="CO146" s="382"/>
      <c r="CP146" s="382"/>
      <c r="CQ146" s="382"/>
      <c r="CR146" s="382"/>
      <c r="CS146" s="382"/>
      <c r="CT146" s="382"/>
      <c r="CU146" s="382"/>
      <c r="CV146" s="382"/>
      <c r="CW146" s="769">
        <v>4</v>
      </c>
      <c r="CX146" s="382"/>
      <c r="CY146" s="382"/>
      <c r="CZ146" s="382"/>
      <c r="DA146" s="382"/>
      <c r="DB146" s="382"/>
      <c r="DC146" s="382"/>
      <c r="DD146" s="382"/>
      <c r="DE146" s="382"/>
      <c r="DF146" s="382"/>
      <c r="DG146" s="382"/>
      <c r="DH146" s="382"/>
      <c r="DI146" s="382"/>
      <c r="DJ146" s="382"/>
      <c r="DK146" s="382"/>
      <c r="DL146" s="382"/>
      <c r="DM146" s="382"/>
      <c r="DN146" s="382"/>
      <c r="DO146" s="382"/>
      <c r="DP146" s="208"/>
      <c r="DQ146" s="208"/>
      <c r="DR146" s="208"/>
      <c r="DS146" s="208"/>
      <c r="DT146" s="208"/>
      <c r="DU146" s="208"/>
      <c r="DV146" s="208"/>
      <c r="DW146" s="208"/>
      <c r="DX146" s="208"/>
      <c r="DY146" s="208"/>
      <c r="DZ146" s="227"/>
      <c r="EA146" s="186"/>
      <c r="EB146" s="186"/>
    </row>
    <row r="147" spans="2:132" s="176" customFormat="1" ht="14.25" hidden="1" customHeight="1" x14ac:dyDescent="0.2">
      <c r="B147" s="760">
        <f ca="1">B142+INT(C146/12)</f>
        <v>2019</v>
      </c>
      <c r="C147" s="760">
        <v>5</v>
      </c>
      <c r="D147" s="777">
        <f t="shared" si="11"/>
        <v>0</v>
      </c>
      <c r="E147" s="771">
        <f t="shared" si="36"/>
        <v>0</v>
      </c>
      <c r="F147" s="778">
        <f t="shared" si="12"/>
        <v>0</v>
      </c>
      <c r="G147" s="778">
        <f t="shared" si="13"/>
        <v>0</v>
      </c>
      <c r="H147" s="779">
        <f t="shared" si="14"/>
        <v>0</v>
      </c>
      <c r="I147" s="780">
        <f t="shared" si="15"/>
        <v>0</v>
      </c>
      <c r="J147" s="778">
        <f>IF(AND(L147&gt;0,L146=0),K133,0)</f>
        <v>0</v>
      </c>
      <c r="K147" s="779">
        <f t="shared" si="16"/>
        <v>0</v>
      </c>
      <c r="L147" s="780">
        <f t="shared" si="17"/>
        <v>0</v>
      </c>
      <c r="M147" s="778">
        <f>IF(AND(O147&gt;0,O146=0),N133,0)</f>
        <v>0</v>
      </c>
      <c r="N147" s="779">
        <f t="shared" si="18"/>
        <v>0</v>
      </c>
      <c r="O147" s="780">
        <f t="shared" si="19"/>
        <v>0</v>
      </c>
      <c r="P147" s="778">
        <f>IF(AND(S147&gt;0,S146=0),Q133,0)</f>
        <v>0</v>
      </c>
      <c r="Q147" s="781">
        <f t="shared" si="20"/>
        <v>0</v>
      </c>
      <c r="S147" s="782">
        <f t="shared" si="21"/>
        <v>0</v>
      </c>
      <c r="T147" s="778">
        <f>IF(AND(V147&gt;0,V146=0),U133,0)</f>
        <v>0</v>
      </c>
      <c r="U147" s="779">
        <f t="shared" si="22"/>
        <v>0</v>
      </c>
      <c r="V147" s="780">
        <f t="shared" si="23"/>
        <v>0</v>
      </c>
      <c r="W147" s="778">
        <f>IF(AND(Y147&gt;0,Y146=0),X133,0)</f>
        <v>0</v>
      </c>
      <c r="X147" s="779">
        <f t="shared" si="24"/>
        <v>0</v>
      </c>
      <c r="Y147" s="780">
        <f t="shared" si="25"/>
        <v>0</v>
      </c>
      <c r="Z147" s="778">
        <f>IF(AND(AB147&gt;0,AB146=0),AA133,0)</f>
        <v>0</v>
      </c>
      <c r="AA147" s="779">
        <f t="shared" si="26"/>
        <v>0</v>
      </c>
      <c r="AB147" s="780">
        <f t="shared" si="27"/>
        <v>0</v>
      </c>
      <c r="AC147" s="778">
        <f>IF(AND(AE147&gt;0,AE146=0),AD133,0)</f>
        <v>0</v>
      </c>
      <c r="AD147" s="779">
        <f t="shared" si="28"/>
        <v>0</v>
      </c>
      <c r="AE147" s="780">
        <f t="shared" si="29"/>
        <v>0</v>
      </c>
      <c r="AF147" s="778">
        <f>IF(AND(AH147&gt;0,AH146=0),AG133,0)</f>
        <v>0</v>
      </c>
      <c r="AG147" s="779">
        <f t="shared" si="30"/>
        <v>0</v>
      </c>
      <c r="AH147" s="780">
        <f t="shared" si="31"/>
        <v>0</v>
      </c>
      <c r="AI147" s="778">
        <f>IF(AND(AK147&gt;0,AK146=0),AJ133,0)</f>
        <v>0</v>
      </c>
      <c r="AJ147" s="779">
        <f t="shared" si="32"/>
        <v>0</v>
      </c>
      <c r="AK147" s="780">
        <f t="shared" si="33"/>
        <v>0</v>
      </c>
      <c r="AL147" s="778">
        <f t="shared" ca="1" si="34"/>
        <v>0</v>
      </c>
      <c r="AM147" s="783"/>
      <c r="AN147" s="780"/>
      <c r="AO147" s="778">
        <f t="shared" ca="1" si="35"/>
        <v>0</v>
      </c>
      <c r="AP147" s="783"/>
      <c r="AQ147" s="780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7"/>
      <c r="BV147" s="208"/>
      <c r="BW147" s="208"/>
      <c r="BX147" s="208"/>
      <c r="BY147" s="208"/>
      <c r="BZ147" s="382"/>
      <c r="CA147" s="382"/>
      <c r="CB147" s="382"/>
      <c r="CC147" s="382"/>
      <c r="CD147" s="382"/>
      <c r="CE147" s="382"/>
      <c r="CF147" s="382"/>
      <c r="CG147" s="382"/>
      <c r="CH147" s="382"/>
      <c r="CI147" s="382"/>
      <c r="CJ147" s="382"/>
      <c r="CK147" s="382"/>
      <c r="CL147" s="382"/>
      <c r="CM147" s="382"/>
      <c r="CN147" s="382"/>
      <c r="CO147" s="382"/>
      <c r="CP147" s="382"/>
      <c r="CQ147" s="382"/>
      <c r="CR147" s="382"/>
      <c r="CS147" s="382"/>
      <c r="CT147" s="382"/>
      <c r="CU147" s="382"/>
      <c r="CV147" s="382"/>
      <c r="CW147" s="769">
        <v>5</v>
      </c>
      <c r="CX147" s="382"/>
      <c r="CY147" s="382"/>
      <c r="CZ147" s="382"/>
      <c r="DA147" s="382"/>
      <c r="DB147" s="382"/>
      <c r="DC147" s="382"/>
      <c r="DD147" s="382"/>
      <c r="DE147" s="382"/>
      <c r="DF147" s="382"/>
      <c r="DG147" s="382"/>
      <c r="DH147" s="382"/>
      <c r="DI147" s="382"/>
      <c r="DJ147" s="382"/>
      <c r="DK147" s="382"/>
      <c r="DL147" s="382"/>
      <c r="DM147" s="382"/>
      <c r="DN147" s="382"/>
      <c r="DO147" s="382"/>
      <c r="DP147" s="208"/>
      <c r="DQ147" s="208"/>
      <c r="DR147" s="208"/>
      <c r="DS147" s="208"/>
      <c r="DT147" s="208"/>
      <c r="DU147" s="208"/>
      <c r="DV147" s="208"/>
      <c r="DW147" s="208"/>
      <c r="DX147" s="208"/>
      <c r="DY147" s="208"/>
      <c r="DZ147" s="227"/>
      <c r="EA147" s="186"/>
      <c r="EB147" s="186"/>
    </row>
    <row r="148" spans="2:132" s="176" customFormat="1" ht="14.25" hidden="1" customHeight="1" x14ac:dyDescent="0.2">
      <c r="B148" s="760">
        <f ca="1">B142+INT(C147/12)</f>
        <v>2019</v>
      </c>
      <c r="C148" s="760">
        <v>6</v>
      </c>
      <c r="D148" s="777">
        <f t="shared" si="11"/>
        <v>0</v>
      </c>
      <c r="E148" s="771">
        <f t="shared" si="36"/>
        <v>0</v>
      </c>
      <c r="F148" s="778">
        <f t="shared" si="12"/>
        <v>0</v>
      </c>
      <c r="G148" s="778">
        <f t="shared" si="13"/>
        <v>0</v>
      </c>
      <c r="H148" s="779">
        <f t="shared" si="14"/>
        <v>0</v>
      </c>
      <c r="I148" s="780">
        <f t="shared" si="15"/>
        <v>0</v>
      </c>
      <c r="J148" s="778">
        <f>IF(AND(L148&gt;0,L147=0),K133,0)</f>
        <v>0</v>
      </c>
      <c r="K148" s="779">
        <f t="shared" si="16"/>
        <v>0</v>
      </c>
      <c r="L148" s="780">
        <f t="shared" si="17"/>
        <v>0</v>
      </c>
      <c r="M148" s="778">
        <f>IF(AND(O148&gt;0,O147=0),N133,0)</f>
        <v>0</v>
      </c>
      <c r="N148" s="779">
        <f t="shared" si="18"/>
        <v>0</v>
      </c>
      <c r="O148" s="780">
        <f t="shared" si="19"/>
        <v>0</v>
      </c>
      <c r="P148" s="778">
        <f>IF(AND(S148&gt;0,S147=0),Q133,0)</f>
        <v>0</v>
      </c>
      <c r="Q148" s="781">
        <f t="shared" si="20"/>
        <v>0</v>
      </c>
      <c r="S148" s="782">
        <f t="shared" si="21"/>
        <v>0</v>
      </c>
      <c r="T148" s="778">
        <f>IF(AND(V148&gt;0,V147=0),U133,0)</f>
        <v>0</v>
      </c>
      <c r="U148" s="779">
        <f t="shared" si="22"/>
        <v>0</v>
      </c>
      <c r="V148" s="780">
        <f t="shared" si="23"/>
        <v>0</v>
      </c>
      <c r="W148" s="778">
        <f>IF(AND(Y148&gt;0,Y147=0),X133,0)</f>
        <v>0</v>
      </c>
      <c r="X148" s="779">
        <f t="shared" si="24"/>
        <v>0</v>
      </c>
      <c r="Y148" s="780">
        <f t="shared" si="25"/>
        <v>0</v>
      </c>
      <c r="Z148" s="778">
        <f>IF(AND(AB148&gt;0,AB147=0),AA133,0)</f>
        <v>0</v>
      </c>
      <c r="AA148" s="779">
        <f t="shared" si="26"/>
        <v>0</v>
      </c>
      <c r="AB148" s="780">
        <f t="shared" si="27"/>
        <v>0</v>
      </c>
      <c r="AC148" s="778">
        <f>IF(AND(AE148&gt;0,AE147=0),AD133,0)</f>
        <v>0</v>
      </c>
      <c r="AD148" s="779">
        <f t="shared" si="28"/>
        <v>0</v>
      </c>
      <c r="AE148" s="780">
        <f t="shared" si="29"/>
        <v>0</v>
      </c>
      <c r="AF148" s="778">
        <f>IF(AND(AH148&gt;0,AH147=0),AG133,0)</f>
        <v>0</v>
      </c>
      <c r="AG148" s="779">
        <f t="shared" si="30"/>
        <v>0</v>
      </c>
      <c r="AH148" s="780">
        <f t="shared" si="31"/>
        <v>0</v>
      </c>
      <c r="AI148" s="778">
        <f>IF(AND(AK148&gt;0,AK147=0),AJ133,0)</f>
        <v>0</v>
      </c>
      <c r="AJ148" s="779">
        <f t="shared" si="32"/>
        <v>0</v>
      </c>
      <c r="AK148" s="780">
        <f t="shared" si="33"/>
        <v>0</v>
      </c>
      <c r="AL148" s="778">
        <f t="shared" ca="1" si="34"/>
        <v>0</v>
      </c>
      <c r="AM148" s="783"/>
      <c r="AN148" s="780"/>
      <c r="AO148" s="778">
        <f t="shared" ca="1" si="35"/>
        <v>0</v>
      </c>
      <c r="AP148" s="783"/>
      <c r="AQ148" s="780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7"/>
      <c r="BV148" s="208"/>
      <c r="BW148" s="208"/>
      <c r="BX148" s="208"/>
      <c r="BY148" s="208"/>
      <c r="BZ148" s="382"/>
      <c r="CA148" s="382"/>
      <c r="CB148" s="382"/>
      <c r="CC148" s="382"/>
      <c r="CD148" s="382"/>
      <c r="CE148" s="382"/>
      <c r="CF148" s="382"/>
      <c r="CG148" s="382"/>
      <c r="CH148" s="382"/>
      <c r="CI148" s="382"/>
      <c r="CJ148" s="382"/>
      <c r="CK148" s="382"/>
      <c r="CL148" s="382"/>
      <c r="CM148" s="382"/>
      <c r="CN148" s="382"/>
      <c r="CO148" s="382"/>
      <c r="CP148" s="382"/>
      <c r="CQ148" s="382"/>
      <c r="CR148" s="382"/>
      <c r="CS148" s="382"/>
      <c r="CT148" s="382"/>
      <c r="CU148" s="382"/>
      <c r="CV148" s="382"/>
      <c r="CW148" s="769">
        <v>6</v>
      </c>
      <c r="CX148" s="382"/>
      <c r="CY148" s="382"/>
      <c r="CZ148" s="382"/>
      <c r="DA148" s="382"/>
      <c r="DB148" s="382"/>
      <c r="DC148" s="382"/>
      <c r="DD148" s="382"/>
      <c r="DE148" s="382"/>
      <c r="DF148" s="382"/>
      <c r="DG148" s="382"/>
      <c r="DH148" s="382"/>
      <c r="DI148" s="382"/>
      <c r="DJ148" s="382"/>
      <c r="DK148" s="382"/>
      <c r="DL148" s="382"/>
      <c r="DM148" s="382"/>
      <c r="DN148" s="382"/>
      <c r="DO148" s="382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27"/>
      <c r="EA148" s="186"/>
      <c r="EB148" s="186"/>
    </row>
    <row r="149" spans="2:132" s="176" customFormat="1" ht="14.25" hidden="1" customHeight="1" x14ac:dyDescent="0.2">
      <c r="B149" s="760">
        <f ca="1">B142+INT(C148/12)</f>
        <v>2019</v>
      </c>
      <c r="C149" s="760">
        <v>7</v>
      </c>
      <c r="D149" s="777">
        <f t="shared" si="11"/>
        <v>0</v>
      </c>
      <c r="E149" s="771">
        <f t="shared" si="36"/>
        <v>0</v>
      </c>
      <c r="F149" s="778">
        <f t="shared" si="12"/>
        <v>0</v>
      </c>
      <c r="G149" s="778">
        <f t="shared" si="13"/>
        <v>0</v>
      </c>
      <c r="H149" s="779">
        <f t="shared" si="14"/>
        <v>0</v>
      </c>
      <c r="I149" s="780">
        <f t="shared" si="15"/>
        <v>0</v>
      </c>
      <c r="J149" s="778">
        <f>IF(AND(L149&gt;0,L148=0),K133,0)</f>
        <v>0</v>
      </c>
      <c r="K149" s="779">
        <f t="shared" si="16"/>
        <v>0</v>
      </c>
      <c r="L149" s="780">
        <f t="shared" si="17"/>
        <v>0</v>
      </c>
      <c r="M149" s="778">
        <f>IF(AND(O149&gt;0,O148=0),N133,0)</f>
        <v>0</v>
      </c>
      <c r="N149" s="779">
        <f t="shared" si="18"/>
        <v>0</v>
      </c>
      <c r="O149" s="780">
        <f t="shared" si="19"/>
        <v>0</v>
      </c>
      <c r="P149" s="778">
        <f>IF(AND(S149&gt;0,S148=0),Q133,0)</f>
        <v>0</v>
      </c>
      <c r="Q149" s="781">
        <f t="shared" si="20"/>
        <v>0</v>
      </c>
      <c r="S149" s="782">
        <f t="shared" si="21"/>
        <v>0</v>
      </c>
      <c r="T149" s="778">
        <f>IF(AND(V149&gt;0,V148=0),U133,0)</f>
        <v>0</v>
      </c>
      <c r="U149" s="779">
        <f t="shared" si="22"/>
        <v>0</v>
      </c>
      <c r="V149" s="780">
        <f t="shared" si="23"/>
        <v>0</v>
      </c>
      <c r="W149" s="778">
        <f>IF(AND(Y149&gt;0,Y148=0),X133,0)</f>
        <v>0</v>
      </c>
      <c r="X149" s="779">
        <f t="shared" si="24"/>
        <v>0</v>
      </c>
      <c r="Y149" s="780">
        <f t="shared" si="25"/>
        <v>0</v>
      </c>
      <c r="Z149" s="778">
        <f>IF(AND(AB149&gt;0,AB148=0),AA133,0)</f>
        <v>0</v>
      </c>
      <c r="AA149" s="779">
        <f t="shared" si="26"/>
        <v>0</v>
      </c>
      <c r="AB149" s="780">
        <f t="shared" si="27"/>
        <v>0</v>
      </c>
      <c r="AC149" s="778">
        <f>IF(AND(AE149&gt;0,AE148=0),AD133,0)</f>
        <v>0</v>
      </c>
      <c r="AD149" s="779">
        <f t="shared" si="28"/>
        <v>0</v>
      </c>
      <c r="AE149" s="780">
        <f t="shared" si="29"/>
        <v>0</v>
      </c>
      <c r="AF149" s="778">
        <f>IF(AND(AH149&gt;0,AH148=0),AG133,0)</f>
        <v>0</v>
      </c>
      <c r="AG149" s="779">
        <f t="shared" si="30"/>
        <v>0</v>
      </c>
      <c r="AH149" s="780">
        <f t="shared" si="31"/>
        <v>0</v>
      </c>
      <c r="AI149" s="778">
        <f>IF(AND(AK149&gt;0,AK148=0),AJ133,0)</f>
        <v>0</v>
      </c>
      <c r="AJ149" s="779">
        <f t="shared" si="32"/>
        <v>0</v>
      </c>
      <c r="AK149" s="780">
        <f t="shared" si="33"/>
        <v>0</v>
      </c>
      <c r="AL149" s="778">
        <f t="shared" ca="1" si="34"/>
        <v>0</v>
      </c>
      <c r="AM149" s="783"/>
      <c r="AN149" s="780"/>
      <c r="AO149" s="778">
        <f t="shared" ca="1" si="35"/>
        <v>0</v>
      </c>
      <c r="AP149" s="783"/>
      <c r="AQ149" s="780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7"/>
      <c r="BV149" s="208"/>
      <c r="BW149" s="208"/>
      <c r="BX149" s="208"/>
      <c r="BY149" s="208"/>
      <c r="BZ149" s="382"/>
      <c r="CA149" s="382"/>
      <c r="CB149" s="382"/>
      <c r="CC149" s="382"/>
      <c r="CD149" s="382"/>
      <c r="CE149" s="382"/>
      <c r="CF149" s="382"/>
      <c r="CG149" s="382"/>
      <c r="CH149" s="382"/>
      <c r="CI149" s="382"/>
      <c r="CJ149" s="382"/>
      <c r="CK149" s="382"/>
      <c r="CL149" s="382"/>
      <c r="CM149" s="382"/>
      <c r="CN149" s="382"/>
      <c r="CO149" s="382"/>
      <c r="CP149" s="382"/>
      <c r="CQ149" s="382"/>
      <c r="CR149" s="382"/>
      <c r="CS149" s="382"/>
      <c r="CT149" s="382"/>
      <c r="CU149" s="382"/>
      <c r="CV149" s="382"/>
      <c r="CW149" s="769">
        <v>7</v>
      </c>
      <c r="CX149" s="382"/>
      <c r="CY149" s="382"/>
      <c r="CZ149" s="382"/>
      <c r="DA149" s="382"/>
      <c r="DB149" s="382"/>
      <c r="DC149" s="382"/>
      <c r="DD149" s="382"/>
      <c r="DE149" s="382"/>
      <c r="DF149" s="382"/>
      <c r="DG149" s="382"/>
      <c r="DH149" s="382"/>
      <c r="DI149" s="382"/>
      <c r="DJ149" s="382"/>
      <c r="DK149" s="382"/>
      <c r="DL149" s="382"/>
      <c r="DM149" s="382"/>
      <c r="DN149" s="382"/>
      <c r="DO149" s="382"/>
      <c r="DP149" s="208"/>
      <c r="DQ149" s="208"/>
      <c r="DR149" s="208"/>
      <c r="DS149" s="208"/>
      <c r="DT149" s="208"/>
      <c r="DU149" s="208"/>
      <c r="DV149" s="208"/>
      <c r="DW149" s="208"/>
      <c r="DX149" s="208"/>
      <c r="DY149" s="208"/>
      <c r="DZ149" s="227"/>
      <c r="EA149" s="186"/>
      <c r="EB149" s="186"/>
    </row>
    <row r="150" spans="2:132" s="176" customFormat="1" ht="14.25" hidden="1" customHeight="1" x14ac:dyDescent="0.2">
      <c r="B150" s="760">
        <f ca="1">B142+INT(C150/12)</f>
        <v>2019</v>
      </c>
      <c r="C150" s="760">
        <v>8</v>
      </c>
      <c r="D150" s="777">
        <f t="shared" si="11"/>
        <v>0</v>
      </c>
      <c r="E150" s="771">
        <f t="shared" si="36"/>
        <v>0</v>
      </c>
      <c r="F150" s="778">
        <f t="shared" si="12"/>
        <v>0</v>
      </c>
      <c r="G150" s="778">
        <f t="shared" si="13"/>
        <v>0</v>
      </c>
      <c r="H150" s="779">
        <f t="shared" si="14"/>
        <v>0</v>
      </c>
      <c r="I150" s="780">
        <f t="shared" si="15"/>
        <v>0</v>
      </c>
      <c r="J150" s="778">
        <f>IF(AND(L150&gt;0,L149=0),K133,0)</f>
        <v>0</v>
      </c>
      <c r="K150" s="779">
        <f t="shared" si="16"/>
        <v>0</v>
      </c>
      <c r="L150" s="780">
        <f t="shared" si="17"/>
        <v>0</v>
      </c>
      <c r="M150" s="778">
        <f>IF(AND(O150&gt;0,O149=0),N133,0)</f>
        <v>0</v>
      </c>
      <c r="N150" s="779">
        <f t="shared" si="18"/>
        <v>0</v>
      </c>
      <c r="O150" s="780">
        <f t="shared" si="19"/>
        <v>0</v>
      </c>
      <c r="P150" s="778">
        <f>IF(AND(S150&gt;0,S149=0),Q133,0)</f>
        <v>0</v>
      </c>
      <c r="Q150" s="781">
        <f t="shared" si="20"/>
        <v>0</v>
      </c>
      <c r="S150" s="782">
        <f t="shared" si="21"/>
        <v>0</v>
      </c>
      <c r="T150" s="778">
        <f>IF(AND(V150&gt;0,V149=0),U133,0)</f>
        <v>0</v>
      </c>
      <c r="U150" s="779">
        <f t="shared" si="22"/>
        <v>0</v>
      </c>
      <c r="V150" s="780">
        <f t="shared" si="23"/>
        <v>0</v>
      </c>
      <c r="W150" s="778">
        <f>IF(AND(Y150&gt;0,Y149=0),X133,0)</f>
        <v>0</v>
      </c>
      <c r="X150" s="779">
        <f t="shared" si="24"/>
        <v>0</v>
      </c>
      <c r="Y150" s="780">
        <f t="shared" si="25"/>
        <v>0</v>
      </c>
      <c r="Z150" s="778">
        <f>IF(AND(AB150&gt;0,AB149=0),AA133,0)</f>
        <v>0</v>
      </c>
      <c r="AA150" s="779">
        <f t="shared" si="26"/>
        <v>0</v>
      </c>
      <c r="AB150" s="780">
        <f t="shared" si="27"/>
        <v>0</v>
      </c>
      <c r="AC150" s="778">
        <f>IF(AND(AE150&gt;0,AE149=0),AD133,0)</f>
        <v>0</v>
      </c>
      <c r="AD150" s="779">
        <f t="shared" si="28"/>
        <v>0</v>
      </c>
      <c r="AE150" s="780">
        <f t="shared" si="29"/>
        <v>0</v>
      </c>
      <c r="AF150" s="778">
        <f>IF(AND(AH150&gt;0,AH149=0),AG133,0)</f>
        <v>0</v>
      </c>
      <c r="AG150" s="779">
        <f t="shared" si="30"/>
        <v>0</v>
      </c>
      <c r="AH150" s="780">
        <f t="shared" si="31"/>
        <v>0</v>
      </c>
      <c r="AI150" s="778">
        <f>IF(AND(AK150&gt;0,AK149=0),AJ133,0)</f>
        <v>0</v>
      </c>
      <c r="AJ150" s="779">
        <f t="shared" si="32"/>
        <v>0</v>
      </c>
      <c r="AK150" s="780">
        <f t="shared" si="33"/>
        <v>0</v>
      </c>
      <c r="AL150" s="778">
        <f t="shared" ca="1" si="34"/>
        <v>0</v>
      </c>
      <c r="AM150" s="783"/>
      <c r="AN150" s="780"/>
      <c r="AO150" s="778">
        <f t="shared" ca="1" si="35"/>
        <v>0</v>
      </c>
      <c r="AP150" s="783"/>
      <c r="AQ150" s="780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7"/>
      <c r="BV150" s="208"/>
      <c r="BW150" s="208"/>
      <c r="BX150" s="208"/>
      <c r="BY150" s="208"/>
      <c r="BZ150" s="382"/>
      <c r="CA150" s="382"/>
      <c r="CB150" s="382"/>
      <c r="CC150" s="382"/>
      <c r="CD150" s="382"/>
      <c r="CE150" s="382"/>
      <c r="CF150" s="382"/>
      <c r="CG150" s="382"/>
      <c r="CH150" s="382"/>
      <c r="CI150" s="382"/>
      <c r="CJ150" s="382"/>
      <c r="CK150" s="382"/>
      <c r="CL150" s="382"/>
      <c r="CM150" s="382"/>
      <c r="CN150" s="382"/>
      <c r="CO150" s="382"/>
      <c r="CP150" s="382"/>
      <c r="CQ150" s="382"/>
      <c r="CR150" s="382"/>
      <c r="CS150" s="382"/>
      <c r="CT150" s="382"/>
      <c r="CU150" s="382"/>
      <c r="CV150" s="382"/>
      <c r="CW150" s="769">
        <v>8</v>
      </c>
      <c r="CX150" s="382"/>
      <c r="CY150" s="382"/>
      <c r="CZ150" s="382"/>
      <c r="DA150" s="382"/>
      <c r="DB150" s="382"/>
      <c r="DC150" s="382"/>
      <c r="DD150" s="382"/>
      <c r="DE150" s="382"/>
      <c r="DF150" s="382"/>
      <c r="DG150" s="382"/>
      <c r="DH150" s="382"/>
      <c r="DI150" s="382"/>
      <c r="DJ150" s="382"/>
      <c r="DK150" s="382"/>
      <c r="DL150" s="382"/>
      <c r="DM150" s="382"/>
      <c r="DN150" s="382"/>
      <c r="DO150" s="382"/>
      <c r="DP150" s="208"/>
      <c r="DQ150" s="208"/>
      <c r="DR150" s="208"/>
      <c r="DS150" s="208"/>
      <c r="DT150" s="208"/>
      <c r="DU150" s="208"/>
      <c r="DV150" s="208"/>
      <c r="DW150" s="208"/>
      <c r="DX150" s="208"/>
      <c r="DY150" s="208"/>
      <c r="DZ150" s="227"/>
      <c r="EA150" s="186"/>
      <c r="EB150" s="186"/>
    </row>
    <row r="151" spans="2:132" s="176" customFormat="1" ht="14.25" hidden="1" customHeight="1" x14ac:dyDescent="0.2">
      <c r="B151" s="760">
        <f ca="1">B142+INT(C150/12)</f>
        <v>2019</v>
      </c>
      <c r="C151" s="760">
        <v>9</v>
      </c>
      <c r="D151" s="777">
        <f t="shared" si="11"/>
        <v>0</v>
      </c>
      <c r="E151" s="771">
        <f t="shared" si="36"/>
        <v>0</v>
      </c>
      <c r="F151" s="778">
        <f t="shared" si="12"/>
        <v>0</v>
      </c>
      <c r="G151" s="778">
        <f t="shared" si="13"/>
        <v>0</v>
      </c>
      <c r="H151" s="779">
        <f t="shared" si="14"/>
        <v>0</v>
      </c>
      <c r="I151" s="780">
        <f t="shared" si="15"/>
        <v>0</v>
      </c>
      <c r="J151" s="778">
        <f>IF(AND(L151&gt;0,L150=0),K133,0)</f>
        <v>0</v>
      </c>
      <c r="K151" s="779">
        <f t="shared" si="16"/>
        <v>0</v>
      </c>
      <c r="L151" s="780">
        <f t="shared" si="17"/>
        <v>0</v>
      </c>
      <c r="M151" s="778">
        <f>IF(AND(O151&gt;0,O150=0),N133,0)</f>
        <v>0</v>
      </c>
      <c r="N151" s="779">
        <f t="shared" si="18"/>
        <v>0</v>
      </c>
      <c r="O151" s="780">
        <f t="shared" si="19"/>
        <v>0</v>
      </c>
      <c r="P151" s="778">
        <f>IF(AND(S151&gt;0,S150=0),Q133,0)</f>
        <v>0</v>
      </c>
      <c r="Q151" s="781">
        <f t="shared" si="20"/>
        <v>0</v>
      </c>
      <c r="S151" s="782">
        <f t="shared" si="21"/>
        <v>0</v>
      </c>
      <c r="T151" s="778">
        <f>IF(AND(V151&gt;0,V150=0),U133,0)</f>
        <v>0</v>
      </c>
      <c r="U151" s="779">
        <f t="shared" si="22"/>
        <v>0</v>
      </c>
      <c r="V151" s="780">
        <f t="shared" si="23"/>
        <v>0</v>
      </c>
      <c r="W151" s="778">
        <f>IF(AND(Y151&gt;0,Y150=0),X133,0)</f>
        <v>0</v>
      </c>
      <c r="X151" s="779">
        <f t="shared" si="24"/>
        <v>0</v>
      </c>
      <c r="Y151" s="780">
        <f t="shared" si="25"/>
        <v>0</v>
      </c>
      <c r="Z151" s="778">
        <f>IF(AND(AB151&gt;0,AB150=0),AA133,0)</f>
        <v>0</v>
      </c>
      <c r="AA151" s="779">
        <f t="shared" si="26"/>
        <v>0</v>
      </c>
      <c r="AB151" s="780">
        <f t="shared" si="27"/>
        <v>0</v>
      </c>
      <c r="AC151" s="778">
        <f>IF(AND(AE151&gt;0,AE150=0),AD133,0)</f>
        <v>0</v>
      </c>
      <c r="AD151" s="779">
        <f t="shared" si="28"/>
        <v>0</v>
      </c>
      <c r="AE151" s="780">
        <f t="shared" si="29"/>
        <v>0</v>
      </c>
      <c r="AF151" s="778">
        <f>IF(AND(AH151&gt;0,AH150=0),AG133,0)</f>
        <v>0</v>
      </c>
      <c r="AG151" s="779">
        <f t="shared" si="30"/>
        <v>0</v>
      </c>
      <c r="AH151" s="780">
        <f t="shared" si="31"/>
        <v>0</v>
      </c>
      <c r="AI151" s="778">
        <f>IF(AND(AK151&gt;0,AK150=0),AJ133,0)</f>
        <v>0</v>
      </c>
      <c r="AJ151" s="779">
        <f t="shared" si="32"/>
        <v>0</v>
      </c>
      <c r="AK151" s="780">
        <f t="shared" si="33"/>
        <v>0</v>
      </c>
      <c r="AL151" s="778">
        <f t="shared" ca="1" si="34"/>
        <v>0</v>
      </c>
      <c r="AM151" s="783"/>
      <c r="AN151" s="780"/>
      <c r="AO151" s="778">
        <f t="shared" ca="1" si="35"/>
        <v>0</v>
      </c>
      <c r="AP151" s="783"/>
      <c r="AQ151" s="780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7"/>
      <c r="BV151" s="208"/>
      <c r="BW151" s="208"/>
      <c r="BX151" s="208"/>
      <c r="BY151" s="208"/>
      <c r="BZ151" s="382"/>
      <c r="CA151" s="382"/>
      <c r="CB151" s="382"/>
      <c r="CC151" s="382"/>
      <c r="CD151" s="382"/>
      <c r="CE151" s="382"/>
      <c r="CF151" s="382"/>
      <c r="CG151" s="382"/>
      <c r="CH151" s="382"/>
      <c r="CI151" s="382"/>
      <c r="CJ151" s="382"/>
      <c r="CK151" s="382"/>
      <c r="CL151" s="382"/>
      <c r="CM151" s="382"/>
      <c r="CN151" s="382"/>
      <c r="CO151" s="382"/>
      <c r="CP151" s="382"/>
      <c r="CQ151" s="382"/>
      <c r="CR151" s="382"/>
      <c r="CS151" s="382"/>
      <c r="CT151" s="382"/>
      <c r="CU151" s="382"/>
      <c r="CV151" s="382"/>
      <c r="CW151" s="769">
        <v>9</v>
      </c>
      <c r="CX151" s="382"/>
      <c r="CY151" s="382"/>
      <c r="CZ151" s="382"/>
      <c r="DA151" s="382"/>
      <c r="DB151" s="382"/>
      <c r="DC151" s="382"/>
      <c r="DD151" s="382"/>
      <c r="DE151" s="382"/>
      <c r="DF151" s="382"/>
      <c r="DG151" s="382"/>
      <c r="DH151" s="382"/>
      <c r="DI151" s="382"/>
      <c r="DJ151" s="382"/>
      <c r="DK151" s="382"/>
      <c r="DL151" s="382"/>
      <c r="DM151" s="382"/>
      <c r="DN151" s="382"/>
      <c r="DO151" s="382"/>
      <c r="DP151" s="208"/>
      <c r="DQ151" s="208"/>
      <c r="DR151" s="208"/>
      <c r="DS151" s="208"/>
      <c r="DT151" s="208"/>
      <c r="DU151" s="208"/>
      <c r="DV151" s="208"/>
      <c r="DW151" s="208"/>
      <c r="DX151" s="208"/>
      <c r="DY151" s="208"/>
      <c r="DZ151" s="227"/>
      <c r="EA151" s="186"/>
      <c r="EB151" s="186"/>
    </row>
    <row r="152" spans="2:132" s="176" customFormat="1" ht="14.25" hidden="1" customHeight="1" x14ac:dyDescent="0.2">
      <c r="B152" s="760">
        <f ca="1">B142+INT(C151/12)</f>
        <v>2019</v>
      </c>
      <c r="C152" s="760">
        <v>10</v>
      </c>
      <c r="D152" s="777">
        <f t="shared" si="11"/>
        <v>0</v>
      </c>
      <c r="E152" s="771">
        <f t="shared" si="36"/>
        <v>0</v>
      </c>
      <c r="F152" s="778">
        <f t="shared" si="12"/>
        <v>0</v>
      </c>
      <c r="G152" s="778">
        <f t="shared" si="13"/>
        <v>0</v>
      </c>
      <c r="H152" s="779">
        <f t="shared" si="14"/>
        <v>0</v>
      </c>
      <c r="I152" s="780">
        <f t="shared" si="15"/>
        <v>0</v>
      </c>
      <c r="J152" s="778">
        <f>IF(AND(L152&gt;0,L151=0),K133,0)</f>
        <v>0</v>
      </c>
      <c r="K152" s="779">
        <f t="shared" si="16"/>
        <v>0</v>
      </c>
      <c r="L152" s="780">
        <f t="shared" si="17"/>
        <v>0</v>
      </c>
      <c r="M152" s="778">
        <f>IF(AND(O152&gt;0,O151=0),N133,0)</f>
        <v>0</v>
      </c>
      <c r="N152" s="779">
        <f t="shared" si="18"/>
        <v>0</v>
      </c>
      <c r="O152" s="780">
        <f t="shared" si="19"/>
        <v>0</v>
      </c>
      <c r="P152" s="778">
        <f>IF(AND(S152&gt;0,S151=0),Q133,0)</f>
        <v>0</v>
      </c>
      <c r="Q152" s="781">
        <f t="shared" si="20"/>
        <v>0</v>
      </c>
      <c r="S152" s="782">
        <f t="shared" si="21"/>
        <v>0</v>
      </c>
      <c r="T152" s="778">
        <f>IF(AND(V152&gt;0,V151=0),U133,0)</f>
        <v>0</v>
      </c>
      <c r="U152" s="779">
        <f t="shared" si="22"/>
        <v>0</v>
      </c>
      <c r="V152" s="780">
        <f t="shared" si="23"/>
        <v>0</v>
      </c>
      <c r="W152" s="778">
        <f>IF(AND(Y152&gt;0,Y151=0),X133,0)</f>
        <v>0</v>
      </c>
      <c r="X152" s="779">
        <f t="shared" si="24"/>
        <v>0</v>
      </c>
      <c r="Y152" s="780">
        <f t="shared" si="25"/>
        <v>0</v>
      </c>
      <c r="Z152" s="778">
        <f>IF(AND(AB152&gt;0,AB151=0),AA133,0)</f>
        <v>0</v>
      </c>
      <c r="AA152" s="779">
        <f t="shared" si="26"/>
        <v>0</v>
      </c>
      <c r="AB152" s="780">
        <f t="shared" si="27"/>
        <v>0</v>
      </c>
      <c r="AC152" s="778">
        <f>IF(AND(AE152&gt;0,AE151=0),AD133,0)</f>
        <v>0</v>
      </c>
      <c r="AD152" s="779">
        <f t="shared" si="28"/>
        <v>0</v>
      </c>
      <c r="AE152" s="780">
        <f t="shared" si="29"/>
        <v>0</v>
      </c>
      <c r="AF152" s="778">
        <f>IF(AND(AH152&gt;0,AH151=0),AG133,0)</f>
        <v>0</v>
      </c>
      <c r="AG152" s="779">
        <f t="shared" si="30"/>
        <v>0</v>
      </c>
      <c r="AH152" s="780">
        <f t="shared" si="31"/>
        <v>0</v>
      </c>
      <c r="AI152" s="778">
        <f>IF(AND(AK152&gt;0,AK151=0),AJ133,0)</f>
        <v>0</v>
      </c>
      <c r="AJ152" s="779">
        <f t="shared" si="32"/>
        <v>0</v>
      </c>
      <c r="AK152" s="780">
        <f t="shared" si="33"/>
        <v>0</v>
      </c>
      <c r="AL152" s="778">
        <f t="shared" ca="1" si="34"/>
        <v>0</v>
      </c>
      <c r="AM152" s="783"/>
      <c r="AN152" s="780"/>
      <c r="AO152" s="778">
        <f t="shared" ca="1" si="35"/>
        <v>0</v>
      </c>
      <c r="AP152" s="783"/>
      <c r="AQ152" s="780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7"/>
      <c r="BV152" s="208"/>
      <c r="BW152" s="208"/>
      <c r="BX152" s="208"/>
      <c r="BY152" s="208"/>
      <c r="BZ152" s="382"/>
      <c r="CA152" s="382"/>
      <c r="CB152" s="382"/>
      <c r="CC152" s="382"/>
      <c r="CD152" s="382"/>
      <c r="CE152" s="382"/>
      <c r="CF152" s="382"/>
      <c r="CG152" s="382"/>
      <c r="CH152" s="382"/>
      <c r="CI152" s="382"/>
      <c r="CJ152" s="382"/>
      <c r="CK152" s="382"/>
      <c r="CL152" s="382"/>
      <c r="CM152" s="382"/>
      <c r="CN152" s="382"/>
      <c r="CO152" s="382"/>
      <c r="CP152" s="382"/>
      <c r="CQ152" s="382"/>
      <c r="CR152" s="382"/>
      <c r="CS152" s="382"/>
      <c r="CT152" s="382"/>
      <c r="CU152" s="382"/>
      <c r="CV152" s="382"/>
      <c r="CW152" s="769">
        <v>10</v>
      </c>
      <c r="CX152" s="382"/>
      <c r="CY152" s="382"/>
      <c r="CZ152" s="382"/>
      <c r="DA152" s="382"/>
      <c r="DB152" s="382"/>
      <c r="DC152" s="382"/>
      <c r="DD152" s="382"/>
      <c r="DE152" s="382"/>
      <c r="DF152" s="382"/>
      <c r="DG152" s="382"/>
      <c r="DH152" s="382"/>
      <c r="DI152" s="382"/>
      <c r="DJ152" s="382"/>
      <c r="DK152" s="382"/>
      <c r="DL152" s="382"/>
      <c r="DM152" s="382"/>
      <c r="DN152" s="382"/>
      <c r="DO152" s="382"/>
      <c r="DP152" s="208"/>
      <c r="DQ152" s="208"/>
      <c r="DR152" s="208"/>
      <c r="DS152" s="208"/>
      <c r="DT152" s="208"/>
      <c r="DU152" s="208"/>
      <c r="DV152" s="208"/>
      <c r="DW152" s="208"/>
      <c r="DX152" s="208"/>
      <c r="DY152" s="208"/>
      <c r="DZ152" s="227"/>
      <c r="EA152" s="186"/>
      <c r="EB152" s="186"/>
    </row>
    <row r="153" spans="2:132" s="176" customFormat="1" ht="14.25" hidden="1" customHeight="1" x14ac:dyDescent="0.2">
      <c r="B153" s="760">
        <f ca="1">B142+INT(C152/12)</f>
        <v>2019</v>
      </c>
      <c r="C153" s="760">
        <v>11</v>
      </c>
      <c r="D153" s="777">
        <f t="shared" si="11"/>
        <v>0</v>
      </c>
      <c r="E153" s="771">
        <f t="shared" si="36"/>
        <v>0</v>
      </c>
      <c r="F153" s="778">
        <f t="shared" si="12"/>
        <v>0</v>
      </c>
      <c r="G153" s="778">
        <f t="shared" si="13"/>
        <v>0</v>
      </c>
      <c r="H153" s="779">
        <f t="shared" si="14"/>
        <v>0</v>
      </c>
      <c r="I153" s="780">
        <f t="shared" si="15"/>
        <v>0</v>
      </c>
      <c r="J153" s="778">
        <f>IF(AND(L153&gt;0,L152=0),K133,0)</f>
        <v>0</v>
      </c>
      <c r="K153" s="779">
        <f t="shared" si="16"/>
        <v>0</v>
      </c>
      <c r="L153" s="780">
        <f t="shared" si="17"/>
        <v>0</v>
      </c>
      <c r="M153" s="778">
        <f>IF(AND(O153&gt;0,O152=0),N133,0)</f>
        <v>0</v>
      </c>
      <c r="N153" s="779">
        <f t="shared" si="18"/>
        <v>0</v>
      </c>
      <c r="O153" s="780">
        <f t="shared" si="19"/>
        <v>0</v>
      </c>
      <c r="P153" s="778">
        <f>IF(AND(S153&gt;0,S152=0),Q133,0)</f>
        <v>0</v>
      </c>
      <c r="Q153" s="781">
        <f t="shared" si="20"/>
        <v>0</v>
      </c>
      <c r="S153" s="782">
        <f t="shared" si="21"/>
        <v>0</v>
      </c>
      <c r="T153" s="778">
        <f>IF(AND(V153&gt;0,V152=0),U133,0)</f>
        <v>0</v>
      </c>
      <c r="U153" s="779">
        <f t="shared" si="22"/>
        <v>0</v>
      </c>
      <c r="V153" s="780">
        <f t="shared" si="23"/>
        <v>0</v>
      </c>
      <c r="W153" s="778">
        <f>IF(AND(Y153&gt;0,Y152=0),X133,0)</f>
        <v>0</v>
      </c>
      <c r="X153" s="779">
        <f t="shared" si="24"/>
        <v>0</v>
      </c>
      <c r="Y153" s="780">
        <f t="shared" si="25"/>
        <v>0</v>
      </c>
      <c r="Z153" s="778">
        <f>IF(AND(AB153&gt;0,AB152=0),AA133,0)</f>
        <v>0</v>
      </c>
      <c r="AA153" s="779">
        <f t="shared" si="26"/>
        <v>0</v>
      </c>
      <c r="AB153" s="780">
        <f t="shared" si="27"/>
        <v>0</v>
      </c>
      <c r="AC153" s="778">
        <f>IF(AND(AE153&gt;0,AE152=0),AD133,0)</f>
        <v>0</v>
      </c>
      <c r="AD153" s="779">
        <f t="shared" si="28"/>
        <v>0</v>
      </c>
      <c r="AE153" s="780">
        <f t="shared" si="29"/>
        <v>0</v>
      </c>
      <c r="AF153" s="778">
        <f>IF(AND(AH153&gt;0,AH152=0),AG133,0)</f>
        <v>0</v>
      </c>
      <c r="AG153" s="779">
        <f t="shared" si="30"/>
        <v>0</v>
      </c>
      <c r="AH153" s="780">
        <f t="shared" si="31"/>
        <v>0</v>
      </c>
      <c r="AI153" s="778">
        <f>IF(AND(AK153&gt;0,AK152=0),AJ133,0)</f>
        <v>0</v>
      </c>
      <c r="AJ153" s="779">
        <f t="shared" si="32"/>
        <v>0</v>
      </c>
      <c r="AK153" s="780">
        <f t="shared" si="33"/>
        <v>0</v>
      </c>
      <c r="AL153" s="778">
        <f t="shared" ca="1" si="34"/>
        <v>0</v>
      </c>
      <c r="AM153" s="783"/>
      <c r="AN153" s="780"/>
      <c r="AO153" s="778">
        <f t="shared" ca="1" si="35"/>
        <v>0</v>
      </c>
      <c r="AP153" s="783"/>
      <c r="AQ153" s="780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7"/>
      <c r="BV153" s="208"/>
      <c r="BW153" s="208"/>
      <c r="BX153" s="208"/>
      <c r="BY153" s="208"/>
      <c r="BZ153" s="382"/>
      <c r="CA153" s="382"/>
      <c r="CB153" s="382"/>
      <c r="CC153" s="382"/>
      <c r="CD153" s="382"/>
      <c r="CE153" s="382"/>
      <c r="CF153" s="382"/>
      <c r="CG153" s="382"/>
      <c r="CH153" s="382"/>
      <c r="CI153" s="382"/>
      <c r="CJ153" s="382"/>
      <c r="CK153" s="382"/>
      <c r="CL153" s="382"/>
      <c r="CM153" s="382"/>
      <c r="CN153" s="382"/>
      <c r="CO153" s="382"/>
      <c r="CP153" s="382"/>
      <c r="CQ153" s="382"/>
      <c r="CR153" s="382"/>
      <c r="CS153" s="382"/>
      <c r="CT153" s="382"/>
      <c r="CU153" s="382"/>
      <c r="CV153" s="382"/>
      <c r="CW153" s="769">
        <v>11</v>
      </c>
      <c r="CX153" s="382"/>
      <c r="CY153" s="382"/>
      <c r="CZ153" s="382"/>
      <c r="DA153" s="382"/>
      <c r="DB153" s="382"/>
      <c r="DC153" s="382"/>
      <c r="DD153" s="382"/>
      <c r="DE153" s="382"/>
      <c r="DF153" s="382"/>
      <c r="DG153" s="382"/>
      <c r="DH153" s="382"/>
      <c r="DI153" s="382"/>
      <c r="DJ153" s="382"/>
      <c r="DK153" s="382"/>
      <c r="DL153" s="382"/>
      <c r="DM153" s="382"/>
      <c r="DN153" s="382"/>
      <c r="DO153" s="382"/>
      <c r="DP153" s="208"/>
      <c r="DQ153" s="208"/>
      <c r="DR153" s="208"/>
      <c r="DS153" s="208"/>
      <c r="DT153" s="208"/>
      <c r="DU153" s="208"/>
      <c r="DV153" s="208"/>
      <c r="DW153" s="208"/>
      <c r="DX153" s="208"/>
      <c r="DY153" s="208"/>
      <c r="DZ153" s="227"/>
      <c r="EA153" s="186"/>
      <c r="EB153" s="186"/>
    </row>
    <row r="154" spans="2:132" s="176" customFormat="1" ht="14.25" hidden="1" customHeight="1" x14ac:dyDescent="0.2">
      <c r="B154" s="761">
        <f ca="1">B142+INT(C153/12)</f>
        <v>2019</v>
      </c>
      <c r="C154" s="761">
        <v>12</v>
      </c>
      <c r="D154" s="784">
        <f t="shared" si="11"/>
        <v>0</v>
      </c>
      <c r="E154" s="771">
        <f t="shared" si="36"/>
        <v>0</v>
      </c>
      <c r="F154" s="785">
        <f t="shared" si="12"/>
        <v>0</v>
      </c>
      <c r="G154" s="785">
        <f t="shared" si="13"/>
        <v>0</v>
      </c>
      <c r="H154" s="786">
        <f t="shared" si="14"/>
        <v>0</v>
      </c>
      <c r="I154" s="787">
        <f t="shared" si="15"/>
        <v>0</v>
      </c>
      <c r="J154" s="785">
        <f>IF(AND(L154&gt;0,L153=0),K133,0)</f>
        <v>0</v>
      </c>
      <c r="K154" s="786">
        <f t="shared" si="16"/>
        <v>0</v>
      </c>
      <c r="L154" s="787">
        <f t="shared" si="17"/>
        <v>0</v>
      </c>
      <c r="M154" s="785">
        <f>IF(AND(O154&gt;0,O153=0),N133,0)</f>
        <v>0</v>
      </c>
      <c r="N154" s="786">
        <f t="shared" si="18"/>
        <v>0</v>
      </c>
      <c r="O154" s="787">
        <f t="shared" si="19"/>
        <v>0</v>
      </c>
      <c r="P154" s="785">
        <f>IF(AND(S154&gt;0,S153=0),Q133,0)</f>
        <v>0</v>
      </c>
      <c r="Q154" s="788">
        <f t="shared" si="20"/>
        <v>0</v>
      </c>
      <c r="S154" s="789">
        <f t="shared" si="21"/>
        <v>0</v>
      </c>
      <c r="T154" s="785">
        <f>IF(AND(V154&gt;0,V153=0),U133,0)</f>
        <v>0</v>
      </c>
      <c r="U154" s="786">
        <f t="shared" si="22"/>
        <v>0</v>
      </c>
      <c r="V154" s="787">
        <f t="shared" si="23"/>
        <v>0</v>
      </c>
      <c r="W154" s="785">
        <f>IF(AND(Y154&gt;0,Y153=0),X133,0)</f>
        <v>0</v>
      </c>
      <c r="X154" s="786">
        <f t="shared" si="24"/>
        <v>0</v>
      </c>
      <c r="Y154" s="787">
        <f t="shared" si="25"/>
        <v>0</v>
      </c>
      <c r="Z154" s="785">
        <f>IF(AND(AB154&gt;0,AB153=0),AA133,0)</f>
        <v>0</v>
      </c>
      <c r="AA154" s="786">
        <f t="shared" si="26"/>
        <v>0</v>
      </c>
      <c r="AB154" s="787">
        <f t="shared" si="27"/>
        <v>0</v>
      </c>
      <c r="AC154" s="785">
        <f>IF(AND(AE154&gt;0,AE153=0),AD133,0)</f>
        <v>0</v>
      </c>
      <c r="AD154" s="786">
        <f t="shared" si="28"/>
        <v>0</v>
      </c>
      <c r="AE154" s="787">
        <f t="shared" si="29"/>
        <v>0</v>
      </c>
      <c r="AF154" s="785">
        <f>IF(AND(AH154&gt;0,AH153=0),AG133,0)</f>
        <v>0</v>
      </c>
      <c r="AG154" s="786">
        <f t="shared" si="30"/>
        <v>0</v>
      </c>
      <c r="AH154" s="787">
        <f t="shared" si="31"/>
        <v>0</v>
      </c>
      <c r="AI154" s="785">
        <f>IF(AND(AK154&gt;0,AK153=0),AJ133,0)</f>
        <v>0</v>
      </c>
      <c r="AJ154" s="786">
        <f t="shared" si="32"/>
        <v>0</v>
      </c>
      <c r="AK154" s="787">
        <f t="shared" si="33"/>
        <v>0</v>
      </c>
      <c r="AL154" s="785">
        <f t="shared" ca="1" si="34"/>
        <v>0</v>
      </c>
      <c r="AM154" s="783"/>
      <c r="AN154" s="780"/>
      <c r="AO154" s="785">
        <f t="shared" ca="1" si="35"/>
        <v>0</v>
      </c>
      <c r="AP154" s="783"/>
      <c r="AQ154" s="780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7"/>
      <c r="BV154" s="208"/>
      <c r="BW154" s="208"/>
      <c r="BX154" s="208"/>
      <c r="BY154" s="208"/>
      <c r="BZ154" s="382"/>
      <c r="CA154" s="382"/>
      <c r="CB154" s="382"/>
      <c r="CC154" s="382"/>
      <c r="CD154" s="382"/>
      <c r="CE154" s="382"/>
      <c r="CF154" s="382"/>
      <c r="CG154" s="382"/>
      <c r="CH154" s="382"/>
      <c r="CI154" s="382"/>
      <c r="CJ154" s="382"/>
      <c r="CK154" s="382"/>
      <c r="CL154" s="382"/>
      <c r="CM154" s="382"/>
      <c r="CN154" s="382"/>
      <c r="CO154" s="382"/>
      <c r="CP154" s="382"/>
      <c r="CQ154" s="382"/>
      <c r="CR154" s="382"/>
      <c r="CS154" s="382"/>
      <c r="CT154" s="382"/>
      <c r="CU154" s="382"/>
      <c r="CV154" s="382"/>
      <c r="CW154" s="769">
        <v>12</v>
      </c>
      <c r="CX154" s="382"/>
      <c r="CY154" s="382"/>
      <c r="CZ154" s="382"/>
      <c r="DA154" s="382"/>
      <c r="DB154" s="382"/>
      <c r="DC154" s="382"/>
      <c r="DD154" s="382"/>
      <c r="DE154" s="382"/>
      <c r="DF154" s="382"/>
      <c r="DG154" s="382"/>
      <c r="DH154" s="382"/>
      <c r="DI154" s="382"/>
      <c r="DJ154" s="382"/>
      <c r="DK154" s="382"/>
      <c r="DL154" s="382"/>
      <c r="DM154" s="382"/>
      <c r="DN154" s="382"/>
      <c r="DO154" s="382"/>
      <c r="DP154" s="208"/>
      <c r="DQ154" s="208"/>
      <c r="DR154" s="208"/>
      <c r="DS154" s="208"/>
      <c r="DT154" s="208"/>
      <c r="DU154" s="208"/>
      <c r="DV154" s="208"/>
      <c r="DW154" s="208"/>
      <c r="DX154" s="208"/>
      <c r="DY154" s="208"/>
      <c r="DZ154" s="227"/>
      <c r="EA154" s="186"/>
      <c r="EB154" s="186"/>
    </row>
    <row r="155" spans="2:132" s="176" customFormat="1" ht="14.25" hidden="1" customHeight="1" x14ac:dyDescent="0.2">
      <c r="B155" s="790">
        <f ca="1">B142+INT(C154/12)</f>
        <v>2020</v>
      </c>
      <c r="C155" s="790">
        <v>13</v>
      </c>
      <c r="D155" s="770">
        <f t="shared" si="11"/>
        <v>0</v>
      </c>
      <c r="E155" s="771">
        <f t="shared" si="36"/>
        <v>0</v>
      </c>
      <c r="F155" s="771">
        <f t="shared" si="12"/>
        <v>0</v>
      </c>
      <c r="G155" s="771">
        <f t="shared" si="13"/>
        <v>0</v>
      </c>
      <c r="H155" s="772">
        <f t="shared" si="14"/>
        <v>0</v>
      </c>
      <c r="I155" s="773">
        <f t="shared" si="15"/>
        <v>0</v>
      </c>
      <c r="J155" s="771">
        <f>IF(AND(L155&gt;0,L154=0),K133,0)</f>
        <v>0</v>
      </c>
      <c r="K155" s="772">
        <f t="shared" si="16"/>
        <v>0</v>
      </c>
      <c r="L155" s="773">
        <f t="shared" si="17"/>
        <v>0</v>
      </c>
      <c r="M155" s="771">
        <f>IF(AND(O155&gt;0,O154=0),N133,0)</f>
        <v>0</v>
      </c>
      <c r="N155" s="772">
        <f t="shared" si="18"/>
        <v>0</v>
      </c>
      <c r="O155" s="773">
        <f t="shared" si="19"/>
        <v>0</v>
      </c>
      <c r="P155" s="771">
        <f>IF(AND(S155&gt;0,S154=0),Q133,0)</f>
        <v>0</v>
      </c>
      <c r="Q155" s="774">
        <f t="shared" si="20"/>
        <v>0</v>
      </c>
      <c r="S155" s="775">
        <f t="shared" si="21"/>
        <v>0</v>
      </c>
      <c r="T155" s="771">
        <f>IF(AND(V155&gt;0,V154=0),U133,0)</f>
        <v>0</v>
      </c>
      <c r="U155" s="772">
        <f t="shared" si="22"/>
        <v>0</v>
      </c>
      <c r="V155" s="773">
        <f t="shared" si="23"/>
        <v>0</v>
      </c>
      <c r="W155" s="771">
        <f>IF(AND(Y155&gt;0,Y154=0),X133,0)</f>
        <v>0</v>
      </c>
      <c r="X155" s="772">
        <f t="shared" si="24"/>
        <v>0</v>
      </c>
      <c r="Y155" s="773">
        <f t="shared" si="25"/>
        <v>0</v>
      </c>
      <c r="Z155" s="771">
        <f>IF(AND(AB155&gt;0,AB154=0),AA133,0)</f>
        <v>0</v>
      </c>
      <c r="AA155" s="772">
        <f t="shared" si="26"/>
        <v>0</v>
      </c>
      <c r="AB155" s="773">
        <f t="shared" si="27"/>
        <v>0</v>
      </c>
      <c r="AC155" s="771">
        <f>IF(AND(AE155&gt;0,AE154=0),AD133,0)</f>
        <v>0</v>
      </c>
      <c r="AD155" s="772">
        <f t="shared" si="28"/>
        <v>0</v>
      </c>
      <c r="AE155" s="773">
        <f t="shared" si="29"/>
        <v>0</v>
      </c>
      <c r="AF155" s="771">
        <f>IF(AND(AH155&gt;0,AH154=0),AG133,0)</f>
        <v>0</v>
      </c>
      <c r="AG155" s="772">
        <f t="shared" si="30"/>
        <v>0</v>
      </c>
      <c r="AH155" s="773">
        <f t="shared" si="31"/>
        <v>0</v>
      </c>
      <c r="AI155" s="771">
        <f>IF(AND(AK155&gt;0,AK154=0),AJ133,0)</f>
        <v>0</v>
      </c>
      <c r="AJ155" s="772">
        <f t="shared" si="32"/>
        <v>0</v>
      </c>
      <c r="AK155" s="773">
        <f t="shared" si="33"/>
        <v>0</v>
      </c>
      <c r="AL155" s="771">
        <f t="shared" ca="1" si="34"/>
        <v>0</v>
      </c>
      <c r="AM155" s="783"/>
      <c r="AN155" s="780"/>
      <c r="AO155" s="771">
        <f t="shared" ca="1" si="35"/>
        <v>0</v>
      </c>
      <c r="AP155" s="783"/>
      <c r="AQ155" s="780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7"/>
      <c r="BV155" s="208"/>
      <c r="BW155" s="208"/>
      <c r="BX155" s="208"/>
      <c r="BY155" s="208"/>
      <c r="BZ155" s="382"/>
      <c r="CA155" s="382"/>
      <c r="CB155" s="382"/>
      <c r="CC155" s="382"/>
      <c r="CD155" s="382"/>
      <c r="CE155" s="382"/>
      <c r="CF155" s="382"/>
      <c r="CG155" s="382"/>
      <c r="CH155" s="382"/>
      <c r="CI155" s="382"/>
      <c r="CJ155" s="382"/>
      <c r="CK155" s="382"/>
      <c r="CL155" s="382"/>
      <c r="CM155" s="382"/>
      <c r="CN155" s="382"/>
      <c r="CO155" s="382"/>
      <c r="CP155" s="382"/>
      <c r="CQ155" s="382"/>
      <c r="CR155" s="382"/>
      <c r="CS155" s="382"/>
      <c r="CT155" s="382"/>
      <c r="CU155" s="382"/>
      <c r="CV155" s="382"/>
      <c r="CW155" s="769">
        <v>13</v>
      </c>
      <c r="CX155" s="382"/>
      <c r="CY155" s="382"/>
      <c r="CZ155" s="382"/>
      <c r="DA155" s="382"/>
      <c r="DB155" s="382"/>
      <c r="DC155" s="382"/>
      <c r="DD155" s="382"/>
      <c r="DE155" s="382"/>
      <c r="DF155" s="382"/>
      <c r="DG155" s="382"/>
      <c r="DH155" s="382"/>
      <c r="DI155" s="382"/>
      <c r="DJ155" s="382"/>
      <c r="DK155" s="382"/>
      <c r="DL155" s="382"/>
      <c r="DM155" s="382"/>
      <c r="DN155" s="382"/>
      <c r="DO155" s="382"/>
      <c r="DP155" s="208"/>
      <c r="DQ155" s="208"/>
      <c r="DR155" s="208"/>
      <c r="DS155" s="208"/>
      <c r="DT155" s="208"/>
      <c r="DU155" s="208"/>
      <c r="DV155" s="208"/>
      <c r="DW155" s="208"/>
      <c r="DX155" s="208"/>
      <c r="DY155" s="208"/>
      <c r="DZ155" s="227"/>
      <c r="EA155" s="186"/>
      <c r="EB155" s="186"/>
    </row>
    <row r="156" spans="2:132" s="176" customFormat="1" ht="14.25" hidden="1" customHeight="1" x14ac:dyDescent="0.2">
      <c r="B156" s="760">
        <f ca="1">B142+INT(C155/12)</f>
        <v>2020</v>
      </c>
      <c r="C156" s="760">
        <v>14</v>
      </c>
      <c r="D156" s="777">
        <f t="shared" si="11"/>
        <v>0</v>
      </c>
      <c r="E156" s="771">
        <f t="shared" si="36"/>
        <v>0</v>
      </c>
      <c r="F156" s="778">
        <f t="shared" si="12"/>
        <v>0</v>
      </c>
      <c r="G156" s="778">
        <f t="shared" si="13"/>
        <v>0</v>
      </c>
      <c r="H156" s="779">
        <f t="shared" si="14"/>
        <v>0</v>
      </c>
      <c r="I156" s="780">
        <f t="shared" si="15"/>
        <v>0</v>
      </c>
      <c r="J156" s="778">
        <f>IF(AND(L156&gt;0,L155=0),K133,0)</f>
        <v>0</v>
      </c>
      <c r="K156" s="779">
        <f t="shared" si="16"/>
        <v>0</v>
      </c>
      <c r="L156" s="780">
        <f t="shared" si="17"/>
        <v>0</v>
      </c>
      <c r="M156" s="778">
        <f>IF(AND(O156&gt;0,O155=0),N133,0)</f>
        <v>0</v>
      </c>
      <c r="N156" s="779">
        <f t="shared" si="18"/>
        <v>0</v>
      </c>
      <c r="O156" s="780">
        <f t="shared" si="19"/>
        <v>0</v>
      </c>
      <c r="P156" s="778">
        <f>IF(AND(S156&gt;0,S155=0),Q133,0)</f>
        <v>0</v>
      </c>
      <c r="Q156" s="781">
        <f t="shared" si="20"/>
        <v>0</v>
      </c>
      <c r="S156" s="782">
        <f t="shared" si="21"/>
        <v>0</v>
      </c>
      <c r="T156" s="778">
        <f>IF(AND(V156&gt;0,V155=0),U133,0)</f>
        <v>0</v>
      </c>
      <c r="U156" s="779">
        <f t="shared" si="22"/>
        <v>0</v>
      </c>
      <c r="V156" s="780">
        <f t="shared" si="23"/>
        <v>0</v>
      </c>
      <c r="W156" s="778">
        <f>IF(AND(Y156&gt;0,Y155=0),X133,0)</f>
        <v>0</v>
      </c>
      <c r="X156" s="779">
        <f t="shared" si="24"/>
        <v>0</v>
      </c>
      <c r="Y156" s="780">
        <f t="shared" si="25"/>
        <v>0</v>
      </c>
      <c r="Z156" s="778">
        <f>IF(AND(AB156&gt;0,AB155=0),AA133,0)</f>
        <v>0</v>
      </c>
      <c r="AA156" s="779">
        <f t="shared" si="26"/>
        <v>0</v>
      </c>
      <c r="AB156" s="780">
        <f t="shared" si="27"/>
        <v>0</v>
      </c>
      <c r="AC156" s="778">
        <f>IF(AND(AE156&gt;0,AE155=0),AD133,0)</f>
        <v>0</v>
      </c>
      <c r="AD156" s="779">
        <f t="shared" si="28"/>
        <v>0</v>
      </c>
      <c r="AE156" s="780">
        <f t="shared" si="29"/>
        <v>0</v>
      </c>
      <c r="AF156" s="778">
        <f>IF(AND(AH156&gt;0,AH155=0),AG133,0)</f>
        <v>0</v>
      </c>
      <c r="AG156" s="779">
        <f t="shared" si="30"/>
        <v>0</v>
      </c>
      <c r="AH156" s="780">
        <f t="shared" si="31"/>
        <v>0</v>
      </c>
      <c r="AI156" s="778">
        <f>IF(AND(AK156&gt;0,AK155=0),AJ133,0)</f>
        <v>0</v>
      </c>
      <c r="AJ156" s="779">
        <f t="shared" si="32"/>
        <v>0</v>
      </c>
      <c r="AK156" s="780">
        <f t="shared" si="33"/>
        <v>0</v>
      </c>
      <c r="AL156" s="778">
        <f t="shared" ca="1" si="34"/>
        <v>0</v>
      </c>
      <c r="AM156" s="783"/>
      <c r="AN156" s="780"/>
      <c r="AO156" s="778">
        <f t="shared" ca="1" si="35"/>
        <v>0</v>
      </c>
      <c r="AP156" s="783"/>
      <c r="AQ156" s="780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7"/>
      <c r="BV156" s="208"/>
      <c r="BW156" s="208"/>
      <c r="BX156" s="208"/>
      <c r="BY156" s="208"/>
      <c r="BZ156" s="382"/>
      <c r="CA156" s="382"/>
      <c r="CB156" s="382"/>
      <c r="CC156" s="382"/>
      <c r="CD156" s="382"/>
      <c r="CE156" s="382"/>
      <c r="CF156" s="382"/>
      <c r="CG156" s="382"/>
      <c r="CH156" s="382"/>
      <c r="CI156" s="382"/>
      <c r="CJ156" s="382"/>
      <c r="CK156" s="382"/>
      <c r="CL156" s="382"/>
      <c r="CM156" s="382"/>
      <c r="CN156" s="382"/>
      <c r="CO156" s="382"/>
      <c r="CP156" s="382"/>
      <c r="CQ156" s="382"/>
      <c r="CR156" s="382"/>
      <c r="CS156" s="382"/>
      <c r="CT156" s="382"/>
      <c r="CU156" s="382"/>
      <c r="CV156" s="382"/>
      <c r="CW156" s="769">
        <v>14</v>
      </c>
      <c r="CX156" s="382"/>
      <c r="CY156" s="382"/>
      <c r="CZ156" s="382"/>
      <c r="DA156" s="382"/>
      <c r="DB156" s="382"/>
      <c r="DC156" s="382"/>
      <c r="DD156" s="382"/>
      <c r="DE156" s="382"/>
      <c r="DF156" s="382"/>
      <c r="DG156" s="382"/>
      <c r="DH156" s="382"/>
      <c r="DI156" s="382"/>
      <c r="DJ156" s="382"/>
      <c r="DK156" s="382"/>
      <c r="DL156" s="382"/>
      <c r="DM156" s="382"/>
      <c r="DN156" s="382"/>
      <c r="DO156" s="382"/>
      <c r="DP156" s="208"/>
      <c r="DQ156" s="208"/>
      <c r="DR156" s="208"/>
      <c r="DS156" s="208"/>
      <c r="DT156" s="208"/>
      <c r="DU156" s="208"/>
      <c r="DV156" s="208"/>
      <c r="DW156" s="208"/>
      <c r="DX156" s="208"/>
      <c r="DY156" s="208"/>
      <c r="DZ156" s="227"/>
      <c r="EA156" s="186"/>
      <c r="EB156" s="186"/>
    </row>
    <row r="157" spans="2:132" s="176" customFormat="1" ht="14.25" hidden="1" customHeight="1" x14ac:dyDescent="0.2">
      <c r="B157" s="760">
        <f ca="1">B142+INT(C156/12)</f>
        <v>2020</v>
      </c>
      <c r="C157" s="760">
        <v>15</v>
      </c>
      <c r="D157" s="777">
        <f t="shared" si="11"/>
        <v>0</v>
      </c>
      <c r="E157" s="771">
        <f t="shared" si="36"/>
        <v>0</v>
      </c>
      <c r="F157" s="778">
        <f t="shared" si="12"/>
        <v>0</v>
      </c>
      <c r="G157" s="778">
        <f t="shared" si="13"/>
        <v>0</v>
      </c>
      <c r="H157" s="779">
        <f t="shared" si="14"/>
        <v>0</v>
      </c>
      <c r="I157" s="780">
        <f t="shared" si="15"/>
        <v>0</v>
      </c>
      <c r="J157" s="778">
        <f>IF(AND(L157&gt;0,L156=0),K133,0)</f>
        <v>0</v>
      </c>
      <c r="K157" s="779">
        <f t="shared" si="16"/>
        <v>0</v>
      </c>
      <c r="L157" s="780">
        <f t="shared" si="17"/>
        <v>0</v>
      </c>
      <c r="M157" s="778">
        <f>IF(AND(O157&gt;0,O156=0),N133,0)</f>
        <v>0</v>
      </c>
      <c r="N157" s="779">
        <f t="shared" si="18"/>
        <v>0</v>
      </c>
      <c r="O157" s="780">
        <f t="shared" si="19"/>
        <v>0</v>
      </c>
      <c r="P157" s="778">
        <f>IF(AND(S157&gt;0,S156=0),Q133,0)</f>
        <v>0</v>
      </c>
      <c r="Q157" s="781">
        <f t="shared" si="20"/>
        <v>0</v>
      </c>
      <c r="S157" s="782">
        <f t="shared" si="21"/>
        <v>0</v>
      </c>
      <c r="T157" s="778">
        <f>IF(AND(V157&gt;0,V156=0),U133,0)</f>
        <v>0</v>
      </c>
      <c r="U157" s="779">
        <f t="shared" si="22"/>
        <v>0</v>
      </c>
      <c r="V157" s="780">
        <f t="shared" si="23"/>
        <v>0</v>
      </c>
      <c r="W157" s="778">
        <f>IF(AND(Y157&gt;0,Y156=0),X133,0)</f>
        <v>0</v>
      </c>
      <c r="X157" s="779">
        <f t="shared" si="24"/>
        <v>0</v>
      </c>
      <c r="Y157" s="780">
        <f t="shared" si="25"/>
        <v>0</v>
      </c>
      <c r="Z157" s="778">
        <f>IF(AND(AB157&gt;0,AB156=0),AA133,0)</f>
        <v>0</v>
      </c>
      <c r="AA157" s="779">
        <f t="shared" si="26"/>
        <v>0</v>
      </c>
      <c r="AB157" s="780">
        <f t="shared" si="27"/>
        <v>0</v>
      </c>
      <c r="AC157" s="778">
        <f>IF(AND(AE157&gt;0,AE156=0),AD133,0)</f>
        <v>0</v>
      </c>
      <c r="AD157" s="779">
        <f t="shared" si="28"/>
        <v>0</v>
      </c>
      <c r="AE157" s="780">
        <f t="shared" si="29"/>
        <v>0</v>
      </c>
      <c r="AF157" s="778">
        <f>IF(AND(AH157&gt;0,AH156=0),AG133,0)</f>
        <v>0</v>
      </c>
      <c r="AG157" s="779">
        <f t="shared" si="30"/>
        <v>0</v>
      </c>
      <c r="AH157" s="780">
        <f t="shared" si="31"/>
        <v>0</v>
      </c>
      <c r="AI157" s="778">
        <f>IF(AND(AK157&gt;0,AK156=0),AJ133,0)</f>
        <v>0</v>
      </c>
      <c r="AJ157" s="779">
        <f t="shared" si="32"/>
        <v>0</v>
      </c>
      <c r="AK157" s="780">
        <f t="shared" si="33"/>
        <v>0</v>
      </c>
      <c r="AL157" s="778">
        <f t="shared" ca="1" si="34"/>
        <v>0</v>
      </c>
      <c r="AM157" s="783"/>
      <c r="AN157" s="780"/>
      <c r="AO157" s="778">
        <f t="shared" ca="1" si="35"/>
        <v>0</v>
      </c>
      <c r="AP157" s="783"/>
      <c r="AQ157" s="780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7"/>
      <c r="BV157" s="208"/>
      <c r="BW157" s="208"/>
      <c r="BX157" s="208"/>
      <c r="BY157" s="208"/>
      <c r="BZ157" s="382"/>
      <c r="CA157" s="382"/>
      <c r="CB157" s="382"/>
      <c r="CC157" s="382"/>
      <c r="CD157" s="382"/>
      <c r="CE157" s="382"/>
      <c r="CF157" s="382"/>
      <c r="CG157" s="382"/>
      <c r="CH157" s="382"/>
      <c r="CI157" s="382"/>
      <c r="CJ157" s="382"/>
      <c r="CK157" s="382"/>
      <c r="CL157" s="382"/>
      <c r="CM157" s="382"/>
      <c r="CN157" s="382"/>
      <c r="CO157" s="382"/>
      <c r="CP157" s="382"/>
      <c r="CQ157" s="382"/>
      <c r="CR157" s="382"/>
      <c r="CS157" s="382"/>
      <c r="CT157" s="382"/>
      <c r="CU157" s="382"/>
      <c r="CV157" s="382"/>
      <c r="CW157" s="769">
        <v>15</v>
      </c>
      <c r="CX157" s="382"/>
      <c r="CY157" s="382"/>
      <c r="CZ157" s="382"/>
      <c r="DA157" s="382"/>
      <c r="DB157" s="382"/>
      <c r="DC157" s="382"/>
      <c r="DD157" s="382"/>
      <c r="DE157" s="382"/>
      <c r="DF157" s="382"/>
      <c r="DG157" s="382"/>
      <c r="DH157" s="382"/>
      <c r="DI157" s="382"/>
      <c r="DJ157" s="382"/>
      <c r="DK157" s="382"/>
      <c r="DL157" s="382"/>
      <c r="DM157" s="382"/>
      <c r="DN157" s="382"/>
      <c r="DO157" s="382"/>
      <c r="DP157" s="208"/>
      <c r="DQ157" s="208"/>
      <c r="DR157" s="208"/>
      <c r="DS157" s="208"/>
      <c r="DT157" s="208"/>
      <c r="DU157" s="208"/>
      <c r="DV157" s="208"/>
      <c r="DW157" s="208"/>
      <c r="DX157" s="208"/>
      <c r="DY157" s="208"/>
      <c r="DZ157" s="227"/>
      <c r="EA157" s="186"/>
      <c r="EB157" s="186"/>
    </row>
    <row r="158" spans="2:132" s="176" customFormat="1" ht="14.25" hidden="1" customHeight="1" x14ac:dyDescent="0.2">
      <c r="B158" s="760">
        <f ca="1">B142+INT(C157/12)</f>
        <v>2020</v>
      </c>
      <c r="C158" s="760">
        <v>16</v>
      </c>
      <c r="D158" s="777">
        <f t="shared" si="11"/>
        <v>0</v>
      </c>
      <c r="E158" s="771">
        <f t="shared" si="36"/>
        <v>0</v>
      </c>
      <c r="F158" s="778">
        <f t="shared" si="12"/>
        <v>0</v>
      </c>
      <c r="G158" s="778">
        <f t="shared" si="13"/>
        <v>0</v>
      </c>
      <c r="H158" s="779">
        <f t="shared" si="14"/>
        <v>0</v>
      </c>
      <c r="I158" s="780">
        <f t="shared" si="15"/>
        <v>0</v>
      </c>
      <c r="J158" s="778">
        <f>IF(AND(L158&gt;0,L157=0),K133,0)</f>
        <v>0</v>
      </c>
      <c r="K158" s="779">
        <f t="shared" si="16"/>
        <v>0</v>
      </c>
      <c r="L158" s="780">
        <f t="shared" si="17"/>
        <v>0</v>
      </c>
      <c r="M158" s="778">
        <f>IF(AND(O158&gt;0,O157=0),N133,0)</f>
        <v>0</v>
      </c>
      <c r="N158" s="779">
        <f t="shared" si="18"/>
        <v>0</v>
      </c>
      <c r="O158" s="780">
        <f t="shared" si="19"/>
        <v>0</v>
      </c>
      <c r="P158" s="778">
        <f>IF(AND(S158&gt;0,S157=0),Q133,0)</f>
        <v>0</v>
      </c>
      <c r="Q158" s="781">
        <f t="shared" si="20"/>
        <v>0</v>
      </c>
      <c r="S158" s="782">
        <f t="shared" si="21"/>
        <v>0</v>
      </c>
      <c r="T158" s="778">
        <f>IF(AND(V158&gt;0,V157=0),U133,0)</f>
        <v>0</v>
      </c>
      <c r="U158" s="779">
        <f t="shared" si="22"/>
        <v>0</v>
      </c>
      <c r="V158" s="780">
        <f t="shared" si="23"/>
        <v>0</v>
      </c>
      <c r="W158" s="778">
        <f>IF(AND(Y158&gt;0,Y157=0),X133,0)</f>
        <v>0</v>
      </c>
      <c r="X158" s="779">
        <f t="shared" si="24"/>
        <v>0</v>
      </c>
      <c r="Y158" s="780">
        <f t="shared" si="25"/>
        <v>0</v>
      </c>
      <c r="Z158" s="778">
        <f>IF(AND(AB158&gt;0,AB157=0),AA133,0)</f>
        <v>0</v>
      </c>
      <c r="AA158" s="779">
        <f t="shared" si="26"/>
        <v>0</v>
      </c>
      <c r="AB158" s="780">
        <f t="shared" si="27"/>
        <v>0</v>
      </c>
      <c r="AC158" s="778">
        <f>IF(AND(AE158&gt;0,AE157=0),AD133,0)</f>
        <v>0</v>
      </c>
      <c r="AD158" s="779">
        <f t="shared" si="28"/>
        <v>0</v>
      </c>
      <c r="AE158" s="780">
        <f t="shared" si="29"/>
        <v>0</v>
      </c>
      <c r="AF158" s="778">
        <f>IF(AND(AH158&gt;0,AH157=0),AG133,0)</f>
        <v>0</v>
      </c>
      <c r="AG158" s="779">
        <f t="shared" si="30"/>
        <v>0</v>
      </c>
      <c r="AH158" s="780">
        <f t="shared" si="31"/>
        <v>0</v>
      </c>
      <c r="AI158" s="778">
        <f>IF(AND(AK158&gt;0,AK157=0),AJ133,0)</f>
        <v>0</v>
      </c>
      <c r="AJ158" s="779">
        <f t="shared" si="32"/>
        <v>0</v>
      </c>
      <c r="AK158" s="780">
        <f t="shared" si="33"/>
        <v>0</v>
      </c>
      <c r="AL158" s="778">
        <f t="shared" ca="1" si="34"/>
        <v>0</v>
      </c>
      <c r="AM158" s="783"/>
      <c r="AN158" s="780"/>
      <c r="AO158" s="778">
        <f t="shared" ca="1" si="35"/>
        <v>0</v>
      </c>
      <c r="AP158" s="783"/>
      <c r="AQ158" s="780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7"/>
      <c r="BV158" s="208"/>
      <c r="BW158" s="208"/>
      <c r="BX158" s="208"/>
      <c r="BY158" s="208"/>
      <c r="BZ158" s="382"/>
      <c r="CA158" s="382"/>
      <c r="CB158" s="382"/>
      <c r="CC158" s="382"/>
      <c r="CD158" s="382"/>
      <c r="CE158" s="382"/>
      <c r="CF158" s="382"/>
      <c r="CG158" s="382"/>
      <c r="CH158" s="382"/>
      <c r="CI158" s="382"/>
      <c r="CJ158" s="382"/>
      <c r="CK158" s="382"/>
      <c r="CL158" s="382"/>
      <c r="CM158" s="382"/>
      <c r="CN158" s="382"/>
      <c r="CO158" s="382"/>
      <c r="CP158" s="382"/>
      <c r="CQ158" s="382"/>
      <c r="CR158" s="382"/>
      <c r="CS158" s="382"/>
      <c r="CT158" s="382"/>
      <c r="CU158" s="382"/>
      <c r="CV158" s="382"/>
      <c r="CW158" s="769">
        <v>16</v>
      </c>
      <c r="CX158" s="382"/>
      <c r="CY158" s="382"/>
      <c r="CZ158" s="382"/>
      <c r="DA158" s="382"/>
      <c r="DB158" s="382"/>
      <c r="DC158" s="382"/>
      <c r="DD158" s="382"/>
      <c r="DE158" s="382"/>
      <c r="DF158" s="382"/>
      <c r="DG158" s="382"/>
      <c r="DH158" s="382"/>
      <c r="DI158" s="382"/>
      <c r="DJ158" s="382"/>
      <c r="DK158" s="382"/>
      <c r="DL158" s="382"/>
      <c r="DM158" s="382"/>
      <c r="DN158" s="382"/>
      <c r="DO158" s="382"/>
      <c r="DP158" s="208"/>
      <c r="DQ158" s="208"/>
      <c r="DR158" s="208"/>
      <c r="DS158" s="208"/>
      <c r="DT158" s="208"/>
      <c r="DU158" s="208"/>
      <c r="DV158" s="208"/>
      <c r="DW158" s="208"/>
      <c r="DX158" s="208"/>
      <c r="DY158" s="208"/>
      <c r="DZ158" s="227"/>
      <c r="EA158" s="186"/>
      <c r="EB158" s="186"/>
    </row>
    <row r="159" spans="2:132" s="176" customFormat="1" ht="14.25" hidden="1" customHeight="1" x14ac:dyDescent="0.2">
      <c r="B159" s="760">
        <f ca="1">B142+INT(C158/12)</f>
        <v>2020</v>
      </c>
      <c r="C159" s="760">
        <v>17</v>
      </c>
      <c r="D159" s="777">
        <f t="shared" si="11"/>
        <v>0</v>
      </c>
      <c r="E159" s="771">
        <f t="shared" si="36"/>
        <v>0</v>
      </c>
      <c r="F159" s="778">
        <f t="shared" si="12"/>
        <v>0</v>
      </c>
      <c r="G159" s="778">
        <f t="shared" si="13"/>
        <v>0</v>
      </c>
      <c r="H159" s="779">
        <f t="shared" si="14"/>
        <v>0</v>
      </c>
      <c r="I159" s="780">
        <f t="shared" si="15"/>
        <v>0</v>
      </c>
      <c r="J159" s="778">
        <f>IF(AND(L159&gt;0,L158=0),K133,0)</f>
        <v>0</v>
      </c>
      <c r="K159" s="779">
        <f t="shared" si="16"/>
        <v>0</v>
      </c>
      <c r="L159" s="780">
        <f t="shared" si="17"/>
        <v>0</v>
      </c>
      <c r="M159" s="778">
        <f>IF(AND(O159&gt;0,O158=0),N133,0)</f>
        <v>0</v>
      </c>
      <c r="N159" s="779">
        <f t="shared" si="18"/>
        <v>0</v>
      </c>
      <c r="O159" s="780">
        <f t="shared" si="19"/>
        <v>0</v>
      </c>
      <c r="P159" s="778">
        <f>IF(AND(S159&gt;0,S158=0),Q133,0)</f>
        <v>0</v>
      </c>
      <c r="Q159" s="781">
        <f t="shared" si="20"/>
        <v>0</v>
      </c>
      <c r="S159" s="782">
        <f t="shared" si="21"/>
        <v>0</v>
      </c>
      <c r="T159" s="778">
        <f>IF(AND(V159&gt;0,V158=0),U133,0)</f>
        <v>0</v>
      </c>
      <c r="U159" s="779">
        <f t="shared" si="22"/>
        <v>0</v>
      </c>
      <c r="V159" s="780">
        <f t="shared" si="23"/>
        <v>0</v>
      </c>
      <c r="W159" s="778">
        <f>IF(AND(Y159&gt;0,Y158=0),X133,0)</f>
        <v>0</v>
      </c>
      <c r="X159" s="779">
        <f t="shared" si="24"/>
        <v>0</v>
      </c>
      <c r="Y159" s="780">
        <f t="shared" si="25"/>
        <v>0</v>
      </c>
      <c r="Z159" s="778">
        <f>IF(AND(AB159&gt;0,AB158=0),AA133,0)</f>
        <v>0</v>
      </c>
      <c r="AA159" s="779">
        <f t="shared" si="26"/>
        <v>0</v>
      </c>
      <c r="AB159" s="780">
        <f t="shared" si="27"/>
        <v>0</v>
      </c>
      <c r="AC159" s="778">
        <f>IF(AND(AE159&gt;0,AE158=0),AD133,0)</f>
        <v>0</v>
      </c>
      <c r="AD159" s="779">
        <f t="shared" si="28"/>
        <v>0</v>
      </c>
      <c r="AE159" s="780">
        <f t="shared" si="29"/>
        <v>0</v>
      </c>
      <c r="AF159" s="778">
        <f>IF(AND(AH159&gt;0,AH158=0),AG133,0)</f>
        <v>0</v>
      </c>
      <c r="AG159" s="779">
        <f t="shared" si="30"/>
        <v>0</v>
      </c>
      <c r="AH159" s="780">
        <f t="shared" si="31"/>
        <v>0</v>
      </c>
      <c r="AI159" s="778">
        <f>IF(AND(AK159&gt;0,AK158=0),AJ133,0)</f>
        <v>0</v>
      </c>
      <c r="AJ159" s="779">
        <f t="shared" si="32"/>
        <v>0</v>
      </c>
      <c r="AK159" s="780">
        <f t="shared" si="33"/>
        <v>0</v>
      </c>
      <c r="AL159" s="778">
        <f t="shared" ca="1" si="34"/>
        <v>0</v>
      </c>
      <c r="AM159" s="783"/>
      <c r="AN159" s="780"/>
      <c r="AO159" s="778">
        <f t="shared" ca="1" si="35"/>
        <v>0</v>
      </c>
      <c r="AP159" s="783"/>
      <c r="AQ159" s="780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7"/>
      <c r="BV159" s="208"/>
      <c r="BW159" s="208"/>
      <c r="BX159" s="208"/>
      <c r="BY159" s="208"/>
      <c r="BZ159" s="382"/>
      <c r="CA159" s="382"/>
      <c r="CB159" s="382"/>
      <c r="CC159" s="382"/>
      <c r="CD159" s="382"/>
      <c r="CE159" s="382"/>
      <c r="CF159" s="382"/>
      <c r="CG159" s="382"/>
      <c r="CH159" s="382"/>
      <c r="CI159" s="382"/>
      <c r="CJ159" s="382"/>
      <c r="CK159" s="382"/>
      <c r="CL159" s="382"/>
      <c r="CM159" s="382"/>
      <c r="CN159" s="382"/>
      <c r="CO159" s="382"/>
      <c r="CP159" s="382"/>
      <c r="CQ159" s="382"/>
      <c r="CR159" s="382"/>
      <c r="CS159" s="382"/>
      <c r="CT159" s="382"/>
      <c r="CU159" s="382"/>
      <c r="CV159" s="382"/>
      <c r="CW159" s="769">
        <v>17</v>
      </c>
      <c r="CX159" s="382"/>
      <c r="CY159" s="382"/>
      <c r="CZ159" s="382"/>
      <c r="DA159" s="382"/>
      <c r="DB159" s="382"/>
      <c r="DC159" s="382"/>
      <c r="DD159" s="382"/>
      <c r="DE159" s="382"/>
      <c r="DF159" s="382"/>
      <c r="DG159" s="382"/>
      <c r="DH159" s="382"/>
      <c r="DI159" s="382"/>
      <c r="DJ159" s="382"/>
      <c r="DK159" s="382"/>
      <c r="DL159" s="382"/>
      <c r="DM159" s="382"/>
      <c r="DN159" s="382"/>
      <c r="DO159" s="382"/>
      <c r="DP159" s="208"/>
      <c r="DQ159" s="208"/>
      <c r="DR159" s="208"/>
      <c r="DS159" s="208"/>
      <c r="DT159" s="208"/>
      <c r="DU159" s="208"/>
      <c r="DV159" s="208"/>
      <c r="DW159" s="208"/>
      <c r="DX159" s="208"/>
      <c r="DY159" s="208"/>
      <c r="DZ159" s="227"/>
      <c r="EA159" s="186"/>
      <c r="EB159" s="186"/>
    </row>
    <row r="160" spans="2:132" s="176" customFormat="1" ht="14.25" hidden="1" customHeight="1" x14ac:dyDescent="0.2">
      <c r="B160" s="760">
        <f ca="1">B142+INT(C159/12)</f>
        <v>2020</v>
      </c>
      <c r="C160" s="760">
        <v>18</v>
      </c>
      <c r="D160" s="777">
        <f t="shared" si="11"/>
        <v>0</v>
      </c>
      <c r="E160" s="771">
        <f t="shared" si="36"/>
        <v>0</v>
      </c>
      <c r="F160" s="778">
        <f t="shared" si="12"/>
        <v>0</v>
      </c>
      <c r="G160" s="778">
        <f t="shared" si="13"/>
        <v>0</v>
      </c>
      <c r="H160" s="779">
        <f t="shared" si="14"/>
        <v>0</v>
      </c>
      <c r="I160" s="780">
        <f t="shared" si="15"/>
        <v>0</v>
      </c>
      <c r="J160" s="778">
        <f>IF(AND(L160&gt;0,L159=0),K133,0)</f>
        <v>0</v>
      </c>
      <c r="K160" s="779">
        <f t="shared" si="16"/>
        <v>0</v>
      </c>
      <c r="L160" s="780">
        <f t="shared" si="17"/>
        <v>0</v>
      </c>
      <c r="M160" s="778">
        <f>IF(AND(O160&gt;0,O159=0),N133,0)</f>
        <v>0</v>
      </c>
      <c r="N160" s="779">
        <f t="shared" si="18"/>
        <v>0</v>
      </c>
      <c r="O160" s="780">
        <f t="shared" si="19"/>
        <v>0</v>
      </c>
      <c r="P160" s="778">
        <f>IF(AND(S160&gt;0,S159=0),Q133,0)</f>
        <v>0</v>
      </c>
      <c r="Q160" s="781">
        <f t="shared" si="20"/>
        <v>0</v>
      </c>
      <c r="S160" s="782">
        <f t="shared" si="21"/>
        <v>0</v>
      </c>
      <c r="T160" s="778">
        <f>IF(AND(V160&gt;0,V159=0),U133,0)</f>
        <v>0</v>
      </c>
      <c r="U160" s="779">
        <f t="shared" si="22"/>
        <v>0</v>
      </c>
      <c r="V160" s="780">
        <f t="shared" si="23"/>
        <v>0</v>
      </c>
      <c r="W160" s="778">
        <f>IF(AND(Y160&gt;0,Y159=0),X133,0)</f>
        <v>0</v>
      </c>
      <c r="X160" s="779">
        <f t="shared" si="24"/>
        <v>0</v>
      </c>
      <c r="Y160" s="780">
        <f t="shared" si="25"/>
        <v>0</v>
      </c>
      <c r="Z160" s="778">
        <f>IF(AND(AB160&gt;0,AB159=0),AA133,0)</f>
        <v>0</v>
      </c>
      <c r="AA160" s="779">
        <f t="shared" si="26"/>
        <v>0</v>
      </c>
      <c r="AB160" s="780">
        <f t="shared" si="27"/>
        <v>0</v>
      </c>
      <c r="AC160" s="778">
        <f>IF(AND(AE160&gt;0,AE159=0),AD133,0)</f>
        <v>0</v>
      </c>
      <c r="AD160" s="779">
        <f t="shared" si="28"/>
        <v>0</v>
      </c>
      <c r="AE160" s="780">
        <f t="shared" si="29"/>
        <v>0</v>
      </c>
      <c r="AF160" s="778">
        <f>IF(AND(AH160&gt;0,AH159=0),AG133,0)</f>
        <v>0</v>
      </c>
      <c r="AG160" s="779">
        <f t="shared" si="30"/>
        <v>0</v>
      </c>
      <c r="AH160" s="780">
        <f t="shared" si="31"/>
        <v>0</v>
      </c>
      <c r="AI160" s="778">
        <f>IF(AND(AK160&gt;0,AK159=0),AJ133,0)</f>
        <v>0</v>
      </c>
      <c r="AJ160" s="779">
        <f t="shared" si="32"/>
        <v>0</v>
      </c>
      <c r="AK160" s="780">
        <f t="shared" si="33"/>
        <v>0</v>
      </c>
      <c r="AL160" s="778">
        <f t="shared" ca="1" si="34"/>
        <v>0</v>
      </c>
      <c r="AM160" s="783"/>
      <c r="AN160" s="780"/>
      <c r="AO160" s="778">
        <f t="shared" ca="1" si="35"/>
        <v>0</v>
      </c>
      <c r="AP160" s="783"/>
      <c r="AQ160" s="780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7"/>
      <c r="BV160" s="208"/>
      <c r="BW160" s="208"/>
      <c r="BX160" s="208"/>
      <c r="BY160" s="208"/>
      <c r="BZ160" s="382"/>
      <c r="CA160" s="382"/>
      <c r="CB160" s="382"/>
      <c r="CC160" s="382"/>
      <c r="CD160" s="382"/>
      <c r="CE160" s="382"/>
      <c r="CF160" s="382"/>
      <c r="CG160" s="382"/>
      <c r="CH160" s="382"/>
      <c r="CI160" s="382"/>
      <c r="CJ160" s="382"/>
      <c r="CK160" s="382"/>
      <c r="CL160" s="382"/>
      <c r="CM160" s="382"/>
      <c r="CN160" s="382"/>
      <c r="CO160" s="382"/>
      <c r="CP160" s="382"/>
      <c r="CQ160" s="382"/>
      <c r="CR160" s="382"/>
      <c r="CS160" s="382"/>
      <c r="CT160" s="382"/>
      <c r="CU160" s="382"/>
      <c r="CV160" s="382"/>
      <c r="CW160" s="769">
        <v>18</v>
      </c>
      <c r="CX160" s="382"/>
      <c r="CY160" s="382"/>
      <c r="CZ160" s="382"/>
      <c r="DA160" s="382"/>
      <c r="DB160" s="382"/>
      <c r="DC160" s="382"/>
      <c r="DD160" s="382"/>
      <c r="DE160" s="382"/>
      <c r="DF160" s="382"/>
      <c r="DG160" s="382"/>
      <c r="DH160" s="382"/>
      <c r="DI160" s="382"/>
      <c r="DJ160" s="382"/>
      <c r="DK160" s="382"/>
      <c r="DL160" s="382"/>
      <c r="DM160" s="382"/>
      <c r="DN160" s="382"/>
      <c r="DO160" s="382"/>
      <c r="DP160" s="208"/>
      <c r="DQ160" s="208"/>
      <c r="DR160" s="208"/>
      <c r="DS160" s="208"/>
      <c r="DT160" s="208"/>
      <c r="DU160" s="208"/>
      <c r="DV160" s="208"/>
      <c r="DW160" s="208"/>
      <c r="DX160" s="208"/>
      <c r="DY160" s="208"/>
      <c r="DZ160" s="227"/>
      <c r="EA160" s="186"/>
      <c r="EB160" s="186"/>
    </row>
    <row r="161" spans="2:132" s="176" customFormat="1" ht="14.25" hidden="1" customHeight="1" x14ac:dyDescent="0.2">
      <c r="B161" s="760">
        <f ca="1">B142+INT(C160/12)</f>
        <v>2020</v>
      </c>
      <c r="C161" s="760">
        <v>19</v>
      </c>
      <c r="D161" s="777">
        <f t="shared" si="11"/>
        <v>0</v>
      </c>
      <c r="E161" s="771">
        <f t="shared" si="36"/>
        <v>0</v>
      </c>
      <c r="F161" s="778">
        <f t="shared" si="12"/>
        <v>0</v>
      </c>
      <c r="G161" s="778">
        <f t="shared" si="13"/>
        <v>0</v>
      </c>
      <c r="H161" s="779">
        <f t="shared" si="14"/>
        <v>0</v>
      </c>
      <c r="I161" s="780">
        <f t="shared" si="15"/>
        <v>0</v>
      </c>
      <c r="J161" s="778">
        <f>IF(AND(L161&gt;0,L160=0),K133,0)</f>
        <v>0</v>
      </c>
      <c r="K161" s="779">
        <f t="shared" si="16"/>
        <v>0</v>
      </c>
      <c r="L161" s="780">
        <f t="shared" si="17"/>
        <v>0</v>
      </c>
      <c r="M161" s="778">
        <f>IF(AND(O161&gt;0,O160=0),N133,0)</f>
        <v>0</v>
      </c>
      <c r="N161" s="779">
        <f t="shared" si="18"/>
        <v>0</v>
      </c>
      <c r="O161" s="780">
        <f t="shared" si="19"/>
        <v>0</v>
      </c>
      <c r="P161" s="778">
        <f>IF(AND(S161&gt;0,S160=0),Q133,0)</f>
        <v>0</v>
      </c>
      <c r="Q161" s="781">
        <f t="shared" si="20"/>
        <v>0</v>
      </c>
      <c r="S161" s="782">
        <f t="shared" si="21"/>
        <v>0</v>
      </c>
      <c r="T161" s="778">
        <f>IF(AND(V161&gt;0,V160=0),U133,0)</f>
        <v>0</v>
      </c>
      <c r="U161" s="779">
        <f t="shared" si="22"/>
        <v>0</v>
      </c>
      <c r="V161" s="780">
        <f t="shared" si="23"/>
        <v>0</v>
      </c>
      <c r="W161" s="778">
        <f>IF(AND(Y161&gt;0,Y160=0),X133,0)</f>
        <v>0</v>
      </c>
      <c r="X161" s="779">
        <f t="shared" si="24"/>
        <v>0</v>
      </c>
      <c r="Y161" s="780">
        <f t="shared" si="25"/>
        <v>0</v>
      </c>
      <c r="Z161" s="778">
        <f>IF(AND(AB161&gt;0,AB160=0),AA133,0)</f>
        <v>0</v>
      </c>
      <c r="AA161" s="779">
        <f t="shared" si="26"/>
        <v>0</v>
      </c>
      <c r="AB161" s="780">
        <f t="shared" si="27"/>
        <v>0</v>
      </c>
      <c r="AC161" s="778">
        <f>IF(AND(AE161&gt;0,AE160=0),AD133,0)</f>
        <v>0</v>
      </c>
      <c r="AD161" s="779">
        <f t="shared" si="28"/>
        <v>0</v>
      </c>
      <c r="AE161" s="780">
        <f t="shared" si="29"/>
        <v>0</v>
      </c>
      <c r="AF161" s="778">
        <f>IF(AND(AH161&gt;0,AH160=0),AG133,0)</f>
        <v>0</v>
      </c>
      <c r="AG161" s="779">
        <f t="shared" si="30"/>
        <v>0</v>
      </c>
      <c r="AH161" s="780">
        <f t="shared" si="31"/>
        <v>0</v>
      </c>
      <c r="AI161" s="778">
        <f>IF(AND(AK161&gt;0,AK160=0),AJ133,0)</f>
        <v>0</v>
      </c>
      <c r="AJ161" s="779">
        <f t="shared" si="32"/>
        <v>0</v>
      </c>
      <c r="AK161" s="780">
        <f t="shared" si="33"/>
        <v>0</v>
      </c>
      <c r="AL161" s="778">
        <f t="shared" ca="1" si="34"/>
        <v>0</v>
      </c>
      <c r="AM161" s="783"/>
      <c r="AN161" s="780"/>
      <c r="AO161" s="778">
        <f t="shared" ca="1" si="35"/>
        <v>0</v>
      </c>
      <c r="AP161" s="783"/>
      <c r="AQ161" s="780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7"/>
      <c r="BV161" s="208"/>
      <c r="BW161" s="208"/>
      <c r="BX161" s="208"/>
      <c r="BY161" s="208"/>
      <c r="BZ161" s="382"/>
      <c r="CA161" s="382"/>
      <c r="CB161" s="382"/>
      <c r="CC161" s="382"/>
      <c r="CD161" s="382"/>
      <c r="CE161" s="382"/>
      <c r="CF161" s="382"/>
      <c r="CG161" s="382"/>
      <c r="CH161" s="382"/>
      <c r="CI161" s="382"/>
      <c r="CJ161" s="382"/>
      <c r="CK161" s="382"/>
      <c r="CL161" s="382"/>
      <c r="CM161" s="382"/>
      <c r="CN161" s="382"/>
      <c r="CO161" s="382"/>
      <c r="CP161" s="382"/>
      <c r="CQ161" s="382"/>
      <c r="CR161" s="382"/>
      <c r="CS161" s="382"/>
      <c r="CT161" s="382"/>
      <c r="CU161" s="382"/>
      <c r="CV161" s="382"/>
      <c r="CW161" s="769">
        <v>19</v>
      </c>
      <c r="CX161" s="382"/>
      <c r="CY161" s="382"/>
      <c r="CZ161" s="382"/>
      <c r="DA161" s="382"/>
      <c r="DB161" s="382"/>
      <c r="DC161" s="382"/>
      <c r="DD161" s="382"/>
      <c r="DE161" s="382"/>
      <c r="DF161" s="382"/>
      <c r="DG161" s="382"/>
      <c r="DH161" s="382"/>
      <c r="DI161" s="382"/>
      <c r="DJ161" s="382"/>
      <c r="DK161" s="382"/>
      <c r="DL161" s="382"/>
      <c r="DM161" s="382"/>
      <c r="DN161" s="382"/>
      <c r="DO161" s="382"/>
      <c r="DP161" s="208"/>
      <c r="DQ161" s="208"/>
      <c r="DR161" s="208"/>
      <c r="DS161" s="208"/>
      <c r="DT161" s="208"/>
      <c r="DU161" s="208"/>
      <c r="DV161" s="208"/>
      <c r="DW161" s="208"/>
      <c r="DX161" s="208"/>
      <c r="DY161" s="208"/>
      <c r="DZ161" s="227"/>
      <c r="EA161" s="186"/>
      <c r="EB161" s="186"/>
    </row>
    <row r="162" spans="2:132" s="176" customFormat="1" ht="14.25" hidden="1" customHeight="1" x14ac:dyDescent="0.2">
      <c r="B162" s="760">
        <f ca="1">B142+INT(C161/12)</f>
        <v>2020</v>
      </c>
      <c r="C162" s="760">
        <v>20</v>
      </c>
      <c r="D162" s="777">
        <f t="shared" si="11"/>
        <v>0</v>
      </c>
      <c r="E162" s="771">
        <f t="shared" si="36"/>
        <v>0</v>
      </c>
      <c r="F162" s="778">
        <f t="shared" si="12"/>
        <v>0</v>
      </c>
      <c r="G162" s="778">
        <f t="shared" si="13"/>
        <v>0</v>
      </c>
      <c r="H162" s="779">
        <f t="shared" si="14"/>
        <v>0</v>
      </c>
      <c r="I162" s="780">
        <f t="shared" si="15"/>
        <v>0</v>
      </c>
      <c r="J162" s="778">
        <f>IF(AND(L162&gt;0,L161=0),K133,0)</f>
        <v>0</v>
      </c>
      <c r="K162" s="779">
        <f t="shared" si="16"/>
        <v>0</v>
      </c>
      <c r="L162" s="780">
        <f t="shared" si="17"/>
        <v>0</v>
      </c>
      <c r="M162" s="778">
        <f>IF(AND(O162&gt;0,O161=0),N133,0)</f>
        <v>0</v>
      </c>
      <c r="N162" s="779">
        <f t="shared" si="18"/>
        <v>0</v>
      </c>
      <c r="O162" s="780">
        <f t="shared" si="19"/>
        <v>0</v>
      </c>
      <c r="P162" s="778">
        <f>IF(AND(S162&gt;0,S161=0),Q133,0)</f>
        <v>0</v>
      </c>
      <c r="Q162" s="781">
        <f t="shared" si="20"/>
        <v>0</v>
      </c>
      <c r="S162" s="782">
        <f t="shared" si="21"/>
        <v>0</v>
      </c>
      <c r="T162" s="778">
        <f>IF(AND(V162&gt;0,V161=0),U133,0)</f>
        <v>0</v>
      </c>
      <c r="U162" s="779">
        <f t="shared" si="22"/>
        <v>0</v>
      </c>
      <c r="V162" s="780">
        <f t="shared" si="23"/>
        <v>0</v>
      </c>
      <c r="W162" s="778">
        <f>IF(AND(Y162&gt;0,Y161=0),X133,0)</f>
        <v>0</v>
      </c>
      <c r="X162" s="779">
        <f t="shared" si="24"/>
        <v>0</v>
      </c>
      <c r="Y162" s="780">
        <f t="shared" si="25"/>
        <v>0</v>
      </c>
      <c r="Z162" s="778">
        <f>IF(AND(AB162&gt;0,AB161=0),AA133,0)</f>
        <v>0</v>
      </c>
      <c r="AA162" s="779">
        <f t="shared" si="26"/>
        <v>0</v>
      </c>
      <c r="AB162" s="780">
        <f t="shared" si="27"/>
        <v>0</v>
      </c>
      <c r="AC162" s="778">
        <f>IF(AND(AE162&gt;0,AE161=0),AD133,0)</f>
        <v>0</v>
      </c>
      <c r="AD162" s="779">
        <f t="shared" si="28"/>
        <v>0</v>
      </c>
      <c r="AE162" s="780">
        <f t="shared" si="29"/>
        <v>0</v>
      </c>
      <c r="AF162" s="778">
        <f>IF(AND(AH162&gt;0,AH161=0),AG133,0)</f>
        <v>0</v>
      </c>
      <c r="AG162" s="779">
        <f t="shared" si="30"/>
        <v>0</v>
      </c>
      <c r="AH162" s="780">
        <f t="shared" si="31"/>
        <v>0</v>
      </c>
      <c r="AI162" s="778">
        <f>IF(AND(AK162&gt;0,AK161=0),AJ133,0)</f>
        <v>0</v>
      </c>
      <c r="AJ162" s="779">
        <f t="shared" si="32"/>
        <v>0</v>
      </c>
      <c r="AK162" s="780">
        <f t="shared" si="33"/>
        <v>0</v>
      </c>
      <c r="AL162" s="778">
        <f t="shared" ca="1" si="34"/>
        <v>0</v>
      </c>
      <c r="AM162" s="783"/>
      <c r="AN162" s="780"/>
      <c r="AO162" s="778">
        <f t="shared" ca="1" si="35"/>
        <v>0</v>
      </c>
      <c r="AP162" s="783"/>
      <c r="AQ162" s="780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7"/>
      <c r="BV162" s="208"/>
      <c r="BW162" s="208"/>
      <c r="BX162" s="208"/>
      <c r="BY162" s="208"/>
      <c r="BZ162" s="382"/>
      <c r="CA162" s="382"/>
      <c r="CB162" s="382"/>
      <c r="CC162" s="382"/>
      <c r="CD162" s="382"/>
      <c r="CE162" s="382"/>
      <c r="CF162" s="382"/>
      <c r="CG162" s="382"/>
      <c r="CH162" s="382"/>
      <c r="CI162" s="382"/>
      <c r="CJ162" s="382"/>
      <c r="CK162" s="382"/>
      <c r="CL162" s="382"/>
      <c r="CM162" s="382"/>
      <c r="CN162" s="382"/>
      <c r="CO162" s="382"/>
      <c r="CP162" s="382"/>
      <c r="CQ162" s="382"/>
      <c r="CR162" s="382"/>
      <c r="CS162" s="382"/>
      <c r="CT162" s="382"/>
      <c r="CU162" s="382"/>
      <c r="CV162" s="382"/>
      <c r="CW162" s="769">
        <v>20</v>
      </c>
      <c r="CX162" s="382"/>
      <c r="CY162" s="382"/>
      <c r="CZ162" s="382"/>
      <c r="DA162" s="382"/>
      <c r="DB162" s="382"/>
      <c r="DC162" s="382"/>
      <c r="DD162" s="382"/>
      <c r="DE162" s="382"/>
      <c r="DF162" s="382"/>
      <c r="DG162" s="382"/>
      <c r="DH162" s="382"/>
      <c r="DI162" s="382"/>
      <c r="DJ162" s="382"/>
      <c r="DK162" s="382"/>
      <c r="DL162" s="382"/>
      <c r="DM162" s="382"/>
      <c r="DN162" s="382"/>
      <c r="DO162" s="382"/>
      <c r="DP162" s="208"/>
      <c r="DQ162" s="208"/>
      <c r="DR162" s="208"/>
      <c r="DS162" s="208"/>
      <c r="DT162" s="208"/>
      <c r="DU162" s="208"/>
      <c r="DV162" s="208"/>
      <c r="DW162" s="208"/>
      <c r="DX162" s="208"/>
      <c r="DY162" s="208"/>
      <c r="DZ162" s="227"/>
      <c r="EA162" s="186"/>
      <c r="EB162" s="186"/>
    </row>
    <row r="163" spans="2:132" s="176" customFormat="1" ht="14.25" hidden="1" customHeight="1" x14ac:dyDescent="0.2">
      <c r="B163" s="760">
        <f ca="1">B142+INT(C162/12)</f>
        <v>2020</v>
      </c>
      <c r="C163" s="760">
        <v>21</v>
      </c>
      <c r="D163" s="777">
        <f t="shared" si="11"/>
        <v>0</v>
      </c>
      <c r="E163" s="771">
        <f t="shared" si="36"/>
        <v>0</v>
      </c>
      <c r="F163" s="778">
        <f t="shared" si="12"/>
        <v>0</v>
      </c>
      <c r="G163" s="778">
        <f t="shared" si="13"/>
        <v>0</v>
      </c>
      <c r="H163" s="779">
        <f t="shared" si="14"/>
        <v>0</v>
      </c>
      <c r="I163" s="780">
        <f t="shared" si="15"/>
        <v>0</v>
      </c>
      <c r="J163" s="778">
        <f>IF(AND(L163&gt;0,L162=0),K133,0)</f>
        <v>0</v>
      </c>
      <c r="K163" s="779">
        <f t="shared" si="16"/>
        <v>0</v>
      </c>
      <c r="L163" s="780">
        <f t="shared" si="17"/>
        <v>0</v>
      </c>
      <c r="M163" s="778">
        <f>IF(AND(O163&gt;0,O162=0),N133,0)</f>
        <v>0</v>
      </c>
      <c r="N163" s="779">
        <f t="shared" si="18"/>
        <v>0</v>
      </c>
      <c r="O163" s="780">
        <f t="shared" si="19"/>
        <v>0</v>
      </c>
      <c r="P163" s="778">
        <f>IF(AND(S163&gt;0,S162=0),Q133,0)</f>
        <v>0</v>
      </c>
      <c r="Q163" s="781">
        <f t="shared" si="20"/>
        <v>0</v>
      </c>
      <c r="S163" s="782">
        <f t="shared" si="21"/>
        <v>0</v>
      </c>
      <c r="T163" s="778">
        <f>IF(AND(V163&gt;0,V162=0),U133,0)</f>
        <v>0</v>
      </c>
      <c r="U163" s="779">
        <f t="shared" si="22"/>
        <v>0</v>
      </c>
      <c r="V163" s="780">
        <f t="shared" si="23"/>
        <v>0</v>
      </c>
      <c r="W163" s="778">
        <f>IF(AND(Y163&gt;0,Y162=0),X133,0)</f>
        <v>0</v>
      </c>
      <c r="X163" s="779">
        <f t="shared" si="24"/>
        <v>0</v>
      </c>
      <c r="Y163" s="780">
        <f t="shared" si="25"/>
        <v>0</v>
      </c>
      <c r="Z163" s="778">
        <f>IF(AND(AB163&gt;0,AB162=0),AA133,0)</f>
        <v>0</v>
      </c>
      <c r="AA163" s="779">
        <f t="shared" si="26"/>
        <v>0</v>
      </c>
      <c r="AB163" s="780">
        <f t="shared" si="27"/>
        <v>0</v>
      </c>
      <c r="AC163" s="778">
        <f>IF(AND(AE163&gt;0,AE162=0),AD133,0)</f>
        <v>0</v>
      </c>
      <c r="AD163" s="779">
        <f t="shared" si="28"/>
        <v>0</v>
      </c>
      <c r="AE163" s="780">
        <f t="shared" si="29"/>
        <v>0</v>
      </c>
      <c r="AF163" s="778">
        <f>IF(AND(AH163&gt;0,AH162=0),AG133,0)</f>
        <v>0</v>
      </c>
      <c r="AG163" s="779">
        <f t="shared" si="30"/>
        <v>0</v>
      </c>
      <c r="AH163" s="780">
        <f t="shared" si="31"/>
        <v>0</v>
      </c>
      <c r="AI163" s="778">
        <f>IF(AND(AK163&gt;0,AK162=0),AJ133,0)</f>
        <v>0</v>
      </c>
      <c r="AJ163" s="779">
        <f t="shared" si="32"/>
        <v>0</v>
      </c>
      <c r="AK163" s="780">
        <f t="shared" si="33"/>
        <v>0</v>
      </c>
      <c r="AL163" s="778">
        <f t="shared" ca="1" si="34"/>
        <v>0</v>
      </c>
      <c r="AM163" s="783"/>
      <c r="AN163" s="780"/>
      <c r="AO163" s="778">
        <f t="shared" ca="1" si="35"/>
        <v>0</v>
      </c>
      <c r="AP163" s="783"/>
      <c r="AQ163" s="780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7"/>
      <c r="BV163" s="208"/>
      <c r="BW163" s="208"/>
      <c r="BX163" s="208"/>
      <c r="BY163" s="208"/>
      <c r="BZ163" s="382"/>
      <c r="CA163" s="382"/>
      <c r="CB163" s="382"/>
      <c r="CC163" s="382"/>
      <c r="CD163" s="382"/>
      <c r="CE163" s="382"/>
      <c r="CF163" s="382"/>
      <c r="CG163" s="382"/>
      <c r="CH163" s="382"/>
      <c r="CI163" s="382"/>
      <c r="CJ163" s="382"/>
      <c r="CK163" s="382"/>
      <c r="CL163" s="382"/>
      <c r="CM163" s="382"/>
      <c r="CN163" s="382"/>
      <c r="CO163" s="382"/>
      <c r="CP163" s="382"/>
      <c r="CQ163" s="382"/>
      <c r="CR163" s="382"/>
      <c r="CS163" s="382"/>
      <c r="CT163" s="382"/>
      <c r="CU163" s="382"/>
      <c r="CV163" s="382"/>
      <c r="CW163" s="769">
        <v>21</v>
      </c>
      <c r="CX163" s="382"/>
      <c r="CY163" s="382"/>
      <c r="CZ163" s="382"/>
      <c r="DA163" s="382"/>
      <c r="DB163" s="382"/>
      <c r="DC163" s="382"/>
      <c r="DD163" s="382"/>
      <c r="DE163" s="382"/>
      <c r="DF163" s="382"/>
      <c r="DG163" s="382"/>
      <c r="DH163" s="382"/>
      <c r="DI163" s="382"/>
      <c r="DJ163" s="382"/>
      <c r="DK163" s="382"/>
      <c r="DL163" s="382"/>
      <c r="DM163" s="382"/>
      <c r="DN163" s="382"/>
      <c r="DO163" s="382"/>
      <c r="DP163" s="208"/>
      <c r="DQ163" s="208"/>
      <c r="DR163" s="208"/>
      <c r="DS163" s="208"/>
      <c r="DT163" s="208"/>
      <c r="DU163" s="208"/>
      <c r="DV163" s="208"/>
      <c r="DW163" s="208"/>
      <c r="DX163" s="208"/>
      <c r="DY163" s="208"/>
      <c r="DZ163" s="227"/>
      <c r="EA163" s="186"/>
      <c r="EB163" s="186"/>
    </row>
    <row r="164" spans="2:132" s="176" customFormat="1" ht="14.25" hidden="1" customHeight="1" x14ac:dyDescent="0.2">
      <c r="B164" s="760">
        <f ca="1">B142+INT(C163/12)</f>
        <v>2020</v>
      </c>
      <c r="C164" s="760">
        <v>22</v>
      </c>
      <c r="D164" s="777">
        <f t="shared" si="11"/>
        <v>0</v>
      </c>
      <c r="E164" s="771">
        <f t="shared" si="36"/>
        <v>0</v>
      </c>
      <c r="F164" s="778">
        <f t="shared" si="12"/>
        <v>0</v>
      </c>
      <c r="G164" s="778">
        <f t="shared" si="13"/>
        <v>0</v>
      </c>
      <c r="H164" s="779">
        <f t="shared" si="14"/>
        <v>0</v>
      </c>
      <c r="I164" s="780">
        <f t="shared" si="15"/>
        <v>0</v>
      </c>
      <c r="J164" s="778">
        <f>IF(AND(L164&gt;0,L163=0),K133,0)</f>
        <v>0</v>
      </c>
      <c r="K164" s="779">
        <f t="shared" si="16"/>
        <v>0</v>
      </c>
      <c r="L164" s="780">
        <f t="shared" si="17"/>
        <v>0</v>
      </c>
      <c r="M164" s="778">
        <f>IF(AND(O164&gt;0,O163=0),N133,0)</f>
        <v>0</v>
      </c>
      <c r="N164" s="779">
        <f t="shared" si="18"/>
        <v>0</v>
      </c>
      <c r="O164" s="780">
        <f t="shared" si="19"/>
        <v>0</v>
      </c>
      <c r="P164" s="778">
        <f>IF(AND(S164&gt;0,S163=0),Q133,0)</f>
        <v>0</v>
      </c>
      <c r="Q164" s="781">
        <f t="shared" si="20"/>
        <v>0</v>
      </c>
      <c r="S164" s="782">
        <f t="shared" si="21"/>
        <v>0</v>
      </c>
      <c r="T164" s="778">
        <f>IF(AND(V164&gt;0,V163=0),U133,0)</f>
        <v>0</v>
      </c>
      <c r="U164" s="779">
        <f t="shared" si="22"/>
        <v>0</v>
      </c>
      <c r="V164" s="780">
        <f t="shared" si="23"/>
        <v>0</v>
      </c>
      <c r="W164" s="778">
        <f>IF(AND(Y164&gt;0,Y163=0),X133,0)</f>
        <v>0</v>
      </c>
      <c r="X164" s="779">
        <f t="shared" si="24"/>
        <v>0</v>
      </c>
      <c r="Y164" s="780">
        <f t="shared" si="25"/>
        <v>0</v>
      </c>
      <c r="Z164" s="778">
        <f>IF(AND(AB164&gt;0,AB163=0),AA133,0)</f>
        <v>0</v>
      </c>
      <c r="AA164" s="779">
        <f t="shared" si="26"/>
        <v>0</v>
      </c>
      <c r="AB164" s="780">
        <f t="shared" si="27"/>
        <v>0</v>
      </c>
      <c r="AC164" s="778">
        <f>IF(AND(AE164&gt;0,AE163=0),AD133,0)</f>
        <v>0</v>
      </c>
      <c r="AD164" s="779">
        <f t="shared" si="28"/>
        <v>0</v>
      </c>
      <c r="AE164" s="780">
        <f t="shared" si="29"/>
        <v>0</v>
      </c>
      <c r="AF164" s="778">
        <f>IF(AND(AH164&gt;0,AH163=0),AG133,0)</f>
        <v>0</v>
      </c>
      <c r="AG164" s="779">
        <f t="shared" si="30"/>
        <v>0</v>
      </c>
      <c r="AH164" s="780">
        <f t="shared" si="31"/>
        <v>0</v>
      </c>
      <c r="AI164" s="778">
        <f>IF(AND(AK164&gt;0,AK163=0),AJ133,0)</f>
        <v>0</v>
      </c>
      <c r="AJ164" s="779">
        <f t="shared" si="32"/>
        <v>0</v>
      </c>
      <c r="AK164" s="780">
        <f t="shared" si="33"/>
        <v>0</v>
      </c>
      <c r="AL164" s="778">
        <f t="shared" ca="1" si="34"/>
        <v>0</v>
      </c>
      <c r="AM164" s="783"/>
      <c r="AN164" s="780"/>
      <c r="AO164" s="778">
        <f t="shared" ca="1" si="35"/>
        <v>0</v>
      </c>
      <c r="AP164" s="783"/>
      <c r="AQ164" s="780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7"/>
      <c r="BV164" s="208"/>
      <c r="BW164" s="208"/>
      <c r="BX164" s="208"/>
      <c r="BY164" s="208"/>
      <c r="BZ164" s="382"/>
      <c r="CA164" s="382"/>
      <c r="CB164" s="382"/>
      <c r="CC164" s="382"/>
      <c r="CD164" s="382"/>
      <c r="CE164" s="382"/>
      <c r="CF164" s="382"/>
      <c r="CG164" s="382"/>
      <c r="CH164" s="382"/>
      <c r="CI164" s="382"/>
      <c r="CJ164" s="382"/>
      <c r="CK164" s="382"/>
      <c r="CL164" s="382"/>
      <c r="CM164" s="382"/>
      <c r="CN164" s="382"/>
      <c r="CO164" s="382"/>
      <c r="CP164" s="382"/>
      <c r="CQ164" s="382"/>
      <c r="CR164" s="382"/>
      <c r="CS164" s="382"/>
      <c r="CT164" s="382"/>
      <c r="CU164" s="382"/>
      <c r="CV164" s="382"/>
      <c r="CW164" s="769">
        <v>22</v>
      </c>
      <c r="CX164" s="382"/>
      <c r="CY164" s="382"/>
      <c r="CZ164" s="382"/>
      <c r="DA164" s="382"/>
      <c r="DB164" s="382"/>
      <c r="DC164" s="382"/>
      <c r="DD164" s="382"/>
      <c r="DE164" s="382"/>
      <c r="DF164" s="382"/>
      <c r="DG164" s="382"/>
      <c r="DH164" s="382"/>
      <c r="DI164" s="382"/>
      <c r="DJ164" s="382"/>
      <c r="DK164" s="382"/>
      <c r="DL164" s="382"/>
      <c r="DM164" s="382"/>
      <c r="DN164" s="382"/>
      <c r="DO164" s="382"/>
      <c r="DP164" s="208"/>
      <c r="DQ164" s="208"/>
      <c r="DR164" s="208"/>
      <c r="DS164" s="208"/>
      <c r="DT164" s="208"/>
      <c r="DU164" s="208"/>
      <c r="DV164" s="208"/>
      <c r="DW164" s="208"/>
      <c r="DX164" s="208"/>
      <c r="DY164" s="208"/>
      <c r="DZ164" s="227"/>
      <c r="EA164" s="186"/>
      <c r="EB164" s="186"/>
    </row>
    <row r="165" spans="2:132" s="176" customFormat="1" ht="14.25" hidden="1" customHeight="1" x14ac:dyDescent="0.2">
      <c r="B165" s="760">
        <f ca="1">B142+INT(C164/12)</f>
        <v>2020</v>
      </c>
      <c r="C165" s="760">
        <v>23</v>
      </c>
      <c r="D165" s="777">
        <f t="shared" si="11"/>
        <v>0</v>
      </c>
      <c r="E165" s="771">
        <f t="shared" si="36"/>
        <v>0</v>
      </c>
      <c r="F165" s="778">
        <f t="shared" si="12"/>
        <v>0</v>
      </c>
      <c r="G165" s="778">
        <f t="shared" si="13"/>
        <v>0</v>
      </c>
      <c r="H165" s="779">
        <f t="shared" si="14"/>
        <v>0</v>
      </c>
      <c r="I165" s="780">
        <f t="shared" si="15"/>
        <v>0</v>
      </c>
      <c r="J165" s="778">
        <f>IF(AND(L165&gt;0,L164=0),K133,0)</f>
        <v>0</v>
      </c>
      <c r="K165" s="779">
        <f t="shared" si="16"/>
        <v>0</v>
      </c>
      <c r="L165" s="780">
        <f t="shared" si="17"/>
        <v>0</v>
      </c>
      <c r="M165" s="778">
        <f>IF(AND(O165&gt;0,O164=0),N133,0)</f>
        <v>0</v>
      </c>
      <c r="N165" s="779">
        <f t="shared" si="18"/>
        <v>0</v>
      </c>
      <c r="O165" s="780">
        <f t="shared" si="19"/>
        <v>0</v>
      </c>
      <c r="P165" s="778">
        <f>IF(AND(S165&gt;0,S164=0),Q133,0)</f>
        <v>0</v>
      </c>
      <c r="Q165" s="781">
        <f t="shared" si="20"/>
        <v>0</v>
      </c>
      <c r="S165" s="782">
        <f t="shared" si="21"/>
        <v>0</v>
      </c>
      <c r="T165" s="778">
        <f>IF(AND(V165&gt;0,V164=0),U133,0)</f>
        <v>0</v>
      </c>
      <c r="U165" s="779">
        <f t="shared" si="22"/>
        <v>0</v>
      </c>
      <c r="V165" s="780">
        <f t="shared" si="23"/>
        <v>0</v>
      </c>
      <c r="W165" s="778">
        <f>IF(AND(Y165&gt;0,Y164=0),X133,0)</f>
        <v>0</v>
      </c>
      <c r="X165" s="779">
        <f t="shared" si="24"/>
        <v>0</v>
      </c>
      <c r="Y165" s="780">
        <f t="shared" si="25"/>
        <v>0</v>
      </c>
      <c r="Z165" s="778">
        <f>IF(AND(AB165&gt;0,AB164=0),AA133,0)</f>
        <v>0</v>
      </c>
      <c r="AA165" s="779">
        <f t="shared" si="26"/>
        <v>0</v>
      </c>
      <c r="AB165" s="780">
        <f t="shared" si="27"/>
        <v>0</v>
      </c>
      <c r="AC165" s="778">
        <f>IF(AND(AE165&gt;0,AE164=0),AD133,0)</f>
        <v>0</v>
      </c>
      <c r="AD165" s="779">
        <f t="shared" si="28"/>
        <v>0</v>
      </c>
      <c r="AE165" s="780">
        <f t="shared" si="29"/>
        <v>0</v>
      </c>
      <c r="AF165" s="778">
        <f>IF(AND(AH165&gt;0,AH164=0),AG133,0)</f>
        <v>0</v>
      </c>
      <c r="AG165" s="779">
        <f t="shared" si="30"/>
        <v>0</v>
      </c>
      <c r="AH165" s="780">
        <f t="shared" si="31"/>
        <v>0</v>
      </c>
      <c r="AI165" s="778">
        <f>IF(AND(AK165&gt;0,AK164=0),AJ133,0)</f>
        <v>0</v>
      </c>
      <c r="AJ165" s="779">
        <f t="shared" si="32"/>
        <v>0</v>
      </c>
      <c r="AK165" s="780">
        <f t="shared" si="33"/>
        <v>0</v>
      </c>
      <c r="AL165" s="778">
        <f t="shared" ca="1" si="34"/>
        <v>0</v>
      </c>
      <c r="AM165" s="783"/>
      <c r="AN165" s="780"/>
      <c r="AO165" s="778">
        <f t="shared" ca="1" si="35"/>
        <v>0</v>
      </c>
      <c r="AP165" s="783"/>
      <c r="AQ165" s="780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7"/>
      <c r="BV165" s="208"/>
      <c r="BW165" s="208"/>
      <c r="BX165" s="208"/>
      <c r="BY165" s="208"/>
      <c r="BZ165" s="382"/>
      <c r="CA165" s="382"/>
      <c r="CB165" s="382"/>
      <c r="CC165" s="382"/>
      <c r="CD165" s="382"/>
      <c r="CE165" s="382"/>
      <c r="CF165" s="382"/>
      <c r="CG165" s="382"/>
      <c r="CH165" s="382"/>
      <c r="CI165" s="382"/>
      <c r="CJ165" s="382"/>
      <c r="CK165" s="382"/>
      <c r="CL165" s="382"/>
      <c r="CM165" s="382"/>
      <c r="CN165" s="382"/>
      <c r="CO165" s="382"/>
      <c r="CP165" s="382"/>
      <c r="CQ165" s="382"/>
      <c r="CR165" s="382"/>
      <c r="CS165" s="382"/>
      <c r="CT165" s="382"/>
      <c r="CU165" s="382"/>
      <c r="CV165" s="382"/>
      <c r="CW165" s="769">
        <v>23</v>
      </c>
      <c r="CX165" s="382"/>
      <c r="CY165" s="382"/>
      <c r="CZ165" s="382"/>
      <c r="DA165" s="382"/>
      <c r="DB165" s="382"/>
      <c r="DC165" s="382"/>
      <c r="DD165" s="382"/>
      <c r="DE165" s="382"/>
      <c r="DF165" s="382"/>
      <c r="DG165" s="382"/>
      <c r="DH165" s="382"/>
      <c r="DI165" s="382"/>
      <c r="DJ165" s="382"/>
      <c r="DK165" s="382"/>
      <c r="DL165" s="382"/>
      <c r="DM165" s="382"/>
      <c r="DN165" s="382"/>
      <c r="DO165" s="382"/>
      <c r="DP165" s="208"/>
      <c r="DQ165" s="208"/>
      <c r="DR165" s="208"/>
      <c r="DS165" s="208"/>
      <c r="DT165" s="208"/>
      <c r="DU165" s="208"/>
      <c r="DV165" s="208"/>
      <c r="DW165" s="208"/>
      <c r="DX165" s="208"/>
      <c r="DY165" s="208"/>
      <c r="DZ165" s="227"/>
      <c r="EA165" s="186"/>
      <c r="EB165" s="186"/>
    </row>
    <row r="166" spans="2:132" s="176" customFormat="1" ht="14.25" hidden="1" customHeight="1" x14ac:dyDescent="0.2">
      <c r="B166" s="761">
        <f ca="1">B142+INT(C165/12)</f>
        <v>2020</v>
      </c>
      <c r="C166" s="761">
        <v>24</v>
      </c>
      <c r="D166" s="784">
        <f t="shared" si="11"/>
        <v>0</v>
      </c>
      <c r="E166" s="771">
        <f t="shared" si="36"/>
        <v>0</v>
      </c>
      <c r="F166" s="785">
        <f t="shared" si="12"/>
        <v>0</v>
      </c>
      <c r="G166" s="785">
        <f t="shared" si="13"/>
        <v>0</v>
      </c>
      <c r="H166" s="786">
        <f t="shared" si="14"/>
        <v>0</v>
      </c>
      <c r="I166" s="787">
        <f t="shared" si="15"/>
        <v>0</v>
      </c>
      <c r="J166" s="785">
        <f>IF(AND(L166&gt;0,L165=0),K133,0)</f>
        <v>0</v>
      </c>
      <c r="K166" s="786">
        <f t="shared" si="16"/>
        <v>0</v>
      </c>
      <c r="L166" s="787">
        <f t="shared" si="17"/>
        <v>0</v>
      </c>
      <c r="M166" s="785">
        <f>IF(AND(O166&gt;0,O165=0),N133,0)</f>
        <v>0</v>
      </c>
      <c r="N166" s="786">
        <f t="shared" si="18"/>
        <v>0</v>
      </c>
      <c r="O166" s="787">
        <f t="shared" si="19"/>
        <v>0</v>
      </c>
      <c r="P166" s="785">
        <f>IF(AND(S166&gt;0,S165=0),Q133,0)</f>
        <v>0</v>
      </c>
      <c r="Q166" s="788">
        <f t="shared" si="20"/>
        <v>0</v>
      </c>
      <c r="S166" s="789">
        <f t="shared" si="21"/>
        <v>0</v>
      </c>
      <c r="T166" s="785">
        <f>IF(AND(V166&gt;0,V165=0),U133,0)</f>
        <v>0</v>
      </c>
      <c r="U166" s="786">
        <f t="shared" si="22"/>
        <v>0</v>
      </c>
      <c r="V166" s="787">
        <f t="shared" si="23"/>
        <v>0</v>
      </c>
      <c r="W166" s="785">
        <f>IF(AND(Y166&gt;0,Y165=0),X133,0)</f>
        <v>0</v>
      </c>
      <c r="X166" s="786">
        <f t="shared" si="24"/>
        <v>0</v>
      </c>
      <c r="Y166" s="787">
        <f t="shared" si="25"/>
        <v>0</v>
      </c>
      <c r="Z166" s="785">
        <f>IF(AND(AB166&gt;0,AB165=0),AA133,0)</f>
        <v>0</v>
      </c>
      <c r="AA166" s="786">
        <f t="shared" si="26"/>
        <v>0</v>
      </c>
      <c r="AB166" s="787">
        <f t="shared" si="27"/>
        <v>0</v>
      </c>
      <c r="AC166" s="785">
        <f>IF(AND(AE166&gt;0,AE165=0),AD133,0)</f>
        <v>0</v>
      </c>
      <c r="AD166" s="786">
        <f t="shared" si="28"/>
        <v>0</v>
      </c>
      <c r="AE166" s="787">
        <f t="shared" si="29"/>
        <v>0</v>
      </c>
      <c r="AF166" s="785">
        <f>IF(AND(AH166&gt;0,AH165=0),AG133,0)</f>
        <v>0</v>
      </c>
      <c r="AG166" s="786">
        <f t="shared" si="30"/>
        <v>0</v>
      </c>
      <c r="AH166" s="787">
        <f t="shared" si="31"/>
        <v>0</v>
      </c>
      <c r="AI166" s="785">
        <f>IF(AND(AK166&gt;0,AK165=0),AJ133,0)</f>
        <v>0</v>
      </c>
      <c r="AJ166" s="786">
        <f t="shared" si="32"/>
        <v>0</v>
      </c>
      <c r="AK166" s="787">
        <f t="shared" si="33"/>
        <v>0</v>
      </c>
      <c r="AL166" s="785">
        <f t="shared" ca="1" si="34"/>
        <v>0</v>
      </c>
      <c r="AM166" s="783"/>
      <c r="AN166" s="780"/>
      <c r="AO166" s="785">
        <f t="shared" ca="1" si="35"/>
        <v>0</v>
      </c>
      <c r="AP166" s="783"/>
      <c r="AQ166" s="780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7"/>
      <c r="BV166" s="208"/>
      <c r="BW166" s="208"/>
      <c r="BX166" s="208"/>
      <c r="BY166" s="208"/>
      <c r="BZ166" s="382"/>
      <c r="CA166" s="382"/>
      <c r="CB166" s="382"/>
      <c r="CC166" s="382"/>
      <c r="CD166" s="382"/>
      <c r="CE166" s="382"/>
      <c r="CF166" s="382"/>
      <c r="CG166" s="382"/>
      <c r="CH166" s="382"/>
      <c r="CI166" s="382"/>
      <c r="CJ166" s="382"/>
      <c r="CK166" s="382"/>
      <c r="CL166" s="382"/>
      <c r="CM166" s="382"/>
      <c r="CN166" s="382"/>
      <c r="CO166" s="382"/>
      <c r="CP166" s="382"/>
      <c r="CQ166" s="382"/>
      <c r="CR166" s="382"/>
      <c r="CS166" s="382"/>
      <c r="CT166" s="382"/>
      <c r="CU166" s="382"/>
      <c r="CV166" s="382"/>
      <c r="CW166" s="769">
        <v>24</v>
      </c>
      <c r="CX166" s="382"/>
      <c r="CY166" s="382"/>
      <c r="CZ166" s="382"/>
      <c r="DA166" s="382"/>
      <c r="DB166" s="382"/>
      <c r="DC166" s="382"/>
      <c r="DD166" s="382"/>
      <c r="DE166" s="382"/>
      <c r="DF166" s="382"/>
      <c r="DG166" s="382"/>
      <c r="DH166" s="382"/>
      <c r="DI166" s="382"/>
      <c r="DJ166" s="382"/>
      <c r="DK166" s="382"/>
      <c r="DL166" s="382"/>
      <c r="DM166" s="382"/>
      <c r="DN166" s="382"/>
      <c r="DO166" s="382"/>
      <c r="DP166" s="208"/>
      <c r="DQ166" s="208"/>
      <c r="DR166" s="208"/>
      <c r="DS166" s="208"/>
      <c r="DT166" s="208"/>
      <c r="DU166" s="208"/>
      <c r="DV166" s="208"/>
      <c r="DW166" s="208"/>
      <c r="DX166" s="208"/>
      <c r="DY166" s="208"/>
      <c r="DZ166" s="227"/>
      <c r="EA166" s="186"/>
      <c r="EB166" s="186"/>
    </row>
    <row r="167" spans="2:132" s="176" customFormat="1" ht="14.25" hidden="1" customHeight="1" x14ac:dyDescent="0.2">
      <c r="B167" s="790">
        <f ca="1">B142+INT(C166/12)</f>
        <v>2021</v>
      </c>
      <c r="C167" s="790">
        <v>25</v>
      </c>
      <c r="D167" s="770">
        <f t="shared" si="11"/>
        <v>0</v>
      </c>
      <c r="E167" s="771">
        <f t="shared" si="36"/>
        <v>0</v>
      </c>
      <c r="F167" s="771">
        <f t="shared" si="12"/>
        <v>0</v>
      </c>
      <c r="G167" s="771">
        <f t="shared" si="13"/>
        <v>0</v>
      </c>
      <c r="H167" s="772">
        <f t="shared" si="14"/>
        <v>0</v>
      </c>
      <c r="I167" s="773">
        <f t="shared" si="15"/>
        <v>0</v>
      </c>
      <c r="J167" s="771">
        <f>IF(AND(L167&gt;0,L166=0),K133,0)</f>
        <v>0</v>
      </c>
      <c r="K167" s="772">
        <f t="shared" si="16"/>
        <v>0</v>
      </c>
      <c r="L167" s="773">
        <f t="shared" si="17"/>
        <v>0</v>
      </c>
      <c r="M167" s="771">
        <f>IF(AND(O167&gt;0,O166=0),N133,0)</f>
        <v>0</v>
      </c>
      <c r="N167" s="772">
        <f t="shared" si="18"/>
        <v>0</v>
      </c>
      <c r="O167" s="773">
        <f t="shared" si="19"/>
        <v>0</v>
      </c>
      <c r="P167" s="771">
        <f>IF(AND(S167&gt;0,S166=0),Q133,0)</f>
        <v>0</v>
      </c>
      <c r="Q167" s="774">
        <f t="shared" si="20"/>
        <v>0</v>
      </c>
      <c r="S167" s="775">
        <f t="shared" si="21"/>
        <v>0</v>
      </c>
      <c r="T167" s="771">
        <f>IF(AND(V167&gt;0,V166=0),U133,0)</f>
        <v>0</v>
      </c>
      <c r="U167" s="772">
        <f t="shared" si="22"/>
        <v>0</v>
      </c>
      <c r="V167" s="773">
        <f t="shared" si="23"/>
        <v>0</v>
      </c>
      <c r="W167" s="771">
        <f>IF(AND(Y167&gt;0,Y166=0),X133,0)</f>
        <v>0</v>
      </c>
      <c r="X167" s="772">
        <f t="shared" si="24"/>
        <v>0</v>
      </c>
      <c r="Y167" s="773">
        <f t="shared" si="25"/>
        <v>0</v>
      </c>
      <c r="Z167" s="771">
        <f>IF(AND(AB167&gt;0,AB166=0),AA133,0)</f>
        <v>0</v>
      </c>
      <c r="AA167" s="772">
        <f t="shared" si="26"/>
        <v>0</v>
      </c>
      <c r="AB167" s="773">
        <f t="shared" si="27"/>
        <v>0</v>
      </c>
      <c r="AC167" s="771">
        <f>IF(AND(AE167&gt;0,AE166=0),AD133,0)</f>
        <v>0</v>
      </c>
      <c r="AD167" s="772">
        <f t="shared" si="28"/>
        <v>0</v>
      </c>
      <c r="AE167" s="773">
        <f t="shared" si="29"/>
        <v>0</v>
      </c>
      <c r="AF167" s="771">
        <f>IF(AND(AH167&gt;0,AH166=0),AG133,0)</f>
        <v>0</v>
      </c>
      <c r="AG167" s="772">
        <f t="shared" si="30"/>
        <v>0</v>
      </c>
      <c r="AH167" s="773">
        <f t="shared" si="31"/>
        <v>0</v>
      </c>
      <c r="AI167" s="771">
        <f>IF(AND(AK167&gt;0,AK166=0),AJ133,0)</f>
        <v>0</v>
      </c>
      <c r="AJ167" s="772">
        <f t="shared" si="32"/>
        <v>0</v>
      </c>
      <c r="AK167" s="773">
        <f t="shared" si="33"/>
        <v>0</v>
      </c>
      <c r="AL167" s="771">
        <f t="shared" ca="1" si="34"/>
        <v>0</v>
      </c>
      <c r="AM167" s="783"/>
      <c r="AN167" s="780"/>
      <c r="AO167" s="771">
        <f t="shared" ca="1" si="35"/>
        <v>0</v>
      </c>
      <c r="AP167" s="783"/>
      <c r="AQ167" s="780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7"/>
      <c r="BV167" s="208"/>
      <c r="BW167" s="208"/>
      <c r="BX167" s="208"/>
      <c r="BY167" s="208"/>
      <c r="BZ167" s="382"/>
      <c r="CA167" s="382"/>
      <c r="CB167" s="382"/>
      <c r="CC167" s="382"/>
      <c r="CD167" s="382"/>
      <c r="CE167" s="382"/>
      <c r="CF167" s="382"/>
      <c r="CG167" s="382"/>
      <c r="CH167" s="382"/>
      <c r="CI167" s="382"/>
      <c r="CJ167" s="382"/>
      <c r="CK167" s="382"/>
      <c r="CL167" s="382"/>
      <c r="CM167" s="382"/>
      <c r="CN167" s="382"/>
      <c r="CO167" s="382"/>
      <c r="CP167" s="382"/>
      <c r="CQ167" s="382"/>
      <c r="CR167" s="382"/>
      <c r="CS167" s="382"/>
      <c r="CT167" s="382"/>
      <c r="CU167" s="382"/>
      <c r="CV167" s="382"/>
      <c r="CW167" s="769">
        <v>25</v>
      </c>
      <c r="CX167" s="382"/>
      <c r="CY167" s="382"/>
      <c r="CZ167" s="382"/>
      <c r="DA167" s="382"/>
      <c r="DB167" s="382"/>
      <c r="DC167" s="382"/>
      <c r="DD167" s="382"/>
      <c r="DE167" s="382"/>
      <c r="DF167" s="382"/>
      <c r="DG167" s="382"/>
      <c r="DH167" s="382"/>
      <c r="DI167" s="382"/>
      <c r="DJ167" s="382"/>
      <c r="DK167" s="382"/>
      <c r="DL167" s="382"/>
      <c r="DM167" s="382"/>
      <c r="DN167" s="382"/>
      <c r="DO167" s="382"/>
      <c r="DP167" s="208"/>
      <c r="DQ167" s="208"/>
      <c r="DR167" s="208"/>
      <c r="DS167" s="208"/>
      <c r="DT167" s="208"/>
      <c r="DU167" s="208"/>
      <c r="DV167" s="208"/>
      <c r="DW167" s="208"/>
      <c r="DX167" s="208"/>
      <c r="DY167" s="208"/>
      <c r="DZ167" s="227"/>
      <c r="EA167" s="186"/>
      <c r="EB167" s="186"/>
    </row>
    <row r="168" spans="2:132" s="176" customFormat="1" ht="14.25" hidden="1" customHeight="1" x14ac:dyDescent="0.2">
      <c r="B168" s="760">
        <f ca="1">B142+INT(C167/12)</f>
        <v>2021</v>
      </c>
      <c r="C168" s="760">
        <v>26</v>
      </c>
      <c r="D168" s="777">
        <f t="shared" si="11"/>
        <v>0</v>
      </c>
      <c r="E168" s="771">
        <f t="shared" si="36"/>
        <v>0</v>
      </c>
      <c r="F168" s="778">
        <f t="shared" si="12"/>
        <v>0</v>
      </c>
      <c r="G168" s="778">
        <f t="shared" si="13"/>
        <v>0</v>
      </c>
      <c r="H168" s="779">
        <f t="shared" si="14"/>
        <v>0</v>
      </c>
      <c r="I168" s="780">
        <f t="shared" si="15"/>
        <v>0</v>
      </c>
      <c r="J168" s="778">
        <f>IF(AND(L168&gt;0,L167=0),K133,0)</f>
        <v>0</v>
      </c>
      <c r="K168" s="779">
        <f t="shared" si="16"/>
        <v>0</v>
      </c>
      <c r="L168" s="780">
        <f t="shared" si="17"/>
        <v>0</v>
      </c>
      <c r="M168" s="778">
        <f>IF(AND(O168&gt;0,O167=0),N133,0)</f>
        <v>0</v>
      </c>
      <c r="N168" s="779">
        <f t="shared" si="18"/>
        <v>0</v>
      </c>
      <c r="O168" s="780">
        <f t="shared" si="19"/>
        <v>0</v>
      </c>
      <c r="P168" s="778">
        <f>IF(AND(S168&gt;0,S167=0),Q133,0)</f>
        <v>0</v>
      </c>
      <c r="Q168" s="781">
        <f t="shared" si="20"/>
        <v>0</v>
      </c>
      <c r="S168" s="782">
        <f t="shared" si="21"/>
        <v>0</v>
      </c>
      <c r="T168" s="778">
        <f>IF(AND(V168&gt;0,V167=0),U133,0)</f>
        <v>0</v>
      </c>
      <c r="U168" s="779">
        <f t="shared" si="22"/>
        <v>0</v>
      </c>
      <c r="V168" s="780">
        <f t="shared" si="23"/>
        <v>0</v>
      </c>
      <c r="W168" s="778">
        <f>IF(AND(Y168&gt;0,Y167=0),X133,0)</f>
        <v>0</v>
      </c>
      <c r="X168" s="779">
        <f t="shared" si="24"/>
        <v>0</v>
      </c>
      <c r="Y168" s="780">
        <f t="shared" si="25"/>
        <v>0</v>
      </c>
      <c r="Z168" s="778">
        <f>IF(AND(AB168&gt;0,AB167=0),AA133,0)</f>
        <v>0</v>
      </c>
      <c r="AA168" s="779">
        <f t="shared" si="26"/>
        <v>0</v>
      </c>
      <c r="AB168" s="780">
        <f t="shared" si="27"/>
        <v>0</v>
      </c>
      <c r="AC168" s="778">
        <f>IF(AND(AE168&gt;0,AE167=0),AD133,0)</f>
        <v>0</v>
      </c>
      <c r="AD168" s="779">
        <f t="shared" si="28"/>
        <v>0</v>
      </c>
      <c r="AE168" s="780">
        <f t="shared" si="29"/>
        <v>0</v>
      </c>
      <c r="AF168" s="778">
        <f>IF(AND(AH168&gt;0,AH167=0),AG133,0)</f>
        <v>0</v>
      </c>
      <c r="AG168" s="779">
        <f t="shared" si="30"/>
        <v>0</v>
      </c>
      <c r="AH168" s="780">
        <f t="shared" si="31"/>
        <v>0</v>
      </c>
      <c r="AI168" s="778">
        <f>IF(AND(AK168&gt;0,AK167=0),AJ133,0)</f>
        <v>0</v>
      </c>
      <c r="AJ168" s="779">
        <f t="shared" si="32"/>
        <v>0</v>
      </c>
      <c r="AK168" s="780">
        <f t="shared" si="33"/>
        <v>0</v>
      </c>
      <c r="AL168" s="778">
        <f t="shared" ca="1" si="34"/>
        <v>0</v>
      </c>
      <c r="AM168" s="783"/>
      <c r="AN168" s="780"/>
      <c r="AO168" s="778">
        <f t="shared" ca="1" si="35"/>
        <v>0</v>
      </c>
      <c r="AP168" s="783"/>
      <c r="AQ168" s="780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7"/>
      <c r="BV168" s="208"/>
      <c r="BW168" s="208"/>
      <c r="BX168" s="208"/>
      <c r="BY168" s="208"/>
      <c r="BZ168" s="382"/>
      <c r="CA168" s="382"/>
      <c r="CB168" s="382"/>
      <c r="CC168" s="382"/>
      <c r="CD168" s="382"/>
      <c r="CE168" s="382"/>
      <c r="CF168" s="382"/>
      <c r="CG168" s="382"/>
      <c r="CH168" s="382"/>
      <c r="CI168" s="382"/>
      <c r="CJ168" s="382"/>
      <c r="CK168" s="382"/>
      <c r="CL168" s="382"/>
      <c r="CM168" s="382"/>
      <c r="CN168" s="382"/>
      <c r="CO168" s="382"/>
      <c r="CP168" s="382"/>
      <c r="CQ168" s="382"/>
      <c r="CR168" s="382"/>
      <c r="CS168" s="382"/>
      <c r="CT168" s="382"/>
      <c r="CU168" s="382"/>
      <c r="CV168" s="382"/>
      <c r="CW168" s="769">
        <v>26</v>
      </c>
      <c r="CX168" s="382"/>
      <c r="CY168" s="382"/>
      <c r="CZ168" s="382"/>
      <c r="DA168" s="382"/>
      <c r="DB168" s="382"/>
      <c r="DC168" s="382"/>
      <c r="DD168" s="382"/>
      <c r="DE168" s="382"/>
      <c r="DF168" s="382"/>
      <c r="DG168" s="382"/>
      <c r="DH168" s="382"/>
      <c r="DI168" s="382"/>
      <c r="DJ168" s="382"/>
      <c r="DK168" s="382"/>
      <c r="DL168" s="382"/>
      <c r="DM168" s="382"/>
      <c r="DN168" s="382"/>
      <c r="DO168" s="382"/>
      <c r="DP168" s="208"/>
      <c r="DQ168" s="208"/>
      <c r="DR168" s="208"/>
      <c r="DS168" s="208"/>
      <c r="DT168" s="208"/>
      <c r="DU168" s="208"/>
      <c r="DV168" s="208"/>
      <c r="DW168" s="208"/>
      <c r="DX168" s="208"/>
      <c r="DY168" s="208"/>
      <c r="DZ168" s="227"/>
      <c r="EA168" s="186"/>
      <c r="EB168" s="186"/>
    </row>
    <row r="169" spans="2:132" s="176" customFormat="1" ht="14.25" hidden="1" customHeight="1" x14ac:dyDescent="0.2">
      <c r="B169" s="760">
        <f ca="1">B142+INT(C168/12)</f>
        <v>2021</v>
      </c>
      <c r="C169" s="760">
        <v>27</v>
      </c>
      <c r="D169" s="777">
        <f t="shared" si="11"/>
        <v>0</v>
      </c>
      <c r="E169" s="771">
        <f t="shared" si="36"/>
        <v>0</v>
      </c>
      <c r="F169" s="778">
        <f t="shared" si="12"/>
        <v>0</v>
      </c>
      <c r="G169" s="778">
        <f t="shared" si="13"/>
        <v>0</v>
      </c>
      <c r="H169" s="779">
        <f t="shared" si="14"/>
        <v>0</v>
      </c>
      <c r="I169" s="780">
        <f t="shared" si="15"/>
        <v>0</v>
      </c>
      <c r="J169" s="778">
        <f>IF(AND(L169&gt;0,L168=0),K133,0)</f>
        <v>0</v>
      </c>
      <c r="K169" s="779">
        <f t="shared" si="16"/>
        <v>0</v>
      </c>
      <c r="L169" s="780">
        <f t="shared" si="17"/>
        <v>0</v>
      </c>
      <c r="M169" s="778">
        <f>IF(AND(O169&gt;0,O168=0),N133,0)</f>
        <v>0</v>
      </c>
      <c r="N169" s="779">
        <f t="shared" si="18"/>
        <v>0</v>
      </c>
      <c r="O169" s="780">
        <f t="shared" si="19"/>
        <v>0</v>
      </c>
      <c r="P169" s="778">
        <f>IF(AND(S169&gt;0,S168=0),Q133,0)</f>
        <v>0</v>
      </c>
      <c r="Q169" s="781">
        <f t="shared" si="20"/>
        <v>0</v>
      </c>
      <c r="S169" s="782">
        <f t="shared" si="21"/>
        <v>0</v>
      </c>
      <c r="T169" s="778">
        <f>IF(AND(V169&gt;0,V168=0),U133,0)</f>
        <v>0</v>
      </c>
      <c r="U169" s="779">
        <f t="shared" si="22"/>
        <v>0</v>
      </c>
      <c r="V169" s="780">
        <f t="shared" si="23"/>
        <v>0</v>
      </c>
      <c r="W169" s="778">
        <f>IF(AND(Y169&gt;0,Y168=0),X133,0)</f>
        <v>0</v>
      </c>
      <c r="X169" s="779">
        <f t="shared" si="24"/>
        <v>0</v>
      </c>
      <c r="Y169" s="780">
        <f t="shared" si="25"/>
        <v>0</v>
      </c>
      <c r="Z169" s="778">
        <f>IF(AND(AB169&gt;0,AB168=0),AA133,0)</f>
        <v>0</v>
      </c>
      <c r="AA169" s="779">
        <f t="shared" si="26"/>
        <v>0</v>
      </c>
      <c r="AB169" s="780">
        <f t="shared" si="27"/>
        <v>0</v>
      </c>
      <c r="AC169" s="778">
        <f>IF(AND(AE169&gt;0,AE168=0),AD133,0)</f>
        <v>0</v>
      </c>
      <c r="AD169" s="779">
        <f t="shared" si="28"/>
        <v>0</v>
      </c>
      <c r="AE169" s="780">
        <f t="shared" si="29"/>
        <v>0</v>
      </c>
      <c r="AF169" s="778">
        <f>IF(AND(AH169&gt;0,AH168=0),AG133,0)</f>
        <v>0</v>
      </c>
      <c r="AG169" s="779">
        <f t="shared" si="30"/>
        <v>0</v>
      </c>
      <c r="AH169" s="780">
        <f t="shared" si="31"/>
        <v>0</v>
      </c>
      <c r="AI169" s="778">
        <f>IF(AND(AK169&gt;0,AK168=0),AJ133,0)</f>
        <v>0</v>
      </c>
      <c r="AJ169" s="779">
        <f t="shared" si="32"/>
        <v>0</v>
      </c>
      <c r="AK169" s="780">
        <f t="shared" si="33"/>
        <v>0</v>
      </c>
      <c r="AL169" s="778">
        <f t="shared" ca="1" si="34"/>
        <v>0</v>
      </c>
      <c r="AM169" s="783"/>
      <c r="AN169" s="780"/>
      <c r="AO169" s="778">
        <f t="shared" ca="1" si="35"/>
        <v>0</v>
      </c>
      <c r="AP169" s="783"/>
      <c r="AQ169" s="780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7"/>
      <c r="BV169" s="208"/>
      <c r="BW169" s="208"/>
      <c r="BX169" s="208"/>
      <c r="BY169" s="208"/>
      <c r="BZ169" s="382"/>
      <c r="CA169" s="382"/>
      <c r="CB169" s="382"/>
      <c r="CC169" s="382"/>
      <c r="CD169" s="382"/>
      <c r="CE169" s="382"/>
      <c r="CF169" s="382"/>
      <c r="CG169" s="382"/>
      <c r="CH169" s="382"/>
      <c r="CI169" s="382"/>
      <c r="CJ169" s="382"/>
      <c r="CK169" s="382"/>
      <c r="CL169" s="382"/>
      <c r="CM169" s="382"/>
      <c r="CN169" s="382"/>
      <c r="CO169" s="382"/>
      <c r="CP169" s="382"/>
      <c r="CQ169" s="382"/>
      <c r="CR169" s="382"/>
      <c r="CS169" s="382"/>
      <c r="CT169" s="382"/>
      <c r="CU169" s="382"/>
      <c r="CV169" s="382"/>
      <c r="CW169" s="769">
        <v>27</v>
      </c>
      <c r="CX169" s="382"/>
      <c r="CY169" s="382"/>
      <c r="CZ169" s="382"/>
      <c r="DA169" s="382"/>
      <c r="DB169" s="382"/>
      <c r="DC169" s="382"/>
      <c r="DD169" s="382"/>
      <c r="DE169" s="382"/>
      <c r="DF169" s="382"/>
      <c r="DG169" s="382"/>
      <c r="DH169" s="382"/>
      <c r="DI169" s="382"/>
      <c r="DJ169" s="382"/>
      <c r="DK169" s="382"/>
      <c r="DL169" s="382"/>
      <c r="DM169" s="382"/>
      <c r="DN169" s="382"/>
      <c r="DO169" s="382"/>
      <c r="DP169" s="208"/>
      <c r="DQ169" s="208"/>
      <c r="DR169" s="208"/>
      <c r="DS169" s="208"/>
      <c r="DT169" s="208"/>
      <c r="DU169" s="208"/>
      <c r="DV169" s="208"/>
      <c r="DW169" s="208"/>
      <c r="DX169" s="208"/>
      <c r="DY169" s="208"/>
      <c r="DZ169" s="227"/>
      <c r="EA169" s="186"/>
      <c r="EB169" s="186"/>
    </row>
    <row r="170" spans="2:132" s="176" customFormat="1" ht="14.25" hidden="1" customHeight="1" x14ac:dyDescent="0.2">
      <c r="B170" s="760">
        <f ca="1">B142+INT(C169/12)</f>
        <v>2021</v>
      </c>
      <c r="C170" s="760">
        <v>28</v>
      </c>
      <c r="D170" s="777">
        <f t="shared" si="11"/>
        <v>0</v>
      </c>
      <c r="E170" s="771">
        <f t="shared" si="36"/>
        <v>0</v>
      </c>
      <c r="F170" s="778">
        <f t="shared" si="12"/>
        <v>0</v>
      </c>
      <c r="G170" s="778">
        <f t="shared" si="13"/>
        <v>0</v>
      </c>
      <c r="H170" s="779">
        <f t="shared" si="14"/>
        <v>0</v>
      </c>
      <c r="I170" s="780">
        <f t="shared" si="15"/>
        <v>0</v>
      </c>
      <c r="J170" s="778">
        <f>IF(AND(L170&gt;0,L169=0),K133,0)</f>
        <v>0</v>
      </c>
      <c r="K170" s="779">
        <f t="shared" si="16"/>
        <v>0</v>
      </c>
      <c r="L170" s="780">
        <f t="shared" si="17"/>
        <v>0</v>
      </c>
      <c r="M170" s="778">
        <f>IF(AND(O170&gt;0,O169=0),N133,0)</f>
        <v>0</v>
      </c>
      <c r="N170" s="779">
        <f t="shared" si="18"/>
        <v>0</v>
      </c>
      <c r="O170" s="780">
        <f t="shared" si="19"/>
        <v>0</v>
      </c>
      <c r="P170" s="778">
        <f>IF(AND(S170&gt;0,S169=0),Q133,0)</f>
        <v>0</v>
      </c>
      <c r="Q170" s="781">
        <f t="shared" si="20"/>
        <v>0</v>
      </c>
      <c r="S170" s="782">
        <f t="shared" si="21"/>
        <v>0</v>
      </c>
      <c r="T170" s="778">
        <f>IF(AND(V170&gt;0,V169=0),U133,0)</f>
        <v>0</v>
      </c>
      <c r="U170" s="779">
        <f t="shared" si="22"/>
        <v>0</v>
      </c>
      <c r="V170" s="780">
        <f t="shared" si="23"/>
        <v>0</v>
      </c>
      <c r="W170" s="778">
        <f>IF(AND(Y170&gt;0,Y169=0),X133,0)</f>
        <v>0</v>
      </c>
      <c r="X170" s="779">
        <f t="shared" si="24"/>
        <v>0</v>
      </c>
      <c r="Y170" s="780">
        <f t="shared" si="25"/>
        <v>0</v>
      </c>
      <c r="Z170" s="778">
        <f>IF(AND(AB170&gt;0,AB169=0),AA133,0)</f>
        <v>0</v>
      </c>
      <c r="AA170" s="779">
        <f t="shared" si="26"/>
        <v>0</v>
      </c>
      <c r="AB170" s="780">
        <f t="shared" si="27"/>
        <v>0</v>
      </c>
      <c r="AC170" s="778">
        <f>IF(AND(AE170&gt;0,AE169=0),AD133,0)</f>
        <v>0</v>
      </c>
      <c r="AD170" s="779">
        <f t="shared" si="28"/>
        <v>0</v>
      </c>
      <c r="AE170" s="780">
        <f t="shared" si="29"/>
        <v>0</v>
      </c>
      <c r="AF170" s="778">
        <f>IF(AND(AH170&gt;0,AH169=0),AG133,0)</f>
        <v>0</v>
      </c>
      <c r="AG170" s="779">
        <f t="shared" si="30"/>
        <v>0</v>
      </c>
      <c r="AH170" s="780">
        <f t="shared" si="31"/>
        <v>0</v>
      </c>
      <c r="AI170" s="778">
        <f>IF(AND(AK170&gt;0,AK169=0),AJ133,0)</f>
        <v>0</v>
      </c>
      <c r="AJ170" s="779">
        <f t="shared" si="32"/>
        <v>0</v>
      </c>
      <c r="AK170" s="780">
        <f t="shared" si="33"/>
        <v>0</v>
      </c>
      <c r="AL170" s="778">
        <f t="shared" ca="1" si="34"/>
        <v>0</v>
      </c>
      <c r="AM170" s="783"/>
      <c r="AN170" s="780"/>
      <c r="AO170" s="778">
        <f t="shared" ca="1" si="35"/>
        <v>0</v>
      </c>
      <c r="AP170" s="783"/>
      <c r="AQ170" s="780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7"/>
      <c r="BV170" s="208"/>
      <c r="BW170" s="208"/>
      <c r="BX170" s="208"/>
      <c r="BY170" s="208"/>
      <c r="BZ170" s="382"/>
      <c r="CA170" s="382"/>
      <c r="CB170" s="382"/>
      <c r="CC170" s="382"/>
      <c r="CD170" s="382"/>
      <c r="CE170" s="382"/>
      <c r="CF170" s="382"/>
      <c r="CG170" s="382"/>
      <c r="CH170" s="382"/>
      <c r="CI170" s="382"/>
      <c r="CJ170" s="382"/>
      <c r="CK170" s="382"/>
      <c r="CL170" s="382"/>
      <c r="CM170" s="382"/>
      <c r="CN170" s="382"/>
      <c r="CO170" s="382"/>
      <c r="CP170" s="382"/>
      <c r="CQ170" s="382"/>
      <c r="CR170" s="382"/>
      <c r="CS170" s="382"/>
      <c r="CT170" s="382"/>
      <c r="CU170" s="382"/>
      <c r="CV170" s="382"/>
      <c r="CW170" s="769">
        <v>28</v>
      </c>
      <c r="CX170" s="382"/>
      <c r="CY170" s="382"/>
      <c r="CZ170" s="382"/>
      <c r="DA170" s="382"/>
      <c r="DB170" s="382"/>
      <c r="DC170" s="382"/>
      <c r="DD170" s="382"/>
      <c r="DE170" s="382"/>
      <c r="DF170" s="382"/>
      <c r="DG170" s="382"/>
      <c r="DH170" s="382"/>
      <c r="DI170" s="382"/>
      <c r="DJ170" s="382"/>
      <c r="DK170" s="382"/>
      <c r="DL170" s="382"/>
      <c r="DM170" s="382"/>
      <c r="DN170" s="382"/>
      <c r="DO170" s="382"/>
      <c r="DP170" s="208"/>
      <c r="DQ170" s="208"/>
      <c r="DR170" s="208"/>
      <c r="DS170" s="208"/>
      <c r="DT170" s="208"/>
      <c r="DU170" s="208"/>
      <c r="DV170" s="208"/>
      <c r="DW170" s="208"/>
      <c r="DX170" s="208"/>
      <c r="DY170" s="208"/>
      <c r="DZ170" s="227"/>
      <c r="EA170" s="186"/>
      <c r="EB170" s="186"/>
    </row>
    <row r="171" spans="2:132" s="176" customFormat="1" ht="14.25" hidden="1" customHeight="1" x14ac:dyDescent="0.2">
      <c r="B171" s="760">
        <f ca="1">B142+INT(C170/12)</f>
        <v>2021</v>
      </c>
      <c r="C171" s="760">
        <v>29</v>
      </c>
      <c r="D171" s="777">
        <f t="shared" si="11"/>
        <v>0</v>
      </c>
      <c r="E171" s="771">
        <f t="shared" si="36"/>
        <v>0</v>
      </c>
      <c r="F171" s="778">
        <f t="shared" si="12"/>
        <v>0</v>
      </c>
      <c r="G171" s="778">
        <f t="shared" si="13"/>
        <v>0</v>
      </c>
      <c r="H171" s="779">
        <f t="shared" si="14"/>
        <v>0</v>
      </c>
      <c r="I171" s="780">
        <f t="shared" si="15"/>
        <v>0</v>
      </c>
      <c r="J171" s="778">
        <f>IF(AND(L171&gt;0,L170=0),K133,0)</f>
        <v>0</v>
      </c>
      <c r="K171" s="779">
        <f t="shared" si="16"/>
        <v>0</v>
      </c>
      <c r="L171" s="780">
        <f t="shared" si="17"/>
        <v>0</v>
      </c>
      <c r="M171" s="778">
        <f>IF(AND(O171&gt;0,O170=0),N133,0)</f>
        <v>0</v>
      </c>
      <c r="N171" s="779">
        <f t="shared" si="18"/>
        <v>0</v>
      </c>
      <c r="O171" s="780">
        <f t="shared" si="19"/>
        <v>0</v>
      </c>
      <c r="P171" s="778">
        <f>IF(AND(S171&gt;0,S170=0),Q133,0)</f>
        <v>0</v>
      </c>
      <c r="Q171" s="781">
        <f t="shared" si="20"/>
        <v>0</v>
      </c>
      <c r="S171" s="782">
        <f t="shared" si="21"/>
        <v>0</v>
      </c>
      <c r="T171" s="778">
        <f>IF(AND(V171&gt;0,V170=0),U133,0)</f>
        <v>0</v>
      </c>
      <c r="U171" s="779">
        <f t="shared" si="22"/>
        <v>0</v>
      </c>
      <c r="V171" s="780">
        <f t="shared" si="23"/>
        <v>0</v>
      </c>
      <c r="W171" s="778">
        <f>IF(AND(Y171&gt;0,Y170=0),X133,0)</f>
        <v>0</v>
      </c>
      <c r="X171" s="779">
        <f t="shared" si="24"/>
        <v>0</v>
      </c>
      <c r="Y171" s="780">
        <f t="shared" si="25"/>
        <v>0</v>
      </c>
      <c r="Z171" s="778">
        <f>IF(AND(AB171&gt;0,AB170=0),AA133,0)</f>
        <v>0</v>
      </c>
      <c r="AA171" s="779">
        <f t="shared" si="26"/>
        <v>0</v>
      </c>
      <c r="AB171" s="780">
        <f t="shared" si="27"/>
        <v>0</v>
      </c>
      <c r="AC171" s="778">
        <f>IF(AND(AE171&gt;0,AE170=0),AD133,0)</f>
        <v>0</v>
      </c>
      <c r="AD171" s="779">
        <f t="shared" si="28"/>
        <v>0</v>
      </c>
      <c r="AE171" s="780">
        <f t="shared" si="29"/>
        <v>0</v>
      </c>
      <c r="AF171" s="778">
        <f>IF(AND(AH171&gt;0,AH170=0),AG133,0)</f>
        <v>0</v>
      </c>
      <c r="AG171" s="779">
        <f t="shared" si="30"/>
        <v>0</v>
      </c>
      <c r="AH171" s="780">
        <f t="shared" si="31"/>
        <v>0</v>
      </c>
      <c r="AI171" s="778">
        <f>IF(AND(AK171&gt;0,AK170=0),AJ133,0)</f>
        <v>0</v>
      </c>
      <c r="AJ171" s="779">
        <f t="shared" si="32"/>
        <v>0</v>
      </c>
      <c r="AK171" s="780">
        <f t="shared" si="33"/>
        <v>0</v>
      </c>
      <c r="AL171" s="778">
        <f t="shared" ca="1" si="34"/>
        <v>0</v>
      </c>
      <c r="AM171" s="783"/>
      <c r="AN171" s="780"/>
      <c r="AO171" s="778">
        <f t="shared" ca="1" si="35"/>
        <v>0</v>
      </c>
      <c r="AP171" s="783"/>
      <c r="AQ171" s="780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7"/>
      <c r="BV171" s="208"/>
      <c r="BW171" s="208"/>
      <c r="BX171" s="208"/>
      <c r="BY171" s="208"/>
      <c r="BZ171" s="382"/>
      <c r="CA171" s="382"/>
      <c r="CB171" s="382"/>
      <c r="CC171" s="382"/>
      <c r="CD171" s="382"/>
      <c r="CE171" s="382"/>
      <c r="CF171" s="382"/>
      <c r="CG171" s="382"/>
      <c r="CH171" s="382"/>
      <c r="CI171" s="382"/>
      <c r="CJ171" s="382"/>
      <c r="CK171" s="382"/>
      <c r="CL171" s="382"/>
      <c r="CM171" s="382"/>
      <c r="CN171" s="382"/>
      <c r="CO171" s="382"/>
      <c r="CP171" s="382"/>
      <c r="CQ171" s="382"/>
      <c r="CR171" s="382"/>
      <c r="CS171" s="382"/>
      <c r="CT171" s="382"/>
      <c r="CU171" s="382"/>
      <c r="CV171" s="382"/>
      <c r="CW171" s="769">
        <v>29</v>
      </c>
      <c r="CX171" s="382"/>
      <c r="CY171" s="382"/>
      <c r="CZ171" s="382"/>
      <c r="DA171" s="382"/>
      <c r="DB171" s="382"/>
      <c r="DC171" s="382"/>
      <c r="DD171" s="382"/>
      <c r="DE171" s="382"/>
      <c r="DF171" s="382"/>
      <c r="DG171" s="382"/>
      <c r="DH171" s="382"/>
      <c r="DI171" s="382"/>
      <c r="DJ171" s="382"/>
      <c r="DK171" s="382"/>
      <c r="DL171" s="382"/>
      <c r="DM171" s="382"/>
      <c r="DN171" s="382"/>
      <c r="DO171" s="382"/>
      <c r="DP171" s="208"/>
      <c r="DQ171" s="208"/>
      <c r="DR171" s="208"/>
      <c r="DS171" s="208"/>
      <c r="DT171" s="208"/>
      <c r="DU171" s="208"/>
      <c r="DV171" s="208"/>
      <c r="DW171" s="208"/>
      <c r="DX171" s="208"/>
      <c r="DY171" s="208"/>
      <c r="DZ171" s="227"/>
      <c r="EA171" s="186"/>
      <c r="EB171" s="186"/>
    </row>
    <row r="172" spans="2:132" s="176" customFormat="1" ht="14.25" hidden="1" customHeight="1" x14ac:dyDescent="0.2">
      <c r="B172" s="760">
        <f ca="1">B142+INT(C171/12)</f>
        <v>2021</v>
      </c>
      <c r="C172" s="760">
        <v>30</v>
      </c>
      <c r="D172" s="777">
        <f t="shared" si="11"/>
        <v>0</v>
      </c>
      <c r="E172" s="771">
        <f t="shared" si="36"/>
        <v>0</v>
      </c>
      <c r="F172" s="778">
        <f t="shared" si="12"/>
        <v>0</v>
      </c>
      <c r="G172" s="778">
        <f t="shared" si="13"/>
        <v>0</v>
      </c>
      <c r="H172" s="779">
        <f t="shared" si="14"/>
        <v>0</v>
      </c>
      <c r="I172" s="780">
        <f t="shared" si="15"/>
        <v>0</v>
      </c>
      <c r="J172" s="778">
        <f>IF(AND(L172&gt;0,L171=0),K133,0)</f>
        <v>0</v>
      </c>
      <c r="K172" s="779">
        <f t="shared" si="16"/>
        <v>0</v>
      </c>
      <c r="L172" s="780">
        <f t="shared" si="17"/>
        <v>0</v>
      </c>
      <c r="M172" s="778">
        <f>IF(AND(O172&gt;0,O171=0),N133,0)</f>
        <v>0</v>
      </c>
      <c r="N172" s="779">
        <f t="shared" si="18"/>
        <v>0</v>
      </c>
      <c r="O172" s="780">
        <f t="shared" si="19"/>
        <v>0</v>
      </c>
      <c r="P172" s="778">
        <f>IF(AND(S172&gt;0,S171=0),Q133,0)</f>
        <v>0</v>
      </c>
      <c r="Q172" s="781">
        <f t="shared" si="20"/>
        <v>0</v>
      </c>
      <c r="S172" s="782">
        <f t="shared" si="21"/>
        <v>0</v>
      </c>
      <c r="T172" s="778">
        <f>IF(AND(V172&gt;0,V171=0),U133,0)</f>
        <v>0</v>
      </c>
      <c r="U172" s="779">
        <f t="shared" si="22"/>
        <v>0</v>
      </c>
      <c r="V172" s="780">
        <f t="shared" si="23"/>
        <v>0</v>
      </c>
      <c r="W172" s="778">
        <f>IF(AND(Y172&gt;0,Y171=0),X133,0)</f>
        <v>0</v>
      </c>
      <c r="X172" s="779">
        <f t="shared" si="24"/>
        <v>0</v>
      </c>
      <c r="Y172" s="780">
        <f t="shared" si="25"/>
        <v>0</v>
      </c>
      <c r="Z172" s="778">
        <f>IF(AND(AB172&gt;0,AB171=0),AA133,0)</f>
        <v>0</v>
      </c>
      <c r="AA172" s="779">
        <f t="shared" si="26"/>
        <v>0</v>
      </c>
      <c r="AB172" s="780">
        <f t="shared" si="27"/>
        <v>0</v>
      </c>
      <c r="AC172" s="778">
        <f>IF(AND(AE172&gt;0,AE171=0),AD133,0)</f>
        <v>0</v>
      </c>
      <c r="AD172" s="779">
        <f t="shared" si="28"/>
        <v>0</v>
      </c>
      <c r="AE172" s="780">
        <f t="shared" si="29"/>
        <v>0</v>
      </c>
      <c r="AF172" s="778">
        <f>IF(AND(AH172&gt;0,AH171=0),AG133,0)</f>
        <v>0</v>
      </c>
      <c r="AG172" s="779">
        <f t="shared" si="30"/>
        <v>0</v>
      </c>
      <c r="AH172" s="780">
        <f t="shared" si="31"/>
        <v>0</v>
      </c>
      <c r="AI172" s="778">
        <f>IF(AND(AK172&gt;0,AK171=0),AJ133,0)</f>
        <v>0</v>
      </c>
      <c r="AJ172" s="779">
        <f t="shared" si="32"/>
        <v>0</v>
      </c>
      <c r="AK172" s="780">
        <f t="shared" si="33"/>
        <v>0</v>
      </c>
      <c r="AL172" s="778">
        <f t="shared" ca="1" si="34"/>
        <v>0</v>
      </c>
      <c r="AM172" s="783"/>
      <c r="AN172" s="780"/>
      <c r="AO172" s="778">
        <f t="shared" ca="1" si="35"/>
        <v>0</v>
      </c>
      <c r="AP172" s="783"/>
      <c r="AQ172" s="780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7"/>
      <c r="BV172" s="208"/>
      <c r="BW172" s="208"/>
      <c r="BX172" s="208"/>
      <c r="BY172" s="208"/>
      <c r="BZ172" s="382"/>
      <c r="CA172" s="382"/>
      <c r="CB172" s="382"/>
      <c r="CC172" s="382"/>
      <c r="CD172" s="382"/>
      <c r="CE172" s="382"/>
      <c r="CF172" s="382"/>
      <c r="CG172" s="382"/>
      <c r="CH172" s="382"/>
      <c r="CI172" s="382"/>
      <c r="CJ172" s="382"/>
      <c r="CK172" s="382"/>
      <c r="CL172" s="382"/>
      <c r="CM172" s="382"/>
      <c r="CN172" s="382"/>
      <c r="CO172" s="382"/>
      <c r="CP172" s="382"/>
      <c r="CQ172" s="382"/>
      <c r="CR172" s="382"/>
      <c r="CS172" s="382"/>
      <c r="CT172" s="382"/>
      <c r="CU172" s="382"/>
      <c r="CV172" s="382"/>
      <c r="CW172" s="769">
        <v>30</v>
      </c>
      <c r="CX172" s="382"/>
      <c r="CY172" s="382"/>
      <c r="CZ172" s="382"/>
      <c r="DA172" s="382"/>
      <c r="DB172" s="382"/>
      <c r="DC172" s="382"/>
      <c r="DD172" s="382"/>
      <c r="DE172" s="382"/>
      <c r="DF172" s="382"/>
      <c r="DG172" s="382"/>
      <c r="DH172" s="382"/>
      <c r="DI172" s="382"/>
      <c r="DJ172" s="382"/>
      <c r="DK172" s="382"/>
      <c r="DL172" s="382"/>
      <c r="DM172" s="382"/>
      <c r="DN172" s="382"/>
      <c r="DO172" s="382"/>
      <c r="DP172" s="208"/>
      <c r="DQ172" s="208"/>
      <c r="DR172" s="208"/>
      <c r="DS172" s="208"/>
      <c r="DT172" s="208"/>
      <c r="DU172" s="208"/>
      <c r="DV172" s="208"/>
      <c r="DW172" s="208"/>
      <c r="DX172" s="208"/>
      <c r="DY172" s="208"/>
      <c r="DZ172" s="227"/>
      <c r="EA172" s="186"/>
      <c r="EB172" s="186"/>
    </row>
    <row r="173" spans="2:132" s="176" customFormat="1" ht="14.25" hidden="1" customHeight="1" x14ac:dyDescent="0.2">
      <c r="B173" s="760">
        <f ca="1">B142+INT(C172/12)</f>
        <v>2021</v>
      </c>
      <c r="C173" s="760">
        <v>31</v>
      </c>
      <c r="D173" s="777">
        <f t="shared" si="11"/>
        <v>0</v>
      </c>
      <c r="E173" s="771">
        <f t="shared" si="36"/>
        <v>0</v>
      </c>
      <c r="F173" s="778">
        <f t="shared" si="12"/>
        <v>0</v>
      </c>
      <c r="G173" s="778">
        <f t="shared" si="13"/>
        <v>0</v>
      </c>
      <c r="H173" s="779">
        <f t="shared" si="14"/>
        <v>0</v>
      </c>
      <c r="I173" s="780">
        <f t="shared" si="15"/>
        <v>0</v>
      </c>
      <c r="J173" s="778">
        <f>IF(AND(L173&gt;0,L172=0),K133,0)</f>
        <v>0</v>
      </c>
      <c r="K173" s="779">
        <f t="shared" si="16"/>
        <v>0</v>
      </c>
      <c r="L173" s="780">
        <f t="shared" si="17"/>
        <v>0</v>
      </c>
      <c r="M173" s="778">
        <f>IF(AND(O173&gt;0,O172=0),N133,0)</f>
        <v>0</v>
      </c>
      <c r="N173" s="779">
        <f t="shared" si="18"/>
        <v>0</v>
      </c>
      <c r="O173" s="780">
        <f t="shared" si="19"/>
        <v>0</v>
      </c>
      <c r="P173" s="778">
        <f>IF(AND(S173&gt;0,S172=0),Q133,0)</f>
        <v>0</v>
      </c>
      <c r="Q173" s="781">
        <f t="shared" si="20"/>
        <v>0</v>
      </c>
      <c r="S173" s="782">
        <f t="shared" si="21"/>
        <v>0</v>
      </c>
      <c r="T173" s="778">
        <f>IF(AND(V173&gt;0,V172=0),U133,0)</f>
        <v>0</v>
      </c>
      <c r="U173" s="779">
        <f t="shared" si="22"/>
        <v>0</v>
      </c>
      <c r="V173" s="780">
        <f t="shared" si="23"/>
        <v>0</v>
      </c>
      <c r="W173" s="778">
        <f>IF(AND(Y173&gt;0,Y172=0),X133,0)</f>
        <v>0</v>
      </c>
      <c r="X173" s="779">
        <f t="shared" si="24"/>
        <v>0</v>
      </c>
      <c r="Y173" s="780">
        <f t="shared" si="25"/>
        <v>0</v>
      </c>
      <c r="Z173" s="778">
        <f>IF(AND(AB173&gt;0,AB172=0),AA133,0)</f>
        <v>0</v>
      </c>
      <c r="AA173" s="779">
        <f t="shared" si="26"/>
        <v>0</v>
      </c>
      <c r="AB173" s="780">
        <f t="shared" si="27"/>
        <v>0</v>
      </c>
      <c r="AC173" s="778">
        <f>IF(AND(AE173&gt;0,AE172=0),AD133,0)</f>
        <v>0</v>
      </c>
      <c r="AD173" s="779">
        <f t="shared" si="28"/>
        <v>0</v>
      </c>
      <c r="AE173" s="780">
        <f t="shared" si="29"/>
        <v>0</v>
      </c>
      <c r="AF173" s="778">
        <f>IF(AND(AH173&gt;0,AH172=0),AG133,0)</f>
        <v>0</v>
      </c>
      <c r="AG173" s="779">
        <f t="shared" si="30"/>
        <v>0</v>
      </c>
      <c r="AH173" s="780">
        <f t="shared" si="31"/>
        <v>0</v>
      </c>
      <c r="AI173" s="778">
        <f>IF(AND(AK173&gt;0,AK172=0),AJ133,0)</f>
        <v>0</v>
      </c>
      <c r="AJ173" s="779">
        <f t="shared" si="32"/>
        <v>0</v>
      </c>
      <c r="AK173" s="780">
        <f t="shared" si="33"/>
        <v>0</v>
      </c>
      <c r="AL173" s="778">
        <f t="shared" ca="1" si="34"/>
        <v>0</v>
      </c>
      <c r="AM173" s="783"/>
      <c r="AN173" s="780"/>
      <c r="AO173" s="778">
        <f t="shared" ca="1" si="35"/>
        <v>0</v>
      </c>
      <c r="AP173" s="783"/>
      <c r="AQ173" s="780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7"/>
      <c r="BV173" s="208"/>
      <c r="BW173" s="208"/>
      <c r="BX173" s="208"/>
      <c r="BY173" s="208"/>
      <c r="BZ173" s="382"/>
      <c r="CA173" s="382"/>
      <c r="CB173" s="382"/>
      <c r="CC173" s="382"/>
      <c r="CD173" s="382"/>
      <c r="CE173" s="382"/>
      <c r="CF173" s="382"/>
      <c r="CG173" s="382"/>
      <c r="CH173" s="382"/>
      <c r="CI173" s="382"/>
      <c r="CJ173" s="382"/>
      <c r="CK173" s="382"/>
      <c r="CL173" s="382"/>
      <c r="CM173" s="382"/>
      <c r="CN173" s="382"/>
      <c r="CO173" s="382"/>
      <c r="CP173" s="382"/>
      <c r="CQ173" s="382"/>
      <c r="CR173" s="382"/>
      <c r="CS173" s="382"/>
      <c r="CT173" s="382"/>
      <c r="CU173" s="382"/>
      <c r="CV173" s="382"/>
      <c r="CW173" s="769">
        <v>31</v>
      </c>
      <c r="CX173" s="382"/>
      <c r="CY173" s="382"/>
      <c r="CZ173" s="382"/>
      <c r="DA173" s="382"/>
      <c r="DB173" s="382"/>
      <c r="DC173" s="382"/>
      <c r="DD173" s="382"/>
      <c r="DE173" s="382"/>
      <c r="DF173" s="382"/>
      <c r="DG173" s="382"/>
      <c r="DH173" s="382"/>
      <c r="DI173" s="382"/>
      <c r="DJ173" s="382"/>
      <c r="DK173" s="382"/>
      <c r="DL173" s="382"/>
      <c r="DM173" s="382"/>
      <c r="DN173" s="382"/>
      <c r="DO173" s="382"/>
      <c r="DP173" s="208"/>
      <c r="DQ173" s="208"/>
      <c r="DR173" s="208"/>
      <c r="DS173" s="208"/>
      <c r="DT173" s="208"/>
      <c r="DU173" s="208"/>
      <c r="DV173" s="208"/>
      <c r="DW173" s="208"/>
      <c r="DX173" s="208"/>
      <c r="DY173" s="208"/>
      <c r="DZ173" s="227"/>
      <c r="EA173" s="186"/>
      <c r="EB173" s="186"/>
    </row>
    <row r="174" spans="2:132" s="176" customFormat="1" ht="14.25" hidden="1" customHeight="1" x14ac:dyDescent="0.2">
      <c r="B174" s="760">
        <f ca="1">B142+INT(C173/12)</f>
        <v>2021</v>
      </c>
      <c r="C174" s="760">
        <v>32</v>
      </c>
      <c r="D174" s="777">
        <f t="shared" si="11"/>
        <v>0</v>
      </c>
      <c r="E174" s="771">
        <f t="shared" si="36"/>
        <v>0</v>
      </c>
      <c r="F174" s="778">
        <f t="shared" si="12"/>
        <v>0</v>
      </c>
      <c r="G174" s="778">
        <f t="shared" si="13"/>
        <v>0</v>
      </c>
      <c r="H174" s="779">
        <f t="shared" si="14"/>
        <v>0</v>
      </c>
      <c r="I174" s="780">
        <f t="shared" si="15"/>
        <v>0</v>
      </c>
      <c r="J174" s="778">
        <f>IF(AND(L174&gt;0,L173=0),K133,0)</f>
        <v>0</v>
      </c>
      <c r="K174" s="779">
        <f t="shared" si="16"/>
        <v>0</v>
      </c>
      <c r="L174" s="780">
        <f t="shared" si="17"/>
        <v>0</v>
      </c>
      <c r="M174" s="778">
        <f>IF(AND(O174&gt;0,O173=0),N133,0)</f>
        <v>0</v>
      </c>
      <c r="N174" s="779">
        <f t="shared" si="18"/>
        <v>0</v>
      </c>
      <c r="O174" s="780">
        <f t="shared" si="19"/>
        <v>0</v>
      </c>
      <c r="P174" s="778">
        <f>IF(AND(S174&gt;0,S173=0),Q133,0)</f>
        <v>0</v>
      </c>
      <c r="Q174" s="781">
        <f t="shared" si="20"/>
        <v>0</v>
      </c>
      <c r="S174" s="782">
        <f t="shared" si="21"/>
        <v>0</v>
      </c>
      <c r="T174" s="778">
        <f>IF(AND(V174&gt;0,V173=0),U133,0)</f>
        <v>0</v>
      </c>
      <c r="U174" s="779">
        <f t="shared" si="22"/>
        <v>0</v>
      </c>
      <c r="V174" s="780">
        <f t="shared" si="23"/>
        <v>0</v>
      </c>
      <c r="W174" s="778">
        <f>IF(AND(Y174&gt;0,Y173=0),X133,0)</f>
        <v>0</v>
      </c>
      <c r="X174" s="779">
        <f t="shared" si="24"/>
        <v>0</v>
      </c>
      <c r="Y174" s="780">
        <f t="shared" si="25"/>
        <v>0</v>
      </c>
      <c r="Z174" s="778">
        <f>IF(AND(AB174&gt;0,AB173=0),AA133,0)</f>
        <v>0</v>
      </c>
      <c r="AA174" s="779">
        <f t="shared" si="26"/>
        <v>0</v>
      </c>
      <c r="AB174" s="780">
        <f t="shared" si="27"/>
        <v>0</v>
      </c>
      <c r="AC174" s="778">
        <f>IF(AND(AE174&gt;0,AE173=0),AD133,0)</f>
        <v>0</v>
      </c>
      <c r="AD174" s="779">
        <f t="shared" si="28"/>
        <v>0</v>
      </c>
      <c r="AE174" s="780">
        <f t="shared" si="29"/>
        <v>0</v>
      </c>
      <c r="AF174" s="778">
        <f>IF(AND(AH174&gt;0,AH173=0),AG133,0)</f>
        <v>0</v>
      </c>
      <c r="AG174" s="779">
        <f t="shared" si="30"/>
        <v>0</v>
      </c>
      <c r="AH174" s="780">
        <f t="shared" si="31"/>
        <v>0</v>
      </c>
      <c r="AI174" s="778">
        <f>IF(AND(AK174&gt;0,AK173=0),AJ133,0)</f>
        <v>0</v>
      </c>
      <c r="AJ174" s="779">
        <f t="shared" si="32"/>
        <v>0</v>
      </c>
      <c r="AK174" s="780">
        <f t="shared" si="33"/>
        <v>0</v>
      </c>
      <c r="AL174" s="778">
        <f t="shared" ca="1" si="34"/>
        <v>0</v>
      </c>
      <c r="AM174" s="783"/>
      <c r="AN174" s="780"/>
      <c r="AO174" s="778">
        <f t="shared" ca="1" si="35"/>
        <v>0</v>
      </c>
      <c r="AP174" s="783"/>
      <c r="AQ174" s="780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7"/>
      <c r="BV174" s="208"/>
      <c r="BW174" s="208"/>
      <c r="BX174" s="208"/>
      <c r="BY174" s="208"/>
      <c r="BZ174" s="382"/>
      <c r="CA174" s="382"/>
      <c r="CB174" s="382"/>
      <c r="CC174" s="382"/>
      <c r="CD174" s="382"/>
      <c r="CE174" s="382"/>
      <c r="CF174" s="382"/>
      <c r="CG174" s="382"/>
      <c r="CH174" s="382"/>
      <c r="CI174" s="382"/>
      <c r="CJ174" s="382"/>
      <c r="CK174" s="382"/>
      <c r="CL174" s="382"/>
      <c r="CM174" s="382"/>
      <c r="CN174" s="382"/>
      <c r="CO174" s="382"/>
      <c r="CP174" s="382"/>
      <c r="CQ174" s="382"/>
      <c r="CR174" s="382"/>
      <c r="CS174" s="382"/>
      <c r="CT174" s="382"/>
      <c r="CU174" s="382"/>
      <c r="CV174" s="382"/>
      <c r="CW174" s="769">
        <v>32</v>
      </c>
      <c r="CX174" s="382"/>
      <c r="CY174" s="382"/>
      <c r="CZ174" s="382"/>
      <c r="DA174" s="382"/>
      <c r="DB174" s="382"/>
      <c r="DC174" s="382"/>
      <c r="DD174" s="382"/>
      <c r="DE174" s="382"/>
      <c r="DF174" s="382"/>
      <c r="DG174" s="382"/>
      <c r="DH174" s="382"/>
      <c r="DI174" s="382"/>
      <c r="DJ174" s="382"/>
      <c r="DK174" s="382"/>
      <c r="DL174" s="382"/>
      <c r="DM174" s="382"/>
      <c r="DN174" s="382"/>
      <c r="DO174" s="382"/>
      <c r="DP174" s="208"/>
      <c r="DQ174" s="208"/>
      <c r="DR174" s="208"/>
      <c r="DS174" s="208"/>
      <c r="DT174" s="208"/>
      <c r="DU174" s="208"/>
      <c r="DV174" s="208"/>
      <c r="DW174" s="208"/>
      <c r="DX174" s="208"/>
      <c r="DY174" s="208"/>
      <c r="DZ174" s="227"/>
      <c r="EA174" s="186"/>
      <c r="EB174" s="186"/>
    </row>
    <row r="175" spans="2:132" s="176" customFormat="1" ht="14.25" hidden="1" customHeight="1" x14ac:dyDescent="0.2">
      <c r="B175" s="760">
        <f ca="1">B142+INT(C174/12)</f>
        <v>2021</v>
      </c>
      <c r="C175" s="760">
        <v>33</v>
      </c>
      <c r="D175" s="777">
        <f t="shared" ref="D175:D202" si="37">G175+J175+M175+P175+T175+W175+Z175+AC175+AF175+AI175</f>
        <v>0</v>
      </c>
      <c r="E175" s="771">
        <f t="shared" si="36"/>
        <v>0</v>
      </c>
      <c r="F175" s="778">
        <f t="shared" ref="F175:F202" si="38">I175+L175+O175+S175+V175+Y175+AB175+AE175+AH175+AK175+AN175+AQ175</f>
        <v>0</v>
      </c>
      <c r="G175" s="778">
        <f t="shared" ref="G175:G202" si="39">IF(AND(I175&gt;0,I174=0),$H$133,0)</f>
        <v>0</v>
      </c>
      <c r="H175" s="779">
        <f t="shared" ref="H175:H202" si="40">IF(AND($C175&lt;=H$139,$C175&gt;=H$138),H$133/(H$134*12),0)</f>
        <v>0</v>
      </c>
      <c r="I175" s="780">
        <f t="shared" ref="I175:I202" si="41">IF(AND($C175&gt;=H$140,$C175&lt;=H$139),(H$133-($C175-H$138)*H175)*H$135/12,0)</f>
        <v>0</v>
      </c>
      <c r="J175" s="778">
        <f>IF(AND(L175&gt;0,L174=0),K133,0)</f>
        <v>0</v>
      </c>
      <c r="K175" s="779">
        <f t="shared" ref="K175:K202" si="42">IF(AND($C175&lt;=K$139,$C175&gt;=K$138),K$133/(K$134*12),0)</f>
        <v>0</v>
      </c>
      <c r="L175" s="780">
        <f t="shared" ref="L175:L202" si="43">IF(AND($C175&gt;=K$140,$C175&lt;=K$139),(K$133-($C175-K$138)*K175)*K$135/12,0)</f>
        <v>0</v>
      </c>
      <c r="M175" s="778">
        <f>IF(AND(O175&gt;0,O174=0),N133,0)</f>
        <v>0</v>
      </c>
      <c r="N175" s="779">
        <f t="shared" ref="N175:N202" si="44">IF(AND($C175&lt;=N$139,$C175&gt;=N$138),N$133/(N$134*12),0)</f>
        <v>0</v>
      </c>
      <c r="O175" s="780">
        <f t="shared" ref="O175:O202" si="45">IF(AND($C175&gt;=N$140,$C175&lt;=N$139),(N$133-($C175-N$138)*N175)*N$135/12,0)</f>
        <v>0</v>
      </c>
      <c r="P175" s="778">
        <f>IF(AND(S175&gt;0,S174=0),Q133,0)</f>
        <v>0</v>
      </c>
      <c r="Q175" s="781">
        <f t="shared" ref="Q175:Q202" si="46">IF(AND($C175&lt;=Q$139,$C175&gt;=Q$138),Q$133/(Q$134*12),0)</f>
        <v>0</v>
      </c>
      <c r="S175" s="782">
        <f t="shared" ref="S175:S202" si="47">IF(AND($C175&gt;=Q$140,$C175&lt;=Q$139),(Q$133-($C175-Q$138)*Q175)*Q$135/12,0)</f>
        <v>0</v>
      </c>
      <c r="T175" s="778">
        <f>IF(AND(V175&gt;0,V174=0),U133,0)</f>
        <v>0</v>
      </c>
      <c r="U175" s="779">
        <f t="shared" ref="U175:U202" si="48">IF(AND($C175&lt;=U$139,$C175&gt;=U$138),U$133/(U$134*12),0)</f>
        <v>0</v>
      </c>
      <c r="V175" s="780">
        <f t="shared" ref="V175:V202" si="49">IF(AND($C175&gt;=U$140,$C175&lt;=U$139),(U$133-($C175-U$138)*U175)*U$135/12,0)</f>
        <v>0</v>
      </c>
      <c r="W175" s="778">
        <f>IF(AND(Y175&gt;0,Y174=0),X133,0)</f>
        <v>0</v>
      </c>
      <c r="X175" s="779">
        <f t="shared" ref="X175:X202" si="50">IF(AND($C175&lt;=X$139,$C175&gt;=X$138),X$133/(X$134*12),0)</f>
        <v>0</v>
      </c>
      <c r="Y175" s="780">
        <f t="shared" ref="Y175:Y202" si="51">IF(AND($C175&gt;=X$140,$C175&lt;=X$139),(X$133-($C175-X$138)*X175)*X$135/12,0)</f>
        <v>0</v>
      </c>
      <c r="Z175" s="778">
        <f>IF(AND(AB175&gt;0,AB174=0),AA133,0)</f>
        <v>0</v>
      </c>
      <c r="AA175" s="779">
        <f t="shared" ref="AA175:AA202" si="52">IF(AND($C175&lt;=AA$139,$C175&gt;=AA$138),AA$133/(AA$134*12),0)</f>
        <v>0</v>
      </c>
      <c r="AB175" s="780">
        <f t="shared" ref="AB175:AB202" si="53">IF(AND($C175&gt;=AA$140,$C175&lt;=AA$139),(AA$133-($C175-AA$138)*AA175)*AA$135/12,0)</f>
        <v>0</v>
      </c>
      <c r="AC175" s="778">
        <f>IF(AND(AE175&gt;0,AE174=0),AD133,0)</f>
        <v>0</v>
      </c>
      <c r="AD175" s="779">
        <f t="shared" ref="AD175:AD202" si="54">IF(AND($C175&lt;=AD$139,$C175&gt;=AD$138),AD$133/(AD$134*12),0)</f>
        <v>0</v>
      </c>
      <c r="AE175" s="780">
        <f t="shared" ref="AE175:AE202" si="55">IF(AND($C175&gt;=AD$140,$C175&lt;=AD$139),(AD$133-($C175-AD$138)*AD175)*AD$135/12,0)</f>
        <v>0</v>
      </c>
      <c r="AF175" s="778">
        <f>IF(AND(AH175&gt;0,AH174=0),AG133,0)</f>
        <v>0</v>
      </c>
      <c r="AG175" s="779">
        <f t="shared" ref="AG175:AG202" si="56">IF(AND($C175&lt;=AG$139,$C175&gt;=AG$138),AG$133/(AG$134*12),0)</f>
        <v>0</v>
      </c>
      <c r="AH175" s="780">
        <f t="shared" ref="AH175:AH202" si="57">IF(AND($C175&gt;=AG$140,$C175&lt;=AG$139),(AG$133-($C175-AG$138)*AG175)*AG$135/12,0)</f>
        <v>0</v>
      </c>
      <c r="AI175" s="778">
        <f>IF(AND(AK175&gt;0,AK174=0),AJ133,0)</f>
        <v>0</v>
      </c>
      <c r="AJ175" s="779">
        <f t="shared" ref="AJ175:AJ202" si="58">IF(AND($C175&lt;=AJ$139,$C175&gt;=AJ$138),AJ$133/(AJ$134*12),0)</f>
        <v>0</v>
      </c>
      <c r="AK175" s="780">
        <f t="shared" ref="AK175:AK202" si="59">IF(AND($C175&gt;=AJ$140,$C175&lt;=AJ$139),(AJ$133-($C175-AJ$138)*AJ175)*AJ$135/12,0)</f>
        <v>0</v>
      </c>
      <c r="AL175" s="778">
        <f t="shared" ref="AL175:AL202" ca="1" si="60">IF(AND($AM$137=B175,$AM$140=C175),$AM$133,0)</f>
        <v>0</v>
      </c>
      <c r="AM175" s="783"/>
      <c r="AN175" s="780"/>
      <c r="AO175" s="778">
        <f t="shared" ref="AO175:AO202" ca="1" si="61">IF(AND($AP$137=B175,$AP$140=C175),$AP$133,0)</f>
        <v>0</v>
      </c>
      <c r="AP175" s="783"/>
      <c r="AQ175" s="780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7"/>
      <c r="BV175" s="208"/>
      <c r="BW175" s="208"/>
      <c r="BX175" s="208"/>
      <c r="BY175" s="208"/>
      <c r="BZ175" s="382"/>
      <c r="CA175" s="382"/>
      <c r="CB175" s="382"/>
      <c r="CC175" s="382"/>
      <c r="CD175" s="382"/>
      <c r="CE175" s="382"/>
      <c r="CF175" s="382"/>
      <c r="CG175" s="382"/>
      <c r="CH175" s="382"/>
      <c r="CI175" s="382"/>
      <c r="CJ175" s="382"/>
      <c r="CK175" s="382"/>
      <c r="CL175" s="382"/>
      <c r="CM175" s="382"/>
      <c r="CN175" s="382"/>
      <c r="CO175" s="382"/>
      <c r="CP175" s="382"/>
      <c r="CQ175" s="382"/>
      <c r="CR175" s="382"/>
      <c r="CS175" s="382"/>
      <c r="CT175" s="382"/>
      <c r="CU175" s="382"/>
      <c r="CV175" s="382"/>
      <c r="CW175" s="769">
        <v>33</v>
      </c>
      <c r="CX175" s="382"/>
      <c r="CY175" s="382"/>
      <c r="CZ175" s="382"/>
      <c r="DA175" s="382"/>
      <c r="DB175" s="382"/>
      <c r="DC175" s="382"/>
      <c r="DD175" s="382"/>
      <c r="DE175" s="382"/>
      <c r="DF175" s="382"/>
      <c r="DG175" s="382"/>
      <c r="DH175" s="382"/>
      <c r="DI175" s="382"/>
      <c r="DJ175" s="382"/>
      <c r="DK175" s="382"/>
      <c r="DL175" s="382"/>
      <c r="DM175" s="382"/>
      <c r="DN175" s="382"/>
      <c r="DO175" s="382"/>
      <c r="DP175" s="208"/>
      <c r="DQ175" s="208"/>
      <c r="DR175" s="208"/>
      <c r="DS175" s="208"/>
      <c r="DT175" s="208"/>
      <c r="DU175" s="208"/>
      <c r="DV175" s="208"/>
      <c r="DW175" s="208"/>
      <c r="DX175" s="208"/>
      <c r="DY175" s="208"/>
      <c r="DZ175" s="227"/>
      <c r="EA175" s="186"/>
      <c r="EB175" s="186"/>
    </row>
    <row r="176" spans="2:132" s="176" customFormat="1" ht="14.25" hidden="1" customHeight="1" x14ac:dyDescent="0.2">
      <c r="B176" s="760">
        <f ca="1">B142+INT(C175/12)</f>
        <v>2021</v>
      </c>
      <c r="C176" s="760">
        <v>34</v>
      </c>
      <c r="D176" s="777">
        <f t="shared" si="37"/>
        <v>0</v>
      </c>
      <c r="E176" s="771">
        <f t="shared" si="36"/>
        <v>0</v>
      </c>
      <c r="F176" s="778">
        <f t="shared" si="38"/>
        <v>0</v>
      </c>
      <c r="G176" s="778">
        <f t="shared" si="39"/>
        <v>0</v>
      </c>
      <c r="H176" s="779">
        <f t="shared" si="40"/>
        <v>0</v>
      </c>
      <c r="I176" s="780">
        <f t="shared" si="41"/>
        <v>0</v>
      </c>
      <c r="J176" s="778">
        <f>IF(AND(L176&gt;0,L175=0),K133,0)</f>
        <v>0</v>
      </c>
      <c r="K176" s="779">
        <f t="shared" si="42"/>
        <v>0</v>
      </c>
      <c r="L176" s="780">
        <f t="shared" si="43"/>
        <v>0</v>
      </c>
      <c r="M176" s="778">
        <f>IF(AND(O176&gt;0,O175=0),N133,0)</f>
        <v>0</v>
      </c>
      <c r="N176" s="779">
        <f t="shared" si="44"/>
        <v>0</v>
      </c>
      <c r="O176" s="780">
        <f t="shared" si="45"/>
        <v>0</v>
      </c>
      <c r="P176" s="778">
        <f>IF(AND(S176&gt;0,S175=0),Q133,0)</f>
        <v>0</v>
      </c>
      <c r="Q176" s="781">
        <f t="shared" si="46"/>
        <v>0</v>
      </c>
      <c r="S176" s="782">
        <f t="shared" si="47"/>
        <v>0</v>
      </c>
      <c r="T176" s="778">
        <f>IF(AND(V176&gt;0,V175=0),U133,0)</f>
        <v>0</v>
      </c>
      <c r="U176" s="779">
        <f t="shared" si="48"/>
        <v>0</v>
      </c>
      <c r="V176" s="780">
        <f t="shared" si="49"/>
        <v>0</v>
      </c>
      <c r="W176" s="778">
        <f>IF(AND(Y176&gt;0,Y175=0),X133,0)</f>
        <v>0</v>
      </c>
      <c r="X176" s="779">
        <f t="shared" si="50"/>
        <v>0</v>
      </c>
      <c r="Y176" s="780">
        <f t="shared" si="51"/>
        <v>0</v>
      </c>
      <c r="Z176" s="778">
        <f>IF(AND(AB176&gt;0,AB175=0),AA133,0)</f>
        <v>0</v>
      </c>
      <c r="AA176" s="779">
        <f t="shared" si="52"/>
        <v>0</v>
      </c>
      <c r="AB176" s="780">
        <f t="shared" si="53"/>
        <v>0</v>
      </c>
      <c r="AC176" s="778">
        <f>IF(AND(AE176&gt;0,AE175=0),AD133,0)</f>
        <v>0</v>
      </c>
      <c r="AD176" s="779">
        <f t="shared" si="54"/>
        <v>0</v>
      </c>
      <c r="AE176" s="780">
        <f t="shared" si="55"/>
        <v>0</v>
      </c>
      <c r="AF176" s="778">
        <f>IF(AND(AH176&gt;0,AH175=0),AG133,0)</f>
        <v>0</v>
      </c>
      <c r="AG176" s="779">
        <f t="shared" si="56"/>
        <v>0</v>
      </c>
      <c r="AH176" s="780">
        <f t="shared" si="57"/>
        <v>0</v>
      </c>
      <c r="AI176" s="778">
        <f>IF(AND(AK176&gt;0,AK175=0),AJ133,0)</f>
        <v>0</v>
      </c>
      <c r="AJ176" s="779">
        <f t="shared" si="58"/>
        <v>0</v>
      </c>
      <c r="AK176" s="780">
        <f t="shared" si="59"/>
        <v>0</v>
      </c>
      <c r="AL176" s="778">
        <f t="shared" ca="1" si="60"/>
        <v>0</v>
      </c>
      <c r="AM176" s="783"/>
      <c r="AN176" s="780"/>
      <c r="AO176" s="778">
        <f t="shared" ca="1" si="61"/>
        <v>0</v>
      </c>
      <c r="AP176" s="783"/>
      <c r="AQ176" s="780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7"/>
      <c r="BV176" s="208"/>
      <c r="BW176" s="208"/>
      <c r="BX176" s="208"/>
      <c r="BY176" s="208"/>
      <c r="BZ176" s="382"/>
      <c r="CA176" s="382"/>
      <c r="CB176" s="382"/>
      <c r="CC176" s="382"/>
      <c r="CD176" s="382"/>
      <c r="CE176" s="382"/>
      <c r="CF176" s="382"/>
      <c r="CG176" s="382"/>
      <c r="CH176" s="382"/>
      <c r="CI176" s="382"/>
      <c r="CJ176" s="382"/>
      <c r="CK176" s="382"/>
      <c r="CL176" s="382"/>
      <c r="CM176" s="382"/>
      <c r="CN176" s="382"/>
      <c r="CO176" s="382"/>
      <c r="CP176" s="382"/>
      <c r="CQ176" s="382"/>
      <c r="CR176" s="382"/>
      <c r="CS176" s="382"/>
      <c r="CT176" s="382"/>
      <c r="CU176" s="382"/>
      <c r="CV176" s="382"/>
      <c r="CW176" s="769">
        <v>34</v>
      </c>
      <c r="CX176" s="382"/>
      <c r="CY176" s="382"/>
      <c r="CZ176" s="382"/>
      <c r="DA176" s="382"/>
      <c r="DB176" s="382"/>
      <c r="DC176" s="382"/>
      <c r="DD176" s="382"/>
      <c r="DE176" s="382"/>
      <c r="DF176" s="382"/>
      <c r="DG176" s="382"/>
      <c r="DH176" s="382"/>
      <c r="DI176" s="382"/>
      <c r="DJ176" s="382"/>
      <c r="DK176" s="382"/>
      <c r="DL176" s="382"/>
      <c r="DM176" s="382"/>
      <c r="DN176" s="382"/>
      <c r="DO176" s="382"/>
      <c r="DP176" s="208"/>
      <c r="DQ176" s="208"/>
      <c r="DR176" s="208"/>
      <c r="DS176" s="208"/>
      <c r="DT176" s="208"/>
      <c r="DU176" s="208"/>
      <c r="DV176" s="208"/>
      <c r="DW176" s="208"/>
      <c r="DX176" s="208"/>
      <c r="DY176" s="208"/>
      <c r="DZ176" s="227"/>
      <c r="EA176" s="186"/>
      <c r="EB176" s="186"/>
    </row>
    <row r="177" spans="2:132" s="176" customFormat="1" ht="14.25" hidden="1" customHeight="1" x14ac:dyDescent="0.2">
      <c r="B177" s="760">
        <f ca="1">B142+INT(C176/12)</f>
        <v>2021</v>
      </c>
      <c r="C177" s="760">
        <v>35</v>
      </c>
      <c r="D177" s="777">
        <f t="shared" si="37"/>
        <v>0</v>
      </c>
      <c r="E177" s="771">
        <f t="shared" si="36"/>
        <v>0</v>
      </c>
      <c r="F177" s="778">
        <f t="shared" si="38"/>
        <v>0</v>
      </c>
      <c r="G177" s="778">
        <f t="shared" si="39"/>
        <v>0</v>
      </c>
      <c r="H177" s="779">
        <f t="shared" si="40"/>
        <v>0</v>
      </c>
      <c r="I177" s="780">
        <f t="shared" si="41"/>
        <v>0</v>
      </c>
      <c r="J177" s="778">
        <f>IF(AND(L177&gt;0,L176=0),K133,0)</f>
        <v>0</v>
      </c>
      <c r="K177" s="779">
        <f t="shared" si="42"/>
        <v>0</v>
      </c>
      <c r="L177" s="780">
        <f t="shared" si="43"/>
        <v>0</v>
      </c>
      <c r="M177" s="778">
        <f>IF(AND(O177&gt;0,O176=0),N133,0)</f>
        <v>0</v>
      </c>
      <c r="N177" s="779">
        <f t="shared" si="44"/>
        <v>0</v>
      </c>
      <c r="O177" s="780">
        <f t="shared" si="45"/>
        <v>0</v>
      </c>
      <c r="P177" s="778">
        <f>IF(AND(S177&gt;0,S176=0),Q133,0)</f>
        <v>0</v>
      </c>
      <c r="Q177" s="781">
        <f t="shared" si="46"/>
        <v>0</v>
      </c>
      <c r="S177" s="782">
        <f t="shared" si="47"/>
        <v>0</v>
      </c>
      <c r="T177" s="778">
        <f>IF(AND(V177&gt;0,V176=0),U133,0)</f>
        <v>0</v>
      </c>
      <c r="U177" s="779">
        <f t="shared" si="48"/>
        <v>0</v>
      </c>
      <c r="V177" s="780">
        <f t="shared" si="49"/>
        <v>0</v>
      </c>
      <c r="W177" s="778">
        <f>IF(AND(Y177&gt;0,Y176=0),X133,0)</f>
        <v>0</v>
      </c>
      <c r="X177" s="779">
        <f t="shared" si="50"/>
        <v>0</v>
      </c>
      <c r="Y177" s="780">
        <f t="shared" si="51"/>
        <v>0</v>
      </c>
      <c r="Z177" s="778">
        <f>IF(AND(AB177&gt;0,AB176=0),AA133,0)</f>
        <v>0</v>
      </c>
      <c r="AA177" s="779">
        <f t="shared" si="52"/>
        <v>0</v>
      </c>
      <c r="AB177" s="780">
        <f t="shared" si="53"/>
        <v>0</v>
      </c>
      <c r="AC177" s="778">
        <f>IF(AND(AE177&gt;0,AE176=0),AD133,0)</f>
        <v>0</v>
      </c>
      <c r="AD177" s="779">
        <f t="shared" si="54"/>
        <v>0</v>
      </c>
      <c r="AE177" s="780">
        <f t="shared" si="55"/>
        <v>0</v>
      </c>
      <c r="AF177" s="778">
        <f>IF(AND(AH177&gt;0,AH176=0),AG133,0)</f>
        <v>0</v>
      </c>
      <c r="AG177" s="779">
        <f t="shared" si="56"/>
        <v>0</v>
      </c>
      <c r="AH177" s="780">
        <f t="shared" si="57"/>
        <v>0</v>
      </c>
      <c r="AI177" s="778">
        <f>IF(AND(AK177&gt;0,AK176=0),AJ133,0)</f>
        <v>0</v>
      </c>
      <c r="AJ177" s="779">
        <f t="shared" si="58"/>
        <v>0</v>
      </c>
      <c r="AK177" s="780">
        <f t="shared" si="59"/>
        <v>0</v>
      </c>
      <c r="AL177" s="778">
        <f t="shared" ca="1" si="60"/>
        <v>0</v>
      </c>
      <c r="AM177" s="783"/>
      <c r="AN177" s="780"/>
      <c r="AO177" s="778">
        <f t="shared" ca="1" si="61"/>
        <v>0</v>
      </c>
      <c r="AP177" s="783"/>
      <c r="AQ177" s="780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7"/>
      <c r="BV177" s="208"/>
      <c r="BW177" s="208"/>
      <c r="BX177" s="208"/>
      <c r="BY177" s="208"/>
      <c r="BZ177" s="382"/>
      <c r="CA177" s="382"/>
      <c r="CB177" s="382"/>
      <c r="CC177" s="382"/>
      <c r="CD177" s="382"/>
      <c r="CE177" s="382"/>
      <c r="CF177" s="382"/>
      <c r="CG177" s="382"/>
      <c r="CH177" s="382"/>
      <c r="CI177" s="382"/>
      <c r="CJ177" s="382"/>
      <c r="CK177" s="382"/>
      <c r="CL177" s="382"/>
      <c r="CM177" s="382"/>
      <c r="CN177" s="382"/>
      <c r="CO177" s="382"/>
      <c r="CP177" s="382"/>
      <c r="CQ177" s="382"/>
      <c r="CR177" s="382"/>
      <c r="CS177" s="382"/>
      <c r="CT177" s="382"/>
      <c r="CU177" s="382"/>
      <c r="CV177" s="382"/>
      <c r="CW177" s="769">
        <v>35</v>
      </c>
      <c r="CX177" s="382"/>
      <c r="CY177" s="382"/>
      <c r="CZ177" s="382"/>
      <c r="DA177" s="382"/>
      <c r="DB177" s="382"/>
      <c r="DC177" s="382"/>
      <c r="DD177" s="382"/>
      <c r="DE177" s="382"/>
      <c r="DF177" s="382"/>
      <c r="DG177" s="382"/>
      <c r="DH177" s="382"/>
      <c r="DI177" s="382"/>
      <c r="DJ177" s="382"/>
      <c r="DK177" s="382"/>
      <c r="DL177" s="382"/>
      <c r="DM177" s="382"/>
      <c r="DN177" s="382"/>
      <c r="DO177" s="382"/>
      <c r="DP177" s="208"/>
      <c r="DQ177" s="208"/>
      <c r="DR177" s="208"/>
      <c r="DS177" s="208"/>
      <c r="DT177" s="208"/>
      <c r="DU177" s="208"/>
      <c r="DV177" s="208"/>
      <c r="DW177" s="208"/>
      <c r="DX177" s="208"/>
      <c r="DY177" s="208"/>
      <c r="DZ177" s="227"/>
      <c r="EA177" s="186"/>
      <c r="EB177" s="186"/>
    </row>
    <row r="178" spans="2:132" s="176" customFormat="1" ht="14.25" hidden="1" customHeight="1" x14ac:dyDescent="0.2">
      <c r="B178" s="761">
        <f ca="1">B142+INT(C177/12)</f>
        <v>2021</v>
      </c>
      <c r="C178" s="761">
        <v>36</v>
      </c>
      <c r="D178" s="784">
        <f t="shared" si="37"/>
        <v>0</v>
      </c>
      <c r="E178" s="771">
        <f t="shared" si="36"/>
        <v>0</v>
      </c>
      <c r="F178" s="785">
        <f t="shared" si="38"/>
        <v>0</v>
      </c>
      <c r="G178" s="785">
        <f t="shared" si="39"/>
        <v>0</v>
      </c>
      <c r="H178" s="786">
        <f t="shared" si="40"/>
        <v>0</v>
      </c>
      <c r="I178" s="787">
        <f t="shared" si="41"/>
        <v>0</v>
      </c>
      <c r="J178" s="785">
        <f>IF(AND(L178&gt;0,L177=0),K133,0)</f>
        <v>0</v>
      </c>
      <c r="K178" s="786">
        <f t="shared" si="42"/>
        <v>0</v>
      </c>
      <c r="L178" s="787">
        <f t="shared" si="43"/>
        <v>0</v>
      </c>
      <c r="M178" s="785">
        <f>IF(AND(O178&gt;0,O177=0),N133,0)</f>
        <v>0</v>
      </c>
      <c r="N178" s="786">
        <f t="shared" si="44"/>
        <v>0</v>
      </c>
      <c r="O178" s="787">
        <f t="shared" si="45"/>
        <v>0</v>
      </c>
      <c r="P178" s="785">
        <f>IF(AND(S178&gt;0,S177=0),Q133,0)</f>
        <v>0</v>
      </c>
      <c r="Q178" s="788">
        <f t="shared" si="46"/>
        <v>0</v>
      </c>
      <c r="S178" s="789">
        <f t="shared" si="47"/>
        <v>0</v>
      </c>
      <c r="T178" s="785">
        <f>IF(AND(V178&gt;0,V177=0),U133,0)</f>
        <v>0</v>
      </c>
      <c r="U178" s="786">
        <f t="shared" si="48"/>
        <v>0</v>
      </c>
      <c r="V178" s="787">
        <f t="shared" si="49"/>
        <v>0</v>
      </c>
      <c r="W178" s="785">
        <f>IF(AND(Y178&gt;0,Y177=0),X133,0)</f>
        <v>0</v>
      </c>
      <c r="X178" s="786">
        <f t="shared" si="50"/>
        <v>0</v>
      </c>
      <c r="Y178" s="787">
        <f t="shared" si="51"/>
        <v>0</v>
      </c>
      <c r="Z178" s="785">
        <f>IF(AND(AB178&gt;0,AB177=0),AA133,0)</f>
        <v>0</v>
      </c>
      <c r="AA178" s="786">
        <f t="shared" si="52"/>
        <v>0</v>
      </c>
      <c r="AB178" s="787">
        <f t="shared" si="53"/>
        <v>0</v>
      </c>
      <c r="AC178" s="785">
        <f>IF(AND(AE178&gt;0,AE177=0),AD133,0)</f>
        <v>0</v>
      </c>
      <c r="AD178" s="786">
        <f t="shared" si="54"/>
        <v>0</v>
      </c>
      <c r="AE178" s="787">
        <f t="shared" si="55"/>
        <v>0</v>
      </c>
      <c r="AF178" s="785">
        <f>IF(AND(AH178&gt;0,AH177=0),AG133,0)</f>
        <v>0</v>
      </c>
      <c r="AG178" s="786">
        <f t="shared" si="56"/>
        <v>0</v>
      </c>
      <c r="AH178" s="787">
        <f t="shared" si="57"/>
        <v>0</v>
      </c>
      <c r="AI178" s="785">
        <f>IF(AND(AK178&gt;0,AK177=0),AJ133,0)</f>
        <v>0</v>
      </c>
      <c r="AJ178" s="786">
        <f t="shared" si="58"/>
        <v>0</v>
      </c>
      <c r="AK178" s="787">
        <f t="shared" si="59"/>
        <v>0</v>
      </c>
      <c r="AL178" s="785">
        <f t="shared" ca="1" si="60"/>
        <v>0</v>
      </c>
      <c r="AM178" s="783"/>
      <c r="AN178" s="780"/>
      <c r="AO178" s="785">
        <f t="shared" ca="1" si="61"/>
        <v>0</v>
      </c>
      <c r="AP178" s="783"/>
      <c r="AQ178" s="780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  <c r="BP178" s="208"/>
      <c r="BQ178" s="208"/>
      <c r="BR178" s="208"/>
      <c r="BS178" s="208"/>
      <c r="BT178" s="208"/>
      <c r="BU178" s="207"/>
      <c r="BV178" s="208"/>
      <c r="BW178" s="208"/>
      <c r="BX178" s="208"/>
      <c r="BY178" s="208"/>
      <c r="BZ178" s="382"/>
      <c r="CA178" s="382"/>
      <c r="CB178" s="382"/>
      <c r="CC178" s="382"/>
      <c r="CD178" s="382"/>
      <c r="CE178" s="382"/>
      <c r="CF178" s="382"/>
      <c r="CG178" s="382"/>
      <c r="CH178" s="382"/>
      <c r="CI178" s="382"/>
      <c r="CJ178" s="382"/>
      <c r="CK178" s="382"/>
      <c r="CL178" s="382"/>
      <c r="CM178" s="382"/>
      <c r="CN178" s="382"/>
      <c r="CO178" s="382"/>
      <c r="CP178" s="382"/>
      <c r="CQ178" s="382"/>
      <c r="CR178" s="382"/>
      <c r="CS178" s="382"/>
      <c r="CT178" s="382"/>
      <c r="CU178" s="382"/>
      <c r="CV178" s="382"/>
      <c r="CW178" s="769">
        <v>36</v>
      </c>
      <c r="CX178" s="382"/>
      <c r="CY178" s="382"/>
      <c r="CZ178" s="382"/>
      <c r="DA178" s="382"/>
      <c r="DB178" s="382"/>
      <c r="DC178" s="382"/>
      <c r="DD178" s="382"/>
      <c r="DE178" s="382"/>
      <c r="DF178" s="382"/>
      <c r="DG178" s="382"/>
      <c r="DH178" s="382"/>
      <c r="DI178" s="382"/>
      <c r="DJ178" s="382"/>
      <c r="DK178" s="382"/>
      <c r="DL178" s="382"/>
      <c r="DM178" s="382"/>
      <c r="DN178" s="382"/>
      <c r="DO178" s="382"/>
      <c r="DP178" s="208"/>
      <c r="DQ178" s="208"/>
      <c r="DR178" s="208"/>
      <c r="DS178" s="208"/>
      <c r="DT178" s="208"/>
      <c r="DU178" s="208"/>
      <c r="DV178" s="208"/>
      <c r="DW178" s="208"/>
      <c r="DX178" s="208"/>
      <c r="DY178" s="208"/>
      <c r="DZ178" s="227"/>
      <c r="EA178" s="186"/>
      <c r="EB178" s="186"/>
    </row>
    <row r="179" spans="2:132" s="176" customFormat="1" ht="14.25" hidden="1" customHeight="1" x14ac:dyDescent="0.2">
      <c r="B179" s="790">
        <f ca="1">B142+INT(C178/12)</f>
        <v>2022</v>
      </c>
      <c r="C179" s="790">
        <v>37</v>
      </c>
      <c r="D179" s="770">
        <f t="shared" si="37"/>
        <v>0</v>
      </c>
      <c r="E179" s="771">
        <f t="shared" si="36"/>
        <v>0</v>
      </c>
      <c r="F179" s="771">
        <f t="shared" si="38"/>
        <v>0</v>
      </c>
      <c r="G179" s="771">
        <f t="shared" si="39"/>
        <v>0</v>
      </c>
      <c r="H179" s="772">
        <f t="shared" si="40"/>
        <v>0</v>
      </c>
      <c r="I179" s="773">
        <f t="shared" si="41"/>
        <v>0</v>
      </c>
      <c r="J179" s="771">
        <f>IF(AND(L179&gt;0,L178=0),K133,0)</f>
        <v>0</v>
      </c>
      <c r="K179" s="772">
        <f t="shared" si="42"/>
        <v>0</v>
      </c>
      <c r="L179" s="773">
        <f t="shared" si="43"/>
        <v>0</v>
      </c>
      <c r="M179" s="771">
        <f>IF(AND(O179&gt;0,O178=0),N133,0)</f>
        <v>0</v>
      </c>
      <c r="N179" s="772">
        <f t="shared" si="44"/>
        <v>0</v>
      </c>
      <c r="O179" s="773">
        <f t="shared" si="45"/>
        <v>0</v>
      </c>
      <c r="P179" s="771">
        <f>IF(AND(S179&gt;0,S178=0),Q133,0)</f>
        <v>0</v>
      </c>
      <c r="Q179" s="774">
        <f t="shared" si="46"/>
        <v>0</v>
      </c>
      <c r="S179" s="775">
        <f t="shared" si="47"/>
        <v>0</v>
      </c>
      <c r="T179" s="771">
        <f>IF(AND(V179&gt;0,V178=0),U133,0)</f>
        <v>0</v>
      </c>
      <c r="U179" s="772">
        <f t="shared" si="48"/>
        <v>0</v>
      </c>
      <c r="V179" s="773">
        <f t="shared" si="49"/>
        <v>0</v>
      </c>
      <c r="W179" s="771">
        <f>IF(AND(Y179&gt;0,Y178=0),X133,0)</f>
        <v>0</v>
      </c>
      <c r="X179" s="772">
        <f t="shared" si="50"/>
        <v>0</v>
      </c>
      <c r="Y179" s="773">
        <f t="shared" si="51"/>
        <v>0</v>
      </c>
      <c r="Z179" s="771">
        <f>IF(AND(AB179&gt;0,AB178=0),AA133,0)</f>
        <v>0</v>
      </c>
      <c r="AA179" s="772">
        <f t="shared" si="52"/>
        <v>0</v>
      </c>
      <c r="AB179" s="773">
        <f t="shared" si="53"/>
        <v>0</v>
      </c>
      <c r="AC179" s="771">
        <f>IF(AND(AE179&gt;0,AE178=0),AD133,0)</f>
        <v>0</v>
      </c>
      <c r="AD179" s="772">
        <f t="shared" si="54"/>
        <v>0</v>
      </c>
      <c r="AE179" s="773">
        <f t="shared" si="55"/>
        <v>0</v>
      </c>
      <c r="AF179" s="771">
        <f>IF(AND(AH179&gt;0,AH178=0),AG133,0)</f>
        <v>0</v>
      </c>
      <c r="AG179" s="772">
        <f t="shared" si="56"/>
        <v>0</v>
      </c>
      <c r="AH179" s="773">
        <f t="shared" si="57"/>
        <v>0</v>
      </c>
      <c r="AI179" s="771">
        <f>IF(AND(AK179&gt;0,AK178=0),AJ133,0)</f>
        <v>0</v>
      </c>
      <c r="AJ179" s="772">
        <f t="shared" si="58"/>
        <v>0</v>
      </c>
      <c r="AK179" s="773">
        <f t="shared" si="59"/>
        <v>0</v>
      </c>
      <c r="AL179" s="771">
        <f t="shared" ca="1" si="60"/>
        <v>0</v>
      </c>
      <c r="AM179" s="783"/>
      <c r="AN179" s="780"/>
      <c r="AO179" s="771">
        <f t="shared" ca="1" si="61"/>
        <v>0</v>
      </c>
      <c r="AP179" s="783"/>
      <c r="AQ179" s="780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  <c r="BP179" s="208"/>
      <c r="BQ179" s="208"/>
      <c r="BR179" s="208"/>
      <c r="BS179" s="208"/>
      <c r="BT179" s="208"/>
      <c r="BU179" s="207"/>
      <c r="BV179" s="208"/>
      <c r="BW179" s="208"/>
      <c r="BX179" s="208"/>
      <c r="BY179" s="208"/>
      <c r="BZ179" s="382"/>
      <c r="CA179" s="382"/>
      <c r="CB179" s="382"/>
      <c r="CC179" s="382"/>
      <c r="CD179" s="382"/>
      <c r="CE179" s="382"/>
      <c r="CF179" s="382"/>
      <c r="CG179" s="382"/>
      <c r="CH179" s="382"/>
      <c r="CI179" s="382"/>
      <c r="CJ179" s="382"/>
      <c r="CK179" s="382"/>
      <c r="CL179" s="382"/>
      <c r="CM179" s="382"/>
      <c r="CN179" s="382"/>
      <c r="CO179" s="382"/>
      <c r="CP179" s="382"/>
      <c r="CQ179" s="382"/>
      <c r="CR179" s="382"/>
      <c r="CS179" s="382"/>
      <c r="CT179" s="382"/>
      <c r="CU179" s="382"/>
      <c r="CV179" s="382"/>
      <c r="CW179" s="769">
        <v>37</v>
      </c>
      <c r="CX179" s="382"/>
      <c r="CY179" s="382"/>
      <c r="CZ179" s="382"/>
      <c r="DA179" s="382"/>
      <c r="DB179" s="382"/>
      <c r="DC179" s="382"/>
      <c r="DD179" s="382"/>
      <c r="DE179" s="382"/>
      <c r="DF179" s="382"/>
      <c r="DG179" s="382"/>
      <c r="DH179" s="382"/>
      <c r="DI179" s="382"/>
      <c r="DJ179" s="382"/>
      <c r="DK179" s="382"/>
      <c r="DL179" s="382"/>
      <c r="DM179" s="382"/>
      <c r="DN179" s="382"/>
      <c r="DO179" s="382"/>
      <c r="DP179" s="208"/>
      <c r="DQ179" s="208"/>
      <c r="DR179" s="208"/>
      <c r="DS179" s="208"/>
      <c r="DT179" s="208"/>
      <c r="DU179" s="208"/>
      <c r="DV179" s="208"/>
      <c r="DW179" s="208"/>
      <c r="DX179" s="208"/>
      <c r="DY179" s="208"/>
      <c r="DZ179" s="227"/>
      <c r="EA179" s="186"/>
      <c r="EB179" s="186"/>
    </row>
    <row r="180" spans="2:132" s="176" customFormat="1" ht="14.25" hidden="1" customHeight="1" x14ac:dyDescent="0.2">
      <c r="B180" s="760">
        <f ca="1">B142+INT(C179/12)</f>
        <v>2022</v>
      </c>
      <c r="C180" s="760">
        <v>38</v>
      </c>
      <c r="D180" s="777">
        <f t="shared" si="37"/>
        <v>0</v>
      </c>
      <c r="E180" s="771">
        <f t="shared" si="36"/>
        <v>0</v>
      </c>
      <c r="F180" s="778">
        <f t="shared" si="38"/>
        <v>0</v>
      </c>
      <c r="G180" s="778">
        <f t="shared" si="39"/>
        <v>0</v>
      </c>
      <c r="H180" s="779">
        <f t="shared" si="40"/>
        <v>0</v>
      </c>
      <c r="I180" s="780">
        <f t="shared" si="41"/>
        <v>0</v>
      </c>
      <c r="J180" s="778">
        <f>IF(AND(L180&gt;0,L179=0),K133,0)</f>
        <v>0</v>
      </c>
      <c r="K180" s="779">
        <f t="shared" si="42"/>
        <v>0</v>
      </c>
      <c r="L180" s="780">
        <f t="shared" si="43"/>
        <v>0</v>
      </c>
      <c r="M180" s="778">
        <f>IF(AND(O180&gt;0,O179=0),N133,0)</f>
        <v>0</v>
      </c>
      <c r="N180" s="779">
        <f t="shared" si="44"/>
        <v>0</v>
      </c>
      <c r="O180" s="780">
        <f t="shared" si="45"/>
        <v>0</v>
      </c>
      <c r="P180" s="778">
        <f>IF(AND(S180&gt;0,S179=0),Q133,0)</f>
        <v>0</v>
      </c>
      <c r="Q180" s="781">
        <f t="shared" si="46"/>
        <v>0</v>
      </c>
      <c r="S180" s="782">
        <f t="shared" si="47"/>
        <v>0</v>
      </c>
      <c r="T180" s="778">
        <f>IF(AND(V180&gt;0,V179=0),U133,0)</f>
        <v>0</v>
      </c>
      <c r="U180" s="779">
        <f t="shared" si="48"/>
        <v>0</v>
      </c>
      <c r="V180" s="780">
        <f t="shared" si="49"/>
        <v>0</v>
      </c>
      <c r="W180" s="778">
        <f>IF(AND(Y180&gt;0,Y179=0),X133,0)</f>
        <v>0</v>
      </c>
      <c r="X180" s="779">
        <f t="shared" si="50"/>
        <v>0</v>
      </c>
      <c r="Y180" s="780">
        <f t="shared" si="51"/>
        <v>0</v>
      </c>
      <c r="Z180" s="778">
        <f>IF(AND(AB180&gt;0,AB179=0),AA133,0)</f>
        <v>0</v>
      </c>
      <c r="AA180" s="779">
        <f t="shared" si="52"/>
        <v>0</v>
      </c>
      <c r="AB180" s="780">
        <f t="shared" si="53"/>
        <v>0</v>
      </c>
      <c r="AC180" s="778">
        <f>IF(AND(AE180&gt;0,AE179=0),AD133,0)</f>
        <v>0</v>
      </c>
      <c r="AD180" s="779">
        <f t="shared" si="54"/>
        <v>0</v>
      </c>
      <c r="AE180" s="780">
        <f t="shared" si="55"/>
        <v>0</v>
      </c>
      <c r="AF180" s="778">
        <f>IF(AND(AH180&gt;0,AH179=0),AG133,0)</f>
        <v>0</v>
      </c>
      <c r="AG180" s="779">
        <f t="shared" si="56"/>
        <v>0</v>
      </c>
      <c r="AH180" s="780">
        <f t="shared" si="57"/>
        <v>0</v>
      </c>
      <c r="AI180" s="778">
        <f>IF(AND(AK180&gt;0,AK179=0),AJ133,0)</f>
        <v>0</v>
      </c>
      <c r="AJ180" s="779">
        <f t="shared" si="58"/>
        <v>0</v>
      </c>
      <c r="AK180" s="780">
        <f t="shared" si="59"/>
        <v>0</v>
      </c>
      <c r="AL180" s="778">
        <f t="shared" ca="1" si="60"/>
        <v>0</v>
      </c>
      <c r="AM180" s="783"/>
      <c r="AN180" s="780"/>
      <c r="AO180" s="778">
        <f t="shared" ca="1" si="61"/>
        <v>0</v>
      </c>
      <c r="AP180" s="783"/>
      <c r="AQ180" s="780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7"/>
      <c r="BV180" s="208"/>
      <c r="BW180" s="208"/>
      <c r="BX180" s="208"/>
      <c r="BY180" s="208"/>
      <c r="BZ180" s="382"/>
      <c r="CA180" s="382"/>
      <c r="CB180" s="382"/>
      <c r="CC180" s="382"/>
      <c r="CD180" s="382"/>
      <c r="CE180" s="382"/>
      <c r="CF180" s="382"/>
      <c r="CG180" s="382"/>
      <c r="CH180" s="382"/>
      <c r="CI180" s="382"/>
      <c r="CJ180" s="382"/>
      <c r="CK180" s="382"/>
      <c r="CL180" s="382"/>
      <c r="CM180" s="382"/>
      <c r="CN180" s="382"/>
      <c r="CO180" s="382"/>
      <c r="CP180" s="382"/>
      <c r="CQ180" s="382"/>
      <c r="CR180" s="382"/>
      <c r="CS180" s="382"/>
      <c r="CT180" s="382"/>
      <c r="CU180" s="382"/>
      <c r="CV180" s="382"/>
      <c r="CW180" s="769">
        <v>38</v>
      </c>
      <c r="CX180" s="382"/>
      <c r="CY180" s="382"/>
      <c r="CZ180" s="382"/>
      <c r="DA180" s="382"/>
      <c r="DB180" s="382"/>
      <c r="DC180" s="382"/>
      <c r="DD180" s="382"/>
      <c r="DE180" s="382"/>
      <c r="DF180" s="382"/>
      <c r="DG180" s="382"/>
      <c r="DH180" s="382"/>
      <c r="DI180" s="382"/>
      <c r="DJ180" s="382"/>
      <c r="DK180" s="382"/>
      <c r="DL180" s="382"/>
      <c r="DM180" s="382"/>
      <c r="DN180" s="382"/>
      <c r="DO180" s="382"/>
      <c r="DP180" s="208"/>
      <c r="DQ180" s="208"/>
      <c r="DR180" s="208"/>
      <c r="DS180" s="208"/>
      <c r="DT180" s="208"/>
      <c r="DU180" s="208"/>
      <c r="DV180" s="208"/>
      <c r="DW180" s="208"/>
      <c r="DX180" s="208"/>
      <c r="DY180" s="208"/>
      <c r="DZ180" s="227"/>
      <c r="EA180" s="186"/>
      <c r="EB180" s="186"/>
    </row>
    <row r="181" spans="2:132" s="176" customFormat="1" ht="14.25" hidden="1" customHeight="1" x14ac:dyDescent="0.2">
      <c r="B181" s="760">
        <f ca="1">B142+INT(C180/12)</f>
        <v>2022</v>
      </c>
      <c r="C181" s="760">
        <v>39</v>
      </c>
      <c r="D181" s="777">
        <f t="shared" si="37"/>
        <v>0</v>
      </c>
      <c r="E181" s="771">
        <f t="shared" si="36"/>
        <v>0</v>
      </c>
      <c r="F181" s="778">
        <f t="shared" si="38"/>
        <v>0</v>
      </c>
      <c r="G181" s="778">
        <f t="shared" si="39"/>
        <v>0</v>
      </c>
      <c r="H181" s="779">
        <f t="shared" si="40"/>
        <v>0</v>
      </c>
      <c r="I181" s="780">
        <f t="shared" si="41"/>
        <v>0</v>
      </c>
      <c r="J181" s="778">
        <f>IF(AND(L181&gt;0,L180=0),K133,0)</f>
        <v>0</v>
      </c>
      <c r="K181" s="779">
        <f t="shared" si="42"/>
        <v>0</v>
      </c>
      <c r="L181" s="780">
        <f t="shared" si="43"/>
        <v>0</v>
      </c>
      <c r="M181" s="778">
        <f>IF(AND(O181&gt;0,O180=0),N133,0)</f>
        <v>0</v>
      </c>
      <c r="N181" s="779">
        <f t="shared" si="44"/>
        <v>0</v>
      </c>
      <c r="O181" s="780">
        <f t="shared" si="45"/>
        <v>0</v>
      </c>
      <c r="P181" s="778">
        <f>IF(AND(S181&gt;0,S180=0),Q133,0)</f>
        <v>0</v>
      </c>
      <c r="Q181" s="781">
        <f t="shared" si="46"/>
        <v>0</v>
      </c>
      <c r="S181" s="782">
        <f t="shared" si="47"/>
        <v>0</v>
      </c>
      <c r="T181" s="778">
        <f>IF(AND(V181&gt;0,V180=0),U133,0)</f>
        <v>0</v>
      </c>
      <c r="U181" s="779">
        <f t="shared" si="48"/>
        <v>0</v>
      </c>
      <c r="V181" s="780">
        <f t="shared" si="49"/>
        <v>0</v>
      </c>
      <c r="W181" s="778">
        <f>IF(AND(Y181&gt;0,Y180=0),X133,0)</f>
        <v>0</v>
      </c>
      <c r="X181" s="779">
        <f t="shared" si="50"/>
        <v>0</v>
      </c>
      <c r="Y181" s="780">
        <f t="shared" si="51"/>
        <v>0</v>
      </c>
      <c r="Z181" s="778">
        <f>IF(AND(AB181&gt;0,AB180=0),AA133,0)</f>
        <v>0</v>
      </c>
      <c r="AA181" s="779">
        <f t="shared" si="52"/>
        <v>0</v>
      </c>
      <c r="AB181" s="780">
        <f t="shared" si="53"/>
        <v>0</v>
      </c>
      <c r="AC181" s="778">
        <f>IF(AND(AE181&gt;0,AE180=0),AD133,0)</f>
        <v>0</v>
      </c>
      <c r="AD181" s="779">
        <f t="shared" si="54"/>
        <v>0</v>
      </c>
      <c r="AE181" s="780">
        <f t="shared" si="55"/>
        <v>0</v>
      </c>
      <c r="AF181" s="778">
        <f>IF(AND(AH181&gt;0,AH180=0),AG133,0)</f>
        <v>0</v>
      </c>
      <c r="AG181" s="779">
        <f t="shared" si="56"/>
        <v>0</v>
      </c>
      <c r="AH181" s="780">
        <f t="shared" si="57"/>
        <v>0</v>
      </c>
      <c r="AI181" s="778">
        <f>IF(AND(AK181&gt;0,AK180=0),AJ133,0)</f>
        <v>0</v>
      </c>
      <c r="AJ181" s="779">
        <f t="shared" si="58"/>
        <v>0</v>
      </c>
      <c r="AK181" s="780">
        <f t="shared" si="59"/>
        <v>0</v>
      </c>
      <c r="AL181" s="778">
        <f t="shared" ca="1" si="60"/>
        <v>0</v>
      </c>
      <c r="AM181" s="783"/>
      <c r="AN181" s="780"/>
      <c r="AO181" s="778">
        <f t="shared" ca="1" si="61"/>
        <v>0</v>
      </c>
      <c r="AP181" s="783"/>
      <c r="AQ181" s="780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  <c r="BP181" s="208"/>
      <c r="BQ181" s="208"/>
      <c r="BR181" s="208"/>
      <c r="BS181" s="208"/>
      <c r="BT181" s="208"/>
      <c r="BU181" s="207"/>
      <c r="BV181" s="208"/>
      <c r="BW181" s="208"/>
      <c r="BX181" s="208"/>
      <c r="BY181" s="208"/>
      <c r="BZ181" s="382"/>
      <c r="CA181" s="382"/>
      <c r="CB181" s="382"/>
      <c r="CC181" s="382"/>
      <c r="CD181" s="382"/>
      <c r="CE181" s="382"/>
      <c r="CF181" s="382"/>
      <c r="CG181" s="382"/>
      <c r="CH181" s="382"/>
      <c r="CI181" s="382"/>
      <c r="CJ181" s="382"/>
      <c r="CK181" s="382"/>
      <c r="CL181" s="382"/>
      <c r="CM181" s="382"/>
      <c r="CN181" s="382"/>
      <c r="CO181" s="382"/>
      <c r="CP181" s="382"/>
      <c r="CQ181" s="382"/>
      <c r="CR181" s="382"/>
      <c r="CS181" s="382"/>
      <c r="CT181" s="382"/>
      <c r="CU181" s="382"/>
      <c r="CV181" s="382"/>
      <c r="CW181" s="769">
        <v>39</v>
      </c>
      <c r="CX181" s="382"/>
      <c r="CY181" s="382"/>
      <c r="CZ181" s="382"/>
      <c r="DA181" s="382"/>
      <c r="DB181" s="382"/>
      <c r="DC181" s="382"/>
      <c r="DD181" s="382"/>
      <c r="DE181" s="382"/>
      <c r="DF181" s="382"/>
      <c r="DG181" s="382"/>
      <c r="DH181" s="382"/>
      <c r="DI181" s="382"/>
      <c r="DJ181" s="382"/>
      <c r="DK181" s="382"/>
      <c r="DL181" s="382"/>
      <c r="DM181" s="382"/>
      <c r="DN181" s="382"/>
      <c r="DO181" s="382"/>
      <c r="DP181" s="208"/>
      <c r="DQ181" s="208"/>
      <c r="DR181" s="208"/>
      <c r="DS181" s="208"/>
      <c r="DT181" s="208"/>
      <c r="DU181" s="208"/>
      <c r="DV181" s="208"/>
      <c r="DW181" s="208"/>
      <c r="DX181" s="208"/>
      <c r="DY181" s="208"/>
      <c r="DZ181" s="227"/>
      <c r="EA181" s="186"/>
      <c r="EB181" s="186"/>
    </row>
    <row r="182" spans="2:132" s="176" customFormat="1" ht="14.25" hidden="1" customHeight="1" x14ac:dyDescent="0.2">
      <c r="B182" s="760">
        <f ca="1">B142+INT(C181/12)</f>
        <v>2022</v>
      </c>
      <c r="C182" s="760">
        <v>40</v>
      </c>
      <c r="D182" s="777">
        <f t="shared" si="37"/>
        <v>0</v>
      </c>
      <c r="E182" s="771">
        <f t="shared" si="36"/>
        <v>0</v>
      </c>
      <c r="F182" s="778">
        <f t="shared" si="38"/>
        <v>0</v>
      </c>
      <c r="G182" s="778">
        <f t="shared" si="39"/>
        <v>0</v>
      </c>
      <c r="H182" s="779">
        <f t="shared" si="40"/>
        <v>0</v>
      </c>
      <c r="I182" s="780">
        <f t="shared" si="41"/>
        <v>0</v>
      </c>
      <c r="J182" s="778">
        <f>IF(AND(L182&gt;0,L181=0),K133,0)</f>
        <v>0</v>
      </c>
      <c r="K182" s="779">
        <f t="shared" si="42"/>
        <v>0</v>
      </c>
      <c r="L182" s="780">
        <f t="shared" si="43"/>
        <v>0</v>
      </c>
      <c r="M182" s="778">
        <f>IF(AND(O182&gt;0,O181=0),N133,0)</f>
        <v>0</v>
      </c>
      <c r="N182" s="779">
        <f t="shared" si="44"/>
        <v>0</v>
      </c>
      <c r="O182" s="780">
        <f t="shared" si="45"/>
        <v>0</v>
      </c>
      <c r="P182" s="778">
        <f>IF(AND(S182&gt;0,S181=0),Q133,0)</f>
        <v>0</v>
      </c>
      <c r="Q182" s="781">
        <f t="shared" si="46"/>
        <v>0</v>
      </c>
      <c r="S182" s="782">
        <f t="shared" si="47"/>
        <v>0</v>
      </c>
      <c r="T182" s="778">
        <f>IF(AND(V182&gt;0,V181=0),U133,0)</f>
        <v>0</v>
      </c>
      <c r="U182" s="779">
        <f t="shared" si="48"/>
        <v>0</v>
      </c>
      <c r="V182" s="780">
        <f t="shared" si="49"/>
        <v>0</v>
      </c>
      <c r="W182" s="778">
        <f>IF(AND(Y182&gt;0,Y181=0),X133,0)</f>
        <v>0</v>
      </c>
      <c r="X182" s="779">
        <f t="shared" si="50"/>
        <v>0</v>
      </c>
      <c r="Y182" s="780">
        <f t="shared" si="51"/>
        <v>0</v>
      </c>
      <c r="Z182" s="778">
        <f>IF(AND(AB182&gt;0,AB181=0),AA133,0)</f>
        <v>0</v>
      </c>
      <c r="AA182" s="779">
        <f t="shared" si="52"/>
        <v>0</v>
      </c>
      <c r="AB182" s="780">
        <f t="shared" si="53"/>
        <v>0</v>
      </c>
      <c r="AC182" s="778">
        <f>IF(AND(AE182&gt;0,AE181=0),AD133,0)</f>
        <v>0</v>
      </c>
      <c r="AD182" s="779">
        <f t="shared" si="54"/>
        <v>0</v>
      </c>
      <c r="AE182" s="780">
        <f t="shared" si="55"/>
        <v>0</v>
      </c>
      <c r="AF182" s="778">
        <f>IF(AND(AH182&gt;0,AH181=0),AG133,0)</f>
        <v>0</v>
      </c>
      <c r="AG182" s="779">
        <f t="shared" si="56"/>
        <v>0</v>
      </c>
      <c r="AH182" s="780">
        <f t="shared" si="57"/>
        <v>0</v>
      </c>
      <c r="AI182" s="778">
        <f>IF(AND(AK182&gt;0,AK181=0),AJ133,0)</f>
        <v>0</v>
      </c>
      <c r="AJ182" s="779">
        <f t="shared" si="58"/>
        <v>0</v>
      </c>
      <c r="AK182" s="780">
        <f t="shared" si="59"/>
        <v>0</v>
      </c>
      <c r="AL182" s="778">
        <f t="shared" ca="1" si="60"/>
        <v>0</v>
      </c>
      <c r="AM182" s="783"/>
      <c r="AN182" s="780"/>
      <c r="AO182" s="778">
        <f t="shared" ca="1" si="61"/>
        <v>0</v>
      </c>
      <c r="AP182" s="783"/>
      <c r="AQ182" s="780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7"/>
      <c r="BV182" s="208"/>
      <c r="BW182" s="208"/>
      <c r="BX182" s="208"/>
      <c r="BY182" s="208"/>
      <c r="BZ182" s="382"/>
      <c r="CA182" s="382"/>
      <c r="CB182" s="382"/>
      <c r="CC182" s="382"/>
      <c r="CD182" s="382"/>
      <c r="CE182" s="382"/>
      <c r="CF182" s="382"/>
      <c r="CG182" s="382"/>
      <c r="CH182" s="382"/>
      <c r="CI182" s="382"/>
      <c r="CJ182" s="382"/>
      <c r="CK182" s="382"/>
      <c r="CL182" s="382"/>
      <c r="CM182" s="382"/>
      <c r="CN182" s="382"/>
      <c r="CO182" s="382"/>
      <c r="CP182" s="382"/>
      <c r="CQ182" s="382"/>
      <c r="CR182" s="382"/>
      <c r="CS182" s="382"/>
      <c r="CT182" s="382"/>
      <c r="CU182" s="382"/>
      <c r="CV182" s="382"/>
      <c r="CW182" s="769">
        <v>40</v>
      </c>
      <c r="CX182" s="382"/>
      <c r="CY182" s="382"/>
      <c r="CZ182" s="382"/>
      <c r="DA182" s="382"/>
      <c r="DB182" s="382"/>
      <c r="DC182" s="382"/>
      <c r="DD182" s="382"/>
      <c r="DE182" s="382"/>
      <c r="DF182" s="382"/>
      <c r="DG182" s="382"/>
      <c r="DH182" s="382"/>
      <c r="DI182" s="382"/>
      <c r="DJ182" s="382"/>
      <c r="DK182" s="382"/>
      <c r="DL182" s="382"/>
      <c r="DM182" s="382"/>
      <c r="DN182" s="382"/>
      <c r="DO182" s="382"/>
      <c r="DP182" s="208"/>
      <c r="DQ182" s="208"/>
      <c r="DR182" s="208"/>
      <c r="DS182" s="208"/>
      <c r="DT182" s="208"/>
      <c r="DU182" s="208"/>
      <c r="DV182" s="208"/>
      <c r="DW182" s="208"/>
      <c r="DX182" s="208"/>
      <c r="DY182" s="208"/>
      <c r="DZ182" s="227"/>
      <c r="EA182" s="186"/>
      <c r="EB182" s="186"/>
    </row>
    <row r="183" spans="2:132" s="176" customFormat="1" ht="14.25" hidden="1" customHeight="1" x14ac:dyDescent="0.2">
      <c r="B183" s="760">
        <f ca="1">B142+INT(C182/12)</f>
        <v>2022</v>
      </c>
      <c r="C183" s="760">
        <v>41</v>
      </c>
      <c r="D183" s="777">
        <f t="shared" si="37"/>
        <v>0</v>
      </c>
      <c r="E183" s="771">
        <f t="shared" si="36"/>
        <v>0</v>
      </c>
      <c r="F183" s="778">
        <f t="shared" si="38"/>
        <v>0</v>
      </c>
      <c r="G183" s="778">
        <f t="shared" si="39"/>
        <v>0</v>
      </c>
      <c r="H183" s="779">
        <f t="shared" si="40"/>
        <v>0</v>
      </c>
      <c r="I183" s="780">
        <f t="shared" si="41"/>
        <v>0</v>
      </c>
      <c r="J183" s="778">
        <f>IF(AND(L183&gt;0,L182=0),K133,0)</f>
        <v>0</v>
      </c>
      <c r="K183" s="779">
        <f t="shared" si="42"/>
        <v>0</v>
      </c>
      <c r="L183" s="780">
        <f t="shared" si="43"/>
        <v>0</v>
      </c>
      <c r="M183" s="778">
        <f>IF(AND(O183&gt;0,O182=0),N133,0)</f>
        <v>0</v>
      </c>
      <c r="N183" s="779">
        <f t="shared" si="44"/>
        <v>0</v>
      </c>
      <c r="O183" s="780">
        <f t="shared" si="45"/>
        <v>0</v>
      </c>
      <c r="P183" s="778">
        <f>IF(AND(S183&gt;0,S182=0),Q133,0)</f>
        <v>0</v>
      </c>
      <c r="Q183" s="781">
        <f t="shared" si="46"/>
        <v>0</v>
      </c>
      <c r="S183" s="782">
        <f t="shared" si="47"/>
        <v>0</v>
      </c>
      <c r="T183" s="778">
        <f>IF(AND(V183&gt;0,V182=0),U133,0)</f>
        <v>0</v>
      </c>
      <c r="U183" s="779">
        <f t="shared" si="48"/>
        <v>0</v>
      </c>
      <c r="V183" s="780">
        <f t="shared" si="49"/>
        <v>0</v>
      </c>
      <c r="W183" s="778">
        <f>IF(AND(Y183&gt;0,Y182=0),X133,0)</f>
        <v>0</v>
      </c>
      <c r="X183" s="779">
        <f t="shared" si="50"/>
        <v>0</v>
      </c>
      <c r="Y183" s="780">
        <f t="shared" si="51"/>
        <v>0</v>
      </c>
      <c r="Z183" s="778">
        <f>IF(AND(AB183&gt;0,AB182=0),AA133,0)</f>
        <v>0</v>
      </c>
      <c r="AA183" s="779">
        <f t="shared" si="52"/>
        <v>0</v>
      </c>
      <c r="AB183" s="780">
        <f t="shared" si="53"/>
        <v>0</v>
      </c>
      <c r="AC183" s="778">
        <f>IF(AND(AE183&gt;0,AE182=0),AD133,0)</f>
        <v>0</v>
      </c>
      <c r="AD183" s="779">
        <f t="shared" si="54"/>
        <v>0</v>
      </c>
      <c r="AE183" s="780">
        <f t="shared" si="55"/>
        <v>0</v>
      </c>
      <c r="AF183" s="778">
        <f>IF(AND(AH183&gt;0,AH182=0),AG133,0)</f>
        <v>0</v>
      </c>
      <c r="AG183" s="779">
        <f t="shared" si="56"/>
        <v>0</v>
      </c>
      <c r="AH183" s="780">
        <f t="shared" si="57"/>
        <v>0</v>
      </c>
      <c r="AI183" s="778">
        <f>IF(AND(AK183&gt;0,AK182=0),AJ133,0)</f>
        <v>0</v>
      </c>
      <c r="AJ183" s="779">
        <f t="shared" si="58"/>
        <v>0</v>
      </c>
      <c r="AK183" s="780">
        <f t="shared" si="59"/>
        <v>0</v>
      </c>
      <c r="AL183" s="778">
        <f t="shared" ca="1" si="60"/>
        <v>0</v>
      </c>
      <c r="AM183" s="783"/>
      <c r="AN183" s="780"/>
      <c r="AO183" s="778">
        <f t="shared" ca="1" si="61"/>
        <v>0</v>
      </c>
      <c r="AP183" s="783"/>
      <c r="AQ183" s="780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7"/>
      <c r="BV183" s="208"/>
      <c r="BW183" s="208"/>
      <c r="BX183" s="208"/>
      <c r="BY183" s="208"/>
      <c r="BZ183" s="382"/>
      <c r="CA183" s="382"/>
      <c r="CB183" s="382"/>
      <c r="CC183" s="382"/>
      <c r="CD183" s="382"/>
      <c r="CE183" s="382"/>
      <c r="CF183" s="382"/>
      <c r="CG183" s="382"/>
      <c r="CH183" s="382"/>
      <c r="CI183" s="382"/>
      <c r="CJ183" s="382"/>
      <c r="CK183" s="382"/>
      <c r="CL183" s="382"/>
      <c r="CM183" s="382"/>
      <c r="CN183" s="382"/>
      <c r="CO183" s="382"/>
      <c r="CP183" s="382"/>
      <c r="CQ183" s="382"/>
      <c r="CR183" s="382"/>
      <c r="CS183" s="382"/>
      <c r="CT183" s="382"/>
      <c r="CU183" s="382"/>
      <c r="CV183" s="382"/>
      <c r="CW183" s="769">
        <v>41</v>
      </c>
      <c r="CX183" s="382"/>
      <c r="CY183" s="382"/>
      <c r="CZ183" s="382"/>
      <c r="DA183" s="382"/>
      <c r="DB183" s="382"/>
      <c r="DC183" s="382"/>
      <c r="DD183" s="382"/>
      <c r="DE183" s="382"/>
      <c r="DF183" s="382"/>
      <c r="DG183" s="382"/>
      <c r="DH183" s="382"/>
      <c r="DI183" s="382"/>
      <c r="DJ183" s="382"/>
      <c r="DK183" s="382"/>
      <c r="DL183" s="382"/>
      <c r="DM183" s="382"/>
      <c r="DN183" s="382"/>
      <c r="DO183" s="382"/>
      <c r="DP183" s="208"/>
      <c r="DQ183" s="208"/>
      <c r="DR183" s="208"/>
      <c r="DS183" s="208"/>
      <c r="DT183" s="208"/>
      <c r="DU183" s="208"/>
      <c r="DV183" s="208"/>
      <c r="DW183" s="208"/>
      <c r="DX183" s="208"/>
      <c r="DY183" s="208"/>
      <c r="DZ183" s="227"/>
      <c r="EA183" s="186"/>
      <c r="EB183" s="186"/>
    </row>
    <row r="184" spans="2:132" s="176" customFormat="1" ht="14.25" hidden="1" customHeight="1" x14ac:dyDescent="0.2">
      <c r="B184" s="760">
        <f ca="1">B142+INT(C183/12)</f>
        <v>2022</v>
      </c>
      <c r="C184" s="760">
        <v>42</v>
      </c>
      <c r="D184" s="777">
        <f t="shared" si="37"/>
        <v>0</v>
      </c>
      <c r="E184" s="771">
        <f t="shared" si="36"/>
        <v>0</v>
      </c>
      <c r="F184" s="778">
        <f t="shared" si="38"/>
        <v>0</v>
      </c>
      <c r="G184" s="778">
        <f t="shared" si="39"/>
        <v>0</v>
      </c>
      <c r="H184" s="779">
        <f t="shared" si="40"/>
        <v>0</v>
      </c>
      <c r="I184" s="780">
        <f t="shared" si="41"/>
        <v>0</v>
      </c>
      <c r="J184" s="778">
        <f>IF(AND(L184&gt;0,L183=0),K133,0)</f>
        <v>0</v>
      </c>
      <c r="K184" s="779">
        <f t="shared" si="42"/>
        <v>0</v>
      </c>
      <c r="L184" s="780">
        <f t="shared" si="43"/>
        <v>0</v>
      </c>
      <c r="M184" s="778">
        <f>IF(AND(O184&gt;0,O183=0),N133,0)</f>
        <v>0</v>
      </c>
      <c r="N184" s="779">
        <f t="shared" si="44"/>
        <v>0</v>
      </c>
      <c r="O184" s="780">
        <f t="shared" si="45"/>
        <v>0</v>
      </c>
      <c r="P184" s="778">
        <f>IF(AND(S184&gt;0,S183=0),Q133,0)</f>
        <v>0</v>
      </c>
      <c r="Q184" s="781">
        <f t="shared" si="46"/>
        <v>0</v>
      </c>
      <c r="S184" s="782">
        <f t="shared" si="47"/>
        <v>0</v>
      </c>
      <c r="T184" s="778">
        <f>IF(AND(V184&gt;0,V183=0),U133,0)</f>
        <v>0</v>
      </c>
      <c r="U184" s="779">
        <f t="shared" si="48"/>
        <v>0</v>
      </c>
      <c r="V184" s="780">
        <f t="shared" si="49"/>
        <v>0</v>
      </c>
      <c r="W184" s="778">
        <f>IF(AND(Y184&gt;0,Y183=0),X133,0)</f>
        <v>0</v>
      </c>
      <c r="X184" s="779">
        <f t="shared" si="50"/>
        <v>0</v>
      </c>
      <c r="Y184" s="780">
        <f t="shared" si="51"/>
        <v>0</v>
      </c>
      <c r="Z184" s="778">
        <f>IF(AND(AB184&gt;0,AB183=0),AA133,0)</f>
        <v>0</v>
      </c>
      <c r="AA184" s="779">
        <f t="shared" si="52"/>
        <v>0</v>
      </c>
      <c r="AB184" s="780">
        <f t="shared" si="53"/>
        <v>0</v>
      </c>
      <c r="AC184" s="778">
        <f>IF(AND(AE184&gt;0,AE183=0),AD133,0)</f>
        <v>0</v>
      </c>
      <c r="AD184" s="779">
        <f t="shared" si="54"/>
        <v>0</v>
      </c>
      <c r="AE184" s="780">
        <f t="shared" si="55"/>
        <v>0</v>
      </c>
      <c r="AF184" s="778">
        <f>IF(AND(AH184&gt;0,AH183=0),AG133,0)</f>
        <v>0</v>
      </c>
      <c r="AG184" s="779">
        <f t="shared" si="56"/>
        <v>0</v>
      </c>
      <c r="AH184" s="780">
        <f t="shared" si="57"/>
        <v>0</v>
      </c>
      <c r="AI184" s="778">
        <f>IF(AND(AK184&gt;0,AK183=0),AJ133,0)</f>
        <v>0</v>
      </c>
      <c r="AJ184" s="779">
        <f t="shared" si="58"/>
        <v>0</v>
      </c>
      <c r="AK184" s="780">
        <f t="shared" si="59"/>
        <v>0</v>
      </c>
      <c r="AL184" s="778">
        <f t="shared" ca="1" si="60"/>
        <v>0</v>
      </c>
      <c r="AM184" s="783"/>
      <c r="AN184" s="780"/>
      <c r="AO184" s="778">
        <f t="shared" ca="1" si="61"/>
        <v>0</v>
      </c>
      <c r="AP184" s="783"/>
      <c r="AQ184" s="780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7"/>
      <c r="BV184" s="208"/>
      <c r="BW184" s="208"/>
      <c r="BX184" s="208"/>
      <c r="BY184" s="208"/>
      <c r="BZ184" s="382"/>
      <c r="CA184" s="382"/>
      <c r="CB184" s="382"/>
      <c r="CC184" s="382"/>
      <c r="CD184" s="382"/>
      <c r="CE184" s="382"/>
      <c r="CF184" s="382"/>
      <c r="CG184" s="382"/>
      <c r="CH184" s="382"/>
      <c r="CI184" s="382"/>
      <c r="CJ184" s="382"/>
      <c r="CK184" s="382"/>
      <c r="CL184" s="382"/>
      <c r="CM184" s="382"/>
      <c r="CN184" s="382"/>
      <c r="CO184" s="382"/>
      <c r="CP184" s="382"/>
      <c r="CQ184" s="382"/>
      <c r="CR184" s="382"/>
      <c r="CS184" s="382"/>
      <c r="CT184" s="382"/>
      <c r="CU184" s="382"/>
      <c r="CV184" s="382"/>
      <c r="CW184" s="769">
        <v>42</v>
      </c>
      <c r="CX184" s="382"/>
      <c r="CY184" s="382"/>
      <c r="CZ184" s="382"/>
      <c r="DA184" s="382"/>
      <c r="DB184" s="382"/>
      <c r="DC184" s="382"/>
      <c r="DD184" s="382"/>
      <c r="DE184" s="382"/>
      <c r="DF184" s="382"/>
      <c r="DG184" s="382"/>
      <c r="DH184" s="382"/>
      <c r="DI184" s="382"/>
      <c r="DJ184" s="382"/>
      <c r="DK184" s="382"/>
      <c r="DL184" s="382"/>
      <c r="DM184" s="382"/>
      <c r="DN184" s="382"/>
      <c r="DO184" s="382"/>
      <c r="DP184" s="208"/>
      <c r="DQ184" s="208"/>
      <c r="DR184" s="208"/>
      <c r="DS184" s="208"/>
      <c r="DT184" s="208"/>
      <c r="DU184" s="208"/>
      <c r="DV184" s="208"/>
      <c r="DW184" s="208"/>
      <c r="DX184" s="208"/>
      <c r="DY184" s="208"/>
      <c r="DZ184" s="227"/>
      <c r="EA184" s="186"/>
      <c r="EB184" s="186"/>
    </row>
    <row r="185" spans="2:132" s="176" customFormat="1" ht="14.25" hidden="1" customHeight="1" x14ac:dyDescent="0.2">
      <c r="B185" s="760">
        <f ca="1">B142+INT(C184/12)</f>
        <v>2022</v>
      </c>
      <c r="C185" s="760">
        <v>43</v>
      </c>
      <c r="D185" s="777">
        <f t="shared" si="37"/>
        <v>0</v>
      </c>
      <c r="E185" s="771">
        <f t="shared" si="36"/>
        <v>0</v>
      </c>
      <c r="F185" s="778">
        <f t="shared" si="38"/>
        <v>0</v>
      </c>
      <c r="G185" s="778">
        <f t="shared" si="39"/>
        <v>0</v>
      </c>
      <c r="H185" s="779">
        <f t="shared" si="40"/>
        <v>0</v>
      </c>
      <c r="I185" s="780">
        <f t="shared" si="41"/>
        <v>0</v>
      </c>
      <c r="J185" s="778">
        <f>IF(AND(L185&gt;0,L184=0),K133,0)</f>
        <v>0</v>
      </c>
      <c r="K185" s="779">
        <f t="shared" si="42"/>
        <v>0</v>
      </c>
      <c r="L185" s="780">
        <f t="shared" si="43"/>
        <v>0</v>
      </c>
      <c r="M185" s="778">
        <f>IF(AND(O185&gt;0,O184=0),N133,0)</f>
        <v>0</v>
      </c>
      <c r="N185" s="779">
        <f t="shared" si="44"/>
        <v>0</v>
      </c>
      <c r="O185" s="780">
        <f t="shared" si="45"/>
        <v>0</v>
      </c>
      <c r="P185" s="778">
        <f>IF(AND(S185&gt;0,S184=0),Q133,0)</f>
        <v>0</v>
      </c>
      <c r="Q185" s="781">
        <f t="shared" si="46"/>
        <v>0</v>
      </c>
      <c r="S185" s="782">
        <f t="shared" si="47"/>
        <v>0</v>
      </c>
      <c r="T185" s="778">
        <f>IF(AND(V185&gt;0,V184=0),U133,0)</f>
        <v>0</v>
      </c>
      <c r="U185" s="779">
        <f t="shared" si="48"/>
        <v>0</v>
      </c>
      <c r="V185" s="780">
        <f t="shared" si="49"/>
        <v>0</v>
      </c>
      <c r="W185" s="778">
        <f>IF(AND(Y185&gt;0,Y184=0),X133,0)</f>
        <v>0</v>
      </c>
      <c r="X185" s="779">
        <f t="shared" si="50"/>
        <v>0</v>
      </c>
      <c r="Y185" s="780">
        <f t="shared" si="51"/>
        <v>0</v>
      </c>
      <c r="Z185" s="778">
        <f>IF(AND(AB185&gt;0,AB184=0),AA133,0)</f>
        <v>0</v>
      </c>
      <c r="AA185" s="779">
        <f t="shared" si="52"/>
        <v>0</v>
      </c>
      <c r="AB185" s="780">
        <f t="shared" si="53"/>
        <v>0</v>
      </c>
      <c r="AC185" s="778">
        <f>IF(AND(AE185&gt;0,AE184=0),AD133,0)</f>
        <v>0</v>
      </c>
      <c r="AD185" s="779">
        <f t="shared" si="54"/>
        <v>0</v>
      </c>
      <c r="AE185" s="780">
        <f t="shared" si="55"/>
        <v>0</v>
      </c>
      <c r="AF185" s="778">
        <f>IF(AND(AH185&gt;0,AH184=0),AG133,0)</f>
        <v>0</v>
      </c>
      <c r="AG185" s="779">
        <f t="shared" si="56"/>
        <v>0</v>
      </c>
      <c r="AH185" s="780">
        <f t="shared" si="57"/>
        <v>0</v>
      </c>
      <c r="AI185" s="778">
        <f>IF(AND(AK185&gt;0,AK184=0),AJ133,0)</f>
        <v>0</v>
      </c>
      <c r="AJ185" s="779">
        <f t="shared" si="58"/>
        <v>0</v>
      </c>
      <c r="AK185" s="780">
        <f t="shared" si="59"/>
        <v>0</v>
      </c>
      <c r="AL185" s="778">
        <f t="shared" ca="1" si="60"/>
        <v>0</v>
      </c>
      <c r="AM185" s="783"/>
      <c r="AN185" s="780"/>
      <c r="AO185" s="778">
        <f t="shared" ca="1" si="61"/>
        <v>0</v>
      </c>
      <c r="AP185" s="783"/>
      <c r="AQ185" s="780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  <c r="BP185" s="208"/>
      <c r="BQ185" s="208"/>
      <c r="BR185" s="208"/>
      <c r="BS185" s="208"/>
      <c r="BT185" s="208"/>
      <c r="BU185" s="207"/>
      <c r="BV185" s="208"/>
      <c r="BW185" s="208"/>
      <c r="BX185" s="208"/>
      <c r="BY185" s="208"/>
      <c r="BZ185" s="382"/>
      <c r="CA185" s="382"/>
      <c r="CB185" s="382"/>
      <c r="CC185" s="382"/>
      <c r="CD185" s="382"/>
      <c r="CE185" s="382"/>
      <c r="CF185" s="382"/>
      <c r="CG185" s="382"/>
      <c r="CH185" s="382"/>
      <c r="CI185" s="382"/>
      <c r="CJ185" s="382"/>
      <c r="CK185" s="382"/>
      <c r="CL185" s="382"/>
      <c r="CM185" s="382"/>
      <c r="CN185" s="382"/>
      <c r="CO185" s="382"/>
      <c r="CP185" s="382"/>
      <c r="CQ185" s="382"/>
      <c r="CR185" s="382"/>
      <c r="CS185" s="382"/>
      <c r="CT185" s="382"/>
      <c r="CU185" s="382"/>
      <c r="CV185" s="382"/>
      <c r="CW185" s="769">
        <v>43</v>
      </c>
      <c r="CX185" s="382"/>
      <c r="CY185" s="382"/>
      <c r="CZ185" s="382"/>
      <c r="DA185" s="382"/>
      <c r="DB185" s="382"/>
      <c r="DC185" s="382"/>
      <c r="DD185" s="382"/>
      <c r="DE185" s="382"/>
      <c r="DF185" s="382"/>
      <c r="DG185" s="382"/>
      <c r="DH185" s="382"/>
      <c r="DI185" s="382"/>
      <c r="DJ185" s="382"/>
      <c r="DK185" s="382"/>
      <c r="DL185" s="382"/>
      <c r="DM185" s="382"/>
      <c r="DN185" s="382"/>
      <c r="DO185" s="382"/>
      <c r="DP185" s="208"/>
      <c r="DQ185" s="208"/>
      <c r="DR185" s="208"/>
      <c r="DS185" s="208"/>
      <c r="DT185" s="208"/>
      <c r="DU185" s="208"/>
      <c r="DV185" s="208"/>
      <c r="DW185" s="208"/>
      <c r="DX185" s="208"/>
      <c r="DY185" s="208"/>
      <c r="DZ185" s="227"/>
      <c r="EA185" s="186"/>
      <c r="EB185" s="186"/>
    </row>
    <row r="186" spans="2:132" s="176" customFormat="1" ht="14.25" hidden="1" customHeight="1" x14ac:dyDescent="0.2">
      <c r="B186" s="760">
        <f ca="1">B142+INT(C185/12)</f>
        <v>2022</v>
      </c>
      <c r="C186" s="760">
        <v>44</v>
      </c>
      <c r="D186" s="777">
        <f t="shared" si="37"/>
        <v>0</v>
      </c>
      <c r="E186" s="771">
        <f t="shared" si="36"/>
        <v>0</v>
      </c>
      <c r="F186" s="778">
        <f t="shared" si="38"/>
        <v>0</v>
      </c>
      <c r="G186" s="778">
        <f t="shared" si="39"/>
        <v>0</v>
      </c>
      <c r="H186" s="779">
        <f t="shared" si="40"/>
        <v>0</v>
      </c>
      <c r="I186" s="780">
        <f t="shared" si="41"/>
        <v>0</v>
      </c>
      <c r="J186" s="778">
        <f>IF(AND(L186&gt;0,L185=0),K133,0)</f>
        <v>0</v>
      </c>
      <c r="K186" s="779">
        <f t="shared" si="42"/>
        <v>0</v>
      </c>
      <c r="L186" s="780">
        <f t="shared" si="43"/>
        <v>0</v>
      </c>
      <c r="M186" s="778">
        <f>IF(AND(O186&gt;0,O185=0),N133,0)</f>
        <v>0</v>
      </c>
      <c r="N186" s="779">
        <f t="shared" si="44"/>
        <v>0</v>
      </c>
      <c r="O186" s="780">
        <f t="shared" si="45"/>
        <v>0</v>
      </c>
      <c r="P186" s="778">
        <f>IF(AND(S186&gt;0,S185=0),Q133,0)</f>
        <v>0</v>
      </c>
      <c r="Q186" s="781">
        <f t="shared" si="46"/>
        <v>0</v>
      </c>
      <c r="S186" s="782">
        <f t="shared" si="47"/>
        <v>0</v>
      </c>
      <c r="T186" s="778">
        <f>IF(AND(V186&gt;0,V185=0),U133,0)</f>
        <v>0</v>
      </c>
      <c r="U186" s="779">
        <f t="shared" si="48"/>
        <v>0</v>
      </c>
      <c r="V186" s="780">
        <f t="shared" si="49"/>
        <v>0</v>
      </c>
      <c r="W186" s="778">
        <f>IF(AND(Y186&gt;0,Y185=0),X133,0)</f>
        <v>0</v>
      </c>
      <c r="X186" s="779">
        <f t="shared" si="50"/>
        <v>0</v>
      </c>
      <c r="Y186" s="780">
        <f t="shared" si="51"/>
        <v>0</v>
      </c>
      <c r="Z186" s="778">
        <f>IF(AND(AB186&gt;0,AB185=0),AA133,0)</f>
        <v>0</v>
      </c>
      <c r="AA186" s="779">
        <f t="shared" si="52"/>
        <v>0</v>
      </c>
      <c r="AB186" s="780">
        <f t="shared" si="53"/>
        <v>0</v>
      </c>
      <c r="AC186" s="778">
        <f>IF(AND(AE186&gt;0,AE185=0),AD133,0)</f>
        <v>0</v>
      </c>
      <c r="AD186" s="779">
        <f t="shared" si="54"/>
        <v>0</v>
      </c>
      <c r="AE186" s="780">
        <f t="shared" si="55"/>
        <v>0</v>
      </c>
      <c r="AF186" s="778">
        <f>IF(AND(AH186&gt;0,AH185=0),AG133,0)</f>
        <v>0</v>
      </c>
      <c r="AG186" s="779">
        <f t="shared" si="56"/>
        <v>0</v>
      </c>
      <c r="AH186" s="780">
        <f t="shared" si="57"/>
        <v>0</v>
      </c>
      <c r="AI186" s="778">
        <f>IF(AND(AK186&gt;0,AK185=0),AJ133,0)</f>
        <v>0</v>
      </c>
      <c r="AJ186" s="779">
        <f t="shared" si="58"/>
        <v>0</v>
      </c>
      <c r="AK186" s="780">
        <f t="shared" si="59"/>
        <v>0</v>
      </c>
      <c r="AL186" s="778">
        <f t="shared" ca="1" si="60"/>
        <v>0</v>
      </c>
      <c r="AM186" s="783"/>
      <c r="AN186" s="780"/>
      <c r="AO186" s="778">
        <f t="shared" ca="1" si="61"/>
        <v>0</v>
      </c>
      <c r="AP186" s="783"/>
      <c r="AQ186" s="780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7"/>
      <c r="BV186" s="208"/>
      <c r="BW186" s="208"/>
      <c r="BX186" s="208"/>
      <c r="BY186" s="208"/>
      <c r="BZ186" s="382"/>
      <c r="CA186" s="382"/>
      <c r="CB186" s="382"/>
      <c r="CC186" s="382"/>
      <c r="CD186" s="382"/>
      <c r="CE186" s="382"/>
      <c r="CF186" s="382"/>
      <c r="CG186" s="382"/>
      <c r="CH186" s="382"/>
      <c r="CI186" s="382"/>
      <c r="CJ186" s="382"/>
      <c r="CK186" s="382"/>
      <c r="CL186" s="382"/>
      <c r="CM186" s="382"/>
      <c r="CN186" s="382"/>
      <c r="CO186" s="382"/>
      <c r="CP186" s="382"/>
      <c r="CQ186" s="382"/>
      <c r="CR186" s="382"/>
      <c r="CS186" s="382"/>
      <c r="CT186" s="382"/>
      <c r="CU186" s="382"/>
      <c r="CV186" s="382"/>
      <c r="CW186" s="769">
        <v>44</v>
      </c>
      <c r="CX186" s="382"/>
      <c r="CY186" s="382"/>
      <c r="CZ186" s="382"/>
      <c r="DA186" s="382"/>
      <c r="DB186" s="382"/>
      <c r="DC186" s="382"/>
      <c r="DD186" s="382"/>
      <c r="DE186" s="382"/>
      <c r="DF186" s="382"/>
      <c r="DG186" s="382"/>
      <c r="DH186" s="382"/>
      <c r="DI186" s="382"/>
      <c r="DJ186" s="382"/>
      <c r="DK186" s="382"/>
      <c r="DL186" s="382"/>
      <c r="DM186" s="382"/>
      <c r="DN186" s="382"/>
      <c r="DO186" s="382"/>
      <c r="DP186" s="208"/>
      <c r="DQ186" s="208"/>
      <c r="DR186" s="208"/>
      <c r="DS186" s="208"/>
      <c r="DT186" s="208"/>
      <c r="DU186" s="208"/>
      <c r="DV186" s="208"/>
      <c r="DW186" s="208"/>
      <c r="DX186" s="208"/>
      <c r="DY186" s="208"/>
      <c r="DZ186" s="227"/>
      <c r="EA186" s="186"/>
      <c r="EB186" s="186"/>
    </row>
    <row r="187" spans="2:132" s="176" customFormat="1" ht="14.25" hidden="1" customHeight="1" x14ac:dyDescent="0.2">
      <c r="B187" s="760">
        <f ca="1">B142+INT(C186/12)</f>
        <v>2022</v>
      </c>
      <c r="C187" s="760">
        <v>45</v>
      </c>
      <c r="D187" s="777">
        <f t="shared" si="37"/>
        <v>0</v>
      </c>
      <c r="E187" s="771">
        <f t="shared" si="36"/>
        <v>0</v>
      </c>
      <c r="F187" s="778">
        <f t="shared" si="38"/>
        <v>0</v>
      </c>
      <c r="G187" s="778">
        <f t="shared" si="39"/>
        <v>0</v>
      </c>
      <c r="H187" s="779">
        <f t="shared" si="40"/>
        <v>0</v>
      </c>
      <c r="I187" s="780">
        <f t="shared" si="41"/>
        <v>0</v>
      </c>
      <c r="J187" s="778">
        <f>IF(AND(L187&gt;0,L186=0),K133,0)</f>
        <v>0</v>
      </c>
      <c r="K187" s="779">
        <f t="shared" si="42"/>
        <v>0</v>
      </c>
      <c r="L187" s="780">
        <f t="shared" si="43"/>
        <v>0</v>
      </c>
      <c r="M187" s="778">
        <f>IF(AND(O187&gt;0,O186=0),N133,0)</f>
        <v>0</v>
      </c>
      <c r="N187" s="779">
        <f t="shared" si="44"/>
        <v>0</v>
      </c>
      <c r="O187" s="780">
        <f t="shared" si="45"/>
        <v>0</v>
      </c>
      <c r="P187" s="778">
        <f>IF(AND(S187&gt;0,S186=0),Q133,0)</f>
        <v>0</v>
      </c>
      <c r="Q187" s="781">
        <f t="shared" si="46"/>
        <v>0</v>
      </c>
      <c r="S187" s="782">
        <f t="shared" si="47"/>
        <v>0</v>
      </c>
      <c r="T187" s="778">
        <f>IF(AND(V187&gt;0,V186=0),U133,0)</f>
        <v>0</v>
      </c>
      <c r="U187" s="779">
        <f t="shared" si="48"/>
        <v>0</v>
      </c>
      <c r="V187" s="780">
        <f t="shared" si="49"/>
        <v>0</v>
      </c>
      <c r="W187" s="778">
        <f>IF(AND(Y187&gt;0,Y186=0),X133,0)</f>
        <v>0</v>
      </c>
      <c r="X187" s="779">
        <f t="shared" si="50"/>
        <v>0</v>
      </c>
      <c r="Y187" s="780">
        <f t="shared" si="51"/>
        <v>0</v>
      </c>
      <c r="Z187" s="778">
        <f>IF(AND(AB187&gt;0,AB186=0),AA133,0)</f>
        <v>0</v>
      </c>
      <c r="AA187" s="779">
        <f t="shared" si="52"/>
        <v>0</v>
      </c>
      <c r="AB187" s="780">
        <f t="shared" si="53"/>
        <v>0</v>
      </c>
      <c r="AC187" s="778">
        <f>IF(AND(AE187&gt;0,AE186=0),AD133,0)</f>
        <v>0</v>
      </c>
      <c r="AD187" s="779">
        <f t="shared" si="54"/>
        <v>0</v>
      </c>
      <c r="AE187" s="780">
        <f t="shared" si="55"/>
        <v>0</v>
      </c>
      <c r="AF187" s="778">
        <f>IF(AND(AH187&gt;0,AH186=0),AG133,0)</f>
        <v>0</v>
      </c>
      <c r="AG187" s="779">
        <f t="shared" si="56"/>
        <v>0</v>
      </c>
      <c r="AH187" s="780">
        <f t="shared" si="57"/>
        <v>0</v>
      </c>
      <c r="AI187" s="778">
        <f>IF(AND(AK187&gt;0,AK186=0),AJ133,0)</f>
        <v>0</v>
      </c>
      <c r="AJ187" s="779">
        <f t="shared" si="58"/>
        <v>0</v>
      </c>
      <c r="AK187" s="780">
        <f t="shared" si="59"/>
        <v>0</v>
      </c>
      <c r="AL187" s="778">
        <f t="shared" ca="1" si="60"/>
        <v>0</v>
      </c>
      <c r="AM187" s="783"/>
      <c r="AN187" s="780"/>
      <c r="AO187" s="778">
        <f t="shared" ca="1" si="61"/>
        <v>0</v>
      </c>
      <c r="AP187" s="783"/>
      <c r="AQ187" s="780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  <c r="BU187" s="207"/>
      <c r="BV187" s="208"/>
      <c r="BW187" s="208"/>
      <c r="BX187" s="208"/>
      <c r="BY187" s="208"/>
      <c r="BZ187" s="382"/>
      <c r="CA187" s="382"/>
      <c r="CB187" s="382"/>
      <c r="CC187" s="382"/>
      <c r="CD187" s="382"/>
      <c r="CE187" s="382"/>
      <c r="CF187" s="382"/>
      <c r="CG187" s="382"/>
      <c r="CH187" s="382"/>
      <c r="CI187" s="382"/>
      <c r="CJ187" s="382"/>
      <c r="CK187" s="382"/>
      <c r="CL187" s="382"/>
      <c r="CM187" s="382"/>
      <c r="CN187" s="382"/>
      <c r="CO187" s="382"/>
      <c r="CP187" s="382"/>
      <c r="CQ187" s="382"/>
      <c r="CR187" s="382"/>
      <c r="CS187" s="382"/>
      <c r="CT187" s="382"/>
      <c r="CU187" s="382"/>
      <c r="CV187" s="382"/>
      <c r="CW187" s="769">
        <v>45</v>
      </c>
      <c r="CX187" s="382"/>
      <c r="CY187" s="382"/>
      <c r="CZ187" s="382"/>
      <c r="DA187" s="382"/>
      <c r="DB187" s="382"/>
      <c r="DC187" s="382"/>
      <c r="DD187" s="382"/>
      <c r="DE187" s="382"/>
      <c r="DF187" s="382"/>
      <c r="DG187" s="382"/>
      <c r="DH187" s="382"/>
      <c r="DI187" s="382"/>
      <c r="DJ187" s="382"/>
      <c r="DK187" s="382"/>
      <c r="DL187" s="382"/>
      <c r="DM187" s="382"/>
      <c r="DN187" s="382"/>
      <c r="DO187" s="382"/>
      <c r="DP187" s="208"/>
      <c r="DQ187" s="208"/>
      <c r="DR187" s="208"/>
      <c r="DS187" s="208"/>
      <c r="DT187" s="208"/>
      <c r="DU187" s="208"/>
      <c r="DV187" s="208"/>
      <c r="DW187" s="208"/>
      <c r="DX187" s="208"/>
      <c r="DY187" s="208"/>
      <c r="DZ187" s="227"/>
      <c r="EA187" s="186"/>
      <c r="EB187" s="186"/>
    </row>
    <row r="188" spans="2:132" s="176" customFormat="1" ht="14.25" hidden="1" customHeight="1" x14ac:dyDescent="0.2">
      <c r="B188" s="760">
        <f ca="1">B142+INT(C187/12)</f>
        <v>2022</v>
      </c>
      <c r="C188" s="760">
        <v>46</v>
      </c>
      <c r="D188" s="777">
        <f t="shared" si="37"/>
        <v>0</v>
      </c>
      <c r="E188" s="771">
        <f t="shared" si="36"/>
        <v>0</v>
      </c>
      <c r="F188" s="778">
        <f t="shared" si="38"/>
        <v>0</v>
      </c>
      <c r="G188" s="778">
        <f t="shared" si="39"/>
        <v>0</v>
      </c>
      <c r="H188" s="779">
        <f t="shared" si="40"/>
        <v>0</v>
      </c>
      <c r="I188" s="780">
        <f t="shared" si="41"/>
        <v>0</v>
      </c>
      <c r="J188" s="778">
        <f>IF(AND(L188&gt;0,L187=0),K133,0)</f>
        <v>0</v>
      </c>
      <c r="K188" s="779">
        <f t="shared" si="42"/>
        <v>0</v>
      </c>
      <c r="L188" s="780">
        <f t="shared" si="43"/>
        <v>0</v>
      </c>
      <c r="M188" s="778">
        <f>IF(AND(O188&gt;0,O187=0),N133,0)</f>
        <v>0</v>
      </c>
      <c r="N188" s="779">
        <f t="shared" si="44"/>
        <v>0</v>
      </c>
      <c r="O188" s="780">
        <f t="shared" si="45"/>
        <v>0</v>
      </c>
      <c r="P188" s="778">
        <f>IF(AND(S188&gt;0,S187=0),Q133,0)</f>
        <v>0</v>
      </c>
      <c r="Q188" s="781">
        <f t="shared" si="46"/>
        <v>0</v>
      </c>
      <c r="S188" s="782">
        <f t="shared" si="47"/>
        <v>0</v>
      </c>
      <c r="T188" s="778">
        <f>IF(AND(V188&gt;0,V187=0),U133,0)</f>
        <v>0</v>
      </c>
      <c r="U188" s="779">
        <f t="shared" si="48"/>
        <v>0</v>
      </c>
      <c r="V188" s="780">
        <f t="shared" si="49"/>
        <v>0</v>
      </c>
      <c r="W188" s="778">
        <f>IF(AND(Y188&gt;0,Y187=0),X133,0)</f>
        <v>0</v>
      </c>
      <c r="X188" s="779">
        <f t="shared" si="50"/>
        <v>0</v>
      </c>
      <c r="Y188" s="780">
        <f t="shared" si="51"/>
        <v>0</v>
      </c>
      <c r="Z188" s="778">
        <f>IF(AND(AB188&gt;0,AB187=0),AA133,0)</f>
        <v>0</v>
      </c>
      <c r="AA188" s="779">
        <f t="shared" si="52"/>
        <v>0</v>
      </c>
      <c r="AB188" s="780">
        <f t="shared" si="53"/>
        <v>0</v>
      </c>
      <c r="AC188" s="778">
        <f>IF(AND(AE188&gt;0,AE187=0),AD133,0)</f>
        <v>0</v>
      </c>
      <c r="AD188" s="779">
        <f t="shared" si="54"/>
        <v>0</v>
      </c>
      <c r="AE188" s="780">
        <f t="shared" si="55"/>
        <v>0</v>
      </c>
      <c r="AF188" s="778">
        <f>IF(AND(AH188&gt;0,AH187=0),AG133,0)</f>
        <v>0</v>
      </c>
      <c r="AG188" s="779">
        <f t="shared" si="56"/>
        <v>0</v>
      </c>
      <c r="AH188" s="780">
        <f t="shared" si="57"/>
        <v>0</v>
      </c>
      <c r="AI188" s="778">
        <f>IF(AND(AK188&gt;0,AK187=0),AJ133,0)</f>
        <v>0</v>
      </c>
      <c r="AJ188" s="779">
        <f t="shared" si="58"/>
        <v>0</v>
      </c>
      <c r="AK188" s="780">
        <f t="shared" si="59"/>
        <v>0</v>
      </c>
      <c r="AL188" s="778">
        <f t="shared" ca="1" si="60"/>
        <v>0</v>
      </c>
      <c r="AM188" s="783"/>
      <c r="AN188" s="780"/>
      <c r="AO188" s="778">
        <f t="shared" ca="1" si="61"/>
        <v>0</v>
      </c>
      <c r="AP188" s="783"/>
      <c r="AQ188" s="780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7"/>
      <c r="BV188" s="208"/>
      <c r="BW188" s="208"/>
      <c r="BX188" s="208"/>
      <c r="BY188" s="208"/>
      <c r="BZ188" s="382"/>
      <c r="CA188" s="382"/>
      <c r="CB188" s="382"/>
      <c r="CC188" s="382"/>
      <c r="CD188" s="382"/>
      <c r="CE188" s="382"/>
      <c r="CF188" s="382"/>
      <c r="CG188" s="382"/>
      <c r="CH188" s="382"/>
      <c r="CI188" s="382"/>
      <c r="CJ188" s="382"/>
      <c r="CK188" s="382"/>
      <c r="CL188" s="382"/>
      <c r="CM188" s="382"/>
      <c r="CN188" s="382"/>
      <c r="CO188" s="382"/>
      <c r="CP188" s="382"/>
      <c r="CQ188" s="382"/>
      <c r="CR188" s="382"/>
      <c r="CS188" s="382"/>
      <c r="CT188" s="382"/>
      <c r="CU188" s="382"/>
      <c r="CV188" s="382"/>
      <c r="CW188" s="769">
        <v>46</v>
      </c>
      <c r="CX188" s="382"/>
      <c r="CY188" s="382"/>
      <c r="CZ188" s="382"/>
      <c r="DA188" s="382"/>
      <c r="DB188" s="382"/>
      <c r="DC188" s="382"/>
      <c r="DD188" s="382"/>
      <c r="DE188" s="382"/>
      <c r="DF188" s="382"/>
      <c r="DG188" s="382"/>
      <c r="DH188" s="382"/>
      <c r="DI188" s="382"/>
      <c r="DJ188" s="382"/>
      <c r="DK188" s="382"/>
      <c r="DL188" s="382"/>
      <c r="DM188" s="382"/>
      <c r="DN188" s="382"/>
      <c r="DO188" s="382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27"/>
      <c r="EA188" s="186"/>
      <c r="EB188" s="186"/>
    </row>
    <row r="189" spans="2:132" s="176" customFormat="1" ht="14.25" hidden="1" customHeight="1" x14ac:dyDescent="0.2">
      <c r="B189" s="760">
        <f ca="1">B142+INT(C188/12)</f>
        <v>2022</v>
      </c>
      <c r="C189" s="760">
        <v>47</v>
      </c>
      <c r="D189" s="777">
        <f t="shared" si="37"/>
        <v>0</v>
      </c>
      <c r="E189" s="771">
        <f t="shared" si="36"/>
        <v>0</v>
      </c>
      <c r="F189" s="778">
        <f t="shared" si="38"/>
        <v>0</v>
      </c>
      <c r="G189" s="778">
        <f t="shared" si="39"/>
        <v>0</v>
      </c>
      <c r="H189" s="779">
        <f t="shared" si="40"/>
        <v>0</v>
      </c>
      <c r="I189" s="780">
        <f t="shared" si="41"/>
        <v>0</v>
      </c>
      <c r="J189" s="778">
        <f>IF(AND(L189&gt;0,L188=0),K133,0)</f>
        <v>0</v>
      </c>
      <c r="K189" s="779">
        <f t="shared" si="42"/>
        <v>0</v>
      </c>
      <c r="L189" s="780">
        <f t="shared" si="43"/>
        <v>0</v>
      </c>
      <c r="M189" s="778">
        <f>IF(AND(O189&gt;0,O188=0),N133,0)</f>
        <v>0</v>
      </c>
      <c r="N189" s="779">
        <f t="shared" si="44"/>
        <v>0</v>
      </c>
      <c r="O189" s="780">
        <f t="shared" si="45"/>
        <v>0</v>
      </c>
      <c r="P189" s="778">
        <f>IF(AND(S189&gt;0,S188=0),Q133,0)</f>
        <v>0</v>
      </c>
      <c r="Q189" s="781">
        <f t="shared" si="46"/>
        <v>0</v>
      </c>
      <c r="S189" s="782">
        <f t="shared" si="47"/>
        <v>0</v>
      </c>
      <c r="T189" s="778">
        <f>IF(AND(V189&gt;0,V188=0),U133,0)</f>
        <v>0</v>
      </c>
      <c r="U189" s="779">
        <f t="shared" si="48"/>
        <v>0</v>
      </c>
      <c r="V189" s="780">
        <f t="shared" si="49"/>
        <v>0</v>
      </c>
      <c r="W189" s="778">
        <f>IF(AND(Y189&gt;0,Y188=0),X133,0)</f>
        <v>0</v>
      </c>
      <c r="X189" s="779">
        <f t="shared" si="50"/>
        <v>0</v>
      </c>
      <c r="Y189" s="780">
        <f t="shared" si="51"/>
        <v>0</v>
      </c>
      <c r="Z189" s="778">
        <f>IF(AND(AB189&gt;0,AB188=0),AA133,0)</f>
        <v>0</v>
      </c>
      <c r="AA189" s="779">
        <f t="shared" si="52"/>
        <v>0</v>
      </c>
      <c r="AB189" s="780">
        <f t="shared" si="53"/>
        <v>0</v>
      </c>
      <c r="AC189" s="778">
        <f>IF(AND(AE189&gt;0,AE188=0),AD133,0)</f>
        <v>0</v>
      </c>
      <c r="AD189" s="779">
        <f t="shared" si="54"/>
        <v>0</v>
      </c>
      <c r="AE189" s="780">
        <f t="shared" si="55"/>
        <v>0</v>
      </c>
      <c r="AF189" s="778">
        <f>IF(AND(AH189&gt;0,AH188=0),AG133,0)</f>
        <v>0</v>
      </c>
      <c r="AG189" s="779">
        <f t="shared" si="56"/>
        <v>0</v>
      </c>
      <c r="AH189" s="780">
        <f t="shared" si="57"/>
        <v>0</v>
      </c>
      <c r="AI189" s="778">
        <f>IF(AND(AK189&gt;0,AK188=0),AJ133,0)</f>
        <v>0</v>
      </c>
      <c r="AJ189" s="779">
        <f t="shared" si="58"/>
        <v>0</v>
      </c>
      <c r="AK189" s="780">
        <f t="shared" si="59"/>
        <v>0</v>
      </c>
      <c r="AL189" s="778">
        <f t="shared" ca="1" si="60"/>
        <v>0</v>
      </c>
      <c r="AM189" s="783"/>
      <c r="AN189" s="780"/>
      <c r="AO189" s="778">
        <f t="shared" ca="1" si="61"/>
        <v>0</v>
      </c>
      <c r="AP189" s="783"/>
      <c r="AQ189" s="780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  <c r="BP189" s="208"/>
      <c r="BQ189" s="208"/>
      <c r="BR189" s="208"/>
      <c r="BS189" s="208"/>
      <c r="BT189" s="208"/>
      <c r="BU189" s="207"/>
      <c r="BV189" s="208"/>
      <c r="BW189" s="208"/>
      <c r="BX189" s="208"/>
      <c r="BY189" s="208"/>
      <c r="BZ189" s="382"/>
      <c r="CA189" s="382"/>
      <c r="CB189" s="382"/>
      <c r="CC189" s="382"/>
      <c r="CD189" s="382"/>
      <c r="CE189" s="382"/>
      <c r="CF189" s="382"/>
      <c r="CG189" s="382"/>
      <c r="CH189" s="382"/>
      <c r="CI189" s="382"/>
      <c r="CJ189" s="382"/>
      <c r="CK189" s="382"/>
      <c r="CL189" s="382"/>
      <c r="CM189" s="382"/>
      <c r="CN189" s="382"/>
      <c r="CO189" s="382"/>
      <c r="CP189" s="382"/>
      <c r="CQ189" s="382"/>
      <c r="CR189" s="382"/>
      <c r="CS189" s="382"/>
      <c r="CT189" s="382"/>
      <c r="CU189" s="382"/>
      <c r="CV189" s="382"/>
      <c r="CW189" s="769">
        <v>47</v>
      </c>
      <c r="CX189" s="382"/>
      <c r="CY189" s="382"/>
      <c r="CZ189" s="382"/>
      <c r="DA189" s="382"/>
      <c r="DB189" s="382"/>
      <c r="DC189" s="382"/>
      <c r="DD189" s="382"/>
      <c r="DE189" s="382"/>
      <c r="DF189" s="382"/>
      <c r="DG189" s="382"/>
      <c r="DH189" s="382"/>
      <c r="DI189" s="382"/>
      <c r="DJ189" s="382"/>
      <c r="DK189" s="382"/>
      <c r="DL189" s="382"/>
      <c r="DM189" s="382"/>
      <c r="DN189" s="382"/>
      <c r="DO189" s="382"/>
      <c r="DP189" s="208"/>
      <c r="DQ189" s="208"/>
      <c r="DR189" s="208"/>
      <c r="DS189" s="208"/>
      <c r="DT189" s="208"/>
      <c r="DU189" s="208"/>
      <c r="DV189" s="208"/>
      <c r="DW189" s="208"/>
      <c r="DX189" s="208"/>
      <c r="DY189" s="208"/>
      <c r="DZ189" s="227"/>
      <c r="EA189" s="186"/>
      <c r="EB189" s="186"/>
    </row>
    <row r="190" spans="2:132" s="176" customFormat="1" ht="14.25" hidden="1" customHeight="1" x14ac:dyDescent="0.2">
      <c r="B190" s="761">
        <f ca="1">B142+INT(C189/12)</f>
        <v>2022</v>
      </c>
      <c r="C190" s="761">
        <v>48</v>
      </c>
      <c r="D190" s="784">
        <f t="shared" si="37"/>
        <v>0</v>
      </c>
      <c r="E190" s="771">
        <f t="shared" si="36"/>
        <v>0</v>
      </c>
      <c r="F190" s="785">
        <f t="shared" si="38"/>
        <v>0</v>
      </c>
      <c r="G190" s="785">
        <f t="shared" si="39"/>
        <v>0</v>
      </c>
      <c r="H190" s="786">
        <f t="shared" si="40"/>
        <v>0</v>
      </c>
      <c r="I190" s="787">
        <f t="shared" si="41"/>
        <v>0</v>
      </c>
      <c r="J190" s="785">
        <f>IF(AND(L190&gt;0,L189=0),K133,0)</f>
        <v>0</v>
      </c>
      <c r="K190" s="786">
        <f t="shared" si="42"/>
        <v>0</v>
      </c>
      <c r="L190" s="787">
        <f t="shared" si="43"/>
        <v>0</v>
      </c>
      <c r="M190" s="785">
        <f>IF(AND(O190&gt;0,O189=0),N133,0)</f>
        <v>0</v>
      </c>
      <c r="N190" s="786">
        <f t="shared" si="44"/>
        <v>0</v>
      </c>
      <c r="O190" s="787">
        <f t="shared" si="45"/>
        <v>0</v>
      </c>
      <c r="P190" s="785">
        <f>IF(AND(S190&gt;0,S189=0),Q133,0)</f>
        <v>0</v>
      </c>
      <c r="Q190" s="788">
        <f t="shared" si="46"/>
        <v>0</v>
      </c>
      <c r="S190" s="789">
        <f t="shared" si="47"/>
        <v>0</v>
      </c>
      <c r="T190" s="785">
        <f>IF(AND(V190&gt;0,V189=0),U133,0)</f>
        <v>0</v>
      </c>
      <c r="U190" s="786">
        <f t="shared" si="48"/>
        <v>0</v>
      </c>
      <c r="V190" s="787">
        <f t="shared" si="49"/>
        <v>0</v>
      </c>
      <c r="W190" s="785">
        <f>IF(AND(Y190&gt;0,Y189=0),X133,0)</f>
        <v>0</v>
      </c>
      <c r="X190" s="786">
        <f t="shared" si="50"/>
        <v>0</v>
      </c>
      <c r="Y190" s="787">
        <f t="shared" si="51"/>
        <v>0</v>
      </c>
      <c r="Z190" s="785">
        <f>IF(AND(AB190&gt;0,AB189=0),AA133,0)</f>
        <v>0</v>
      </c>
      <c r="AA190" s="786">
        <f t="shared" si="52"/>
        <v>0</v>
      </c>
      <c r="AB190" s="787">
        <f t="shared" si="53"/>
        <v>0</v>
      </c>
      <c r="AC190" s="785">
        <f>IF(AND(AE190&gt;0,AE189=0),AD133,0)</f>
        <v>0</v>
      </c>
      <c r="AD190" s="786">
        <f t="shared" si="54"/>
        <v>0</v>
      </c>
      <c r="AE190" s="787">
        <f t="shared" si="55"/>
        <v>0</v>
      </c>
      <c r="AF190" s="785">
        <f>IF(AND(AH190&gt;0,AH189=0),AG133,0)</f>
        <v>0</v>
      </c>
      <c r="AG190" s="786">
        <f t="shared" si="56"/>
        <v>0</v>
      </c>
      <c r="AH190" s="787">
        <f t="shared" si="57"/>
        <v>0</v>
      </c>
      <c r="AI190" s="785">
        <f>IF(AND(AK190&gt;0,AK189=0),AJ133,0)</f>
        <v>0</v>
      </c>
      <c r="AJ190" s="786">
        <f t="shared" si="58"/>
        <v>0</v>
      </c>
      <c r="AK190" s="787">
        <f t="shared" si="59"/>
        <v>0</v>
      </c>
      <c r="AL190" s="785">
        <f t="shared" ca="1" si="60"/>
        <v>0</v>
      </c>
      <c r="AM190" s="783"/>
      <c r="AN190" s="780"/>
      <c r="AO190" s="785">
        <f t="shared" ca="1" si="61"/>
        <v>0</v>
      </c>
      <c r="AP190" s="783"/>
      <c r="AQ190" s="780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7"/>
      <c r="BV190" s="208"/>
      <c r="BW190" s="208"/>
      <c r="BX190" s="208"/>
      <c r="BY190" s="208"/>
      <c r="BZ190" s="382"/>
      <c r="CA190" s="382"/>
      <c r="CB190" s="382"/>
      <c r="CC190" s="382"/>
      <c r="CD190" s="382"/>
      <c r="CE190" s="382"/>
      <c r="CF190" s="382"/>
      <c r="CG190" s="382"/>
      <c r="CH190" s="382"/>
      <c r="CI190" s="382"/>
      <c r="CJ190" s="382"/>
      <c r="CK190" s="382"/>
      <c r="CL190" s="382"/>
      <c r="CM190" s="382"/>
      <c r="CN190" s="382"/>
      <c r="CO190" s="382"/>
      <c r="CP190" s="382"/>
      <c r="CQ190" s="382"/>
      <c r="CR190" s="382"/>
      <c r="CS190" s="382"/>
      <c r="CT190" s="382"/>
      <c r="CU190" s="382"/>
      <c r="CV190" s="382"/>
      <c r="CW190" s="769">
        <v>48</v>
      </c>
      <c r="CX190" s="382"/>
      <c r="CY190" s="382"/>
      <c r="CZ190" s="382"/>
      <c r="DA190" s="382"/>
      <c r="DB190" s="382"/>
      <c r="DC190" s="382"/>
      <c r="DD190" s="382"/>
      <c r="DE190" s="382"/>
      <c r="DF190" s="382"/>
      <c r="DG190" s="382"/>
      <c r="DH190" s="382"/>
      <c r="DI190" s="382"/>
      <c r="DJ190" s="382"/>
      <c r="DK190" s="382"/>
      <c r="DL190" s="382"/>
      <c r="DM190" s="382"/>
      <c r="DN190" s="382"/>
      <c r="DO190" s="382"/>
      <c r="DP190" s="208"/>
      <c r="DQ190" s="208"/>
      <c r="DR190" s="208"/>
      <c r="DS190" s="208"/>
      <c r="DT190" s="208"/>
      <c r="DU190" s="208"/>
      <c r="DV190" s="208"/>
      <c r="DW190" s="208"/>
      <c r="DX190" s="208"/>
      <c r="DY190" s="208"/>
      <c r="DZ190" s="227"/>
      <c r="EA190" s="186"/>
      <c r="EB190" s="186"/>
    </row>
    <row r="191" spans="2:132" s="176" customFormat="1" ht="14.25" hidden="1" customHeight="1" x14ac:dyDescent="0.2">
      <c r="B191" s="790">
        <f ca="1">B142+INT(C190/12)</f>
        <v>2023</v>
      </c>
      <c r="C191" s="790">
        <v>49</v>
      </c>
      <c r="D191" s="770">
        <f t="shared" si="37"/>
        <v>0</v>
      </c>
      <c r="E191" s="771">
        <f t="shared" si="36"/>
        <v>0</v>
      </c>
      <c r="F191" s="771">
        <f t="shared" si="38"/>
        <v>0</v>
      </c>
      <c r="G191" s="771">
        <f t="shared" si="39"/>
        <v>0</v>
      </c>
      <c r="H191" s="772">
        <f t="shared" si="40"/>
        <v>0</v>
      </c>
      <c r="I191" s="773">
        <f t="shared" si="41"/>
        <v>0</v>
      </c>
      <c r="J191" s="771">
        <f>IF(AND(L191&gt;0,L190=0),K133,0)</f>
        <v>0</v>
      </c>
      <c r="K191" s="772">
        <f t="shared" si="42"/>
        <v>0</v>
      </c>
      <c r="L191" s="773">
        <f t="shared" si="43"/>
        <v>0</v>
      </c>
      <c r="M191" s="771">
        <f>IF(AND(O191&gt;0,O190=0),N133,0)</f>
        <v>0</v>
      </c>
      <c r="N191" s="772">
        <f t="shared" si="44"/>
        <v>0</v>
      </c>
      <c r="O191" s="773">
        <f t="shared" si="45"/>
        <v>0</v>
      </c>
      <c r="P191" s="771">
        <f>IF(AND(S191&gt;0,S190=0),Q133,0)</f>
        <v>0</v>
      </c>
      <c r="Q191" s="774">
        <f t="shared" si="46"/>
        <v>0</v>
      </c>
      <c r="S191" s="775">
        <f t="shared" si="47"/>
        <v>0</v>
      </c>
      <c r="T191" s="771">
        <f>IF(AND(V191&gt;0,V190=0),U133,0)</f>
        <v>0</v>
      </c>
      <c r="U191" s="772">
        <f t="shared" si="48"/>
        <v>0</v>
      </c>
      <c r="V191" s="773">
        <f t="shared" si="49"/>
        <v>0</v>
      </c>
      <c r="W191" s="771">
        <f>IF(AND(Y191&gt;0,Y190=0),X133,0)</f>
        <v>0</v>
      </c>
      <c r="X191" s="772">
        <f t="shared" si="50"/>
        <v>0</v>
      </c>
      <c r="Y191" s="773">
        <f t="shared" si="51"/>
        <v>0</v>
      </c>
      <c r="Z191" s="771">
        <f>IF(AND(AB191&gt;0,AB190=0),AA133,0)</f>
        <v>0</v>
      </c>
      <c r="AA191" s="772">
        <f t="shared" si="52"/>
        <v>0</v>
      </c>
      <c r="AB191" s="773">
        <f t="shared" si="53"/>
        <v>0</v>
      </c>
      <c r="AC191" s="771">
        <f>IF(AND(AE191&gt;0,AE190=0),AD133,0)</f>
        <v>0</v>
      </c>
      <c r="AD191" s="772">
        <f t="shared" si="54"/>
        <v>0</v>
      </c>
      <c r="AE191" s="773">
        <f t="shared" si="55"/>
        <v>0</v>
      </c>
      <c r="AF191" s="771">
        <f>IF(AND(AH191&gt;0,AH190=0),AG133,0)</f>
        <v>0</v>
      </c>
      <c r="AG191" s="772">
        <f t="shared" si="56"/>
        <v>0</v>
      </c>
      <c r="AH191" s="773">
        <f t="shared" si="57"/>
        <v>0</v>
      </c>
      <c r="AI191" s="771">
        <f>IF(AND(AK191&gt;0,AK190=0),AJ133,0)</f>
        <v>0</v>
      </c>
      <c r="AJ191" s="772">
        <f t="shared" si="58"/>
        <v>0</v>
      </c>
      <c r="AK191" s="773">
        <f t="shared" si="59"/>
        <v>0</v>
      </c>
      <c r="AL191" s="771">
        <f t="shared" ca="1" si="60"/>
        <v>0</v>
      </c>
      <c r="AM191" s="783"/>
      <c r="AN191" s="780"/>
      <c r="AO191" s="771">
        <f t="shared" ca="1" si="61"/>
        <v>0</v>
      </c>
      <c r="AP191" s="783"/>
      <c r="AQ191" s="780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7"/>
      <c r="BV191" s="208"/>
      <c r="BW191" s="208"/>
      <c r="BX191" s="208"/>
      <c r="BY191" s="208"/>
      <c r="BZ191" s="382"/>
      <c r="CA191" s="382"/>
      <c r="CB191" s="382"/>
      <c r="CC191" s="382"/>
      <c r="CD191" s="382"/>
      <c r="CE191" s="382"/>
      <c r="CF191" s="382"/>
      <c r="CG191" s="382"/>
      <c r="CH191" s="382"/>
      <c r="CI191" s="382"/>
      <c r="CJ191" s="382"/>
      <c r="CK191" s="382"/>
      <c r="CL191" s="382"/>
      <c r="CM191" s="382"/>
      <c r="CN191" s="382"/>
      <c r="CO191" s="382"/>
      <c r="CP191" s="382"/>
      <c r="CQ191" s="382"/>
      <c r="CR191" s="382"/>
      <c r="CS191" s="382"/>
      <c r="CT191" s="382"/>
      <c r="CU191" s="382"/>
      <c r="CV191" s="382"/>
      <c r="CW191" s="769">
        <v>49</v>
      </c>
      <c r="CX191" s="382"/>
      <c r="CY191" s="382"/>
      <c r="CZ191" s="382"/>
      <c r="DA191" s="382"/>
      <c r="DB191" s="382"/>
      <c r="DC191" s="382"/>
      <c r="DD191" s="382"/>
      <c r="DE191" s="382"/>
      <c r="DF191" s="382"/>
      <c r="DG191" s="382"/>
      <c r="DH191" s="382"/>
      <c r="DI191" s="382"/>
      <c r="DJ191" s="382"/>
      <c r="DK191" s="382"/>
      <c r="DL191" s="382"/>
      <c r="DM191" s="382"/>
      <c r="DN191" s="382"/>
      <c r="DO191" s="382"/>
      <c r="DP191" s="208"/>
      <c r="DQ191" s="208"/>
      <c r="DR191" s="208"/>
      <c r="DS191" s="208"/>
      <c r="DT191" s="208"/>
      <c r="DU191" s="208"/>
      <c r="DV191" s="208"/>
      <c r="DW191" s="208"/>
      <c r="DX191" s="208"/>
      <c r="DY191" s="208"/>
      <c r="DZ191" s="227"/>
      <c r="EA191" s="186"/>
      <c r="EB191" s="186"/>
    </row>
    <row r="192" spans="2:132" s="176" customFormat="1" ht="14.25" hidden="1" customHeight="1" x14ac:dyDescent="0.2">
      <c r="B192" s="760">
        <f ca="1">B142+INT(C191/12)</f>
        <v>2023</v>
      </c>
      <c r="C192" s="760">
        <v>50</v>
      </c>
      <c r="D192" s="777">
        <f t="shared" si="37"/>
        <v>0</v>
      </c>
      <c r="E192" s="771">
        <f t="shared" si="36"/>
        <v>0</v>
      </c>
      <c r="F192" s="778">
        <f t="shared" si="38"/>
        <v>0</v>
      </c>
      <c r="G192" s="778">
        <f t="shared" si="39"/>
        <v>0</v>
      </c>
      <c r="H192" s="779">
        <f t="shared" si="40"/>
        <v>0</v>
      </c>
      <c r="I192" s="780">
        <f t="shared" si="41"/>
        <v>0</v>
      </c>
      <c r="J192" s="778">
        <f>IF(AND(L192&gt;0,L191=0),K133,0)</f>
        <v>0</v>
      </c>
      <c r="K192" s="779">
        <f t="shared" si="42"/>
        <v>0</v>
      </c>
      <c r="L192" s="780">
        <f t="shared" si="43"/>
        <v>0</v>
      </c>
      <c r="M192" s="778">
        <f>IF(AND(O192&gt;0,O191=0),N133,0)</f>
        <v>0</v>
      </c>
      <c r="N192" s="779">
        <f t="shared" si="44"/>
        <v>0</v>
      </c>
      <c r="O192" s="780">
        <f t="shared" si="45"/>
        <v>0</v>
      </c>
      <c r="P192" s="778">
        <f>IF(AND(S192&gt;0,S191=0),Q133,0)</f>
        <v>0</v>
      </c>
      <c r="Q192" s="781">
        <f t="shared" si="46"/>
        <v>0</v>
      </c>
      <c r="S192" s="782">
        <f t="shared" si="47"/>
        <v>0</v>
      </c>
      <c r="T192" s="778">
        <f>IF(AND(V192&gt;0,V191=0),U133,0)</f>
        <v>0</v>
      </c>
      <c r="U192" s="779">
        <f t="shared" si="48"/>
        <v>0</v>
      </c>
      <c r="V192" s="780">
        <f t="shared" si="49"/>
        <v>0</v>
      </c>
      <c r="W192" s="778">
        <f>IF(AND(Y192&gt;0,Y191=0),X133,0)</f>
        <v>0</v>
      </c>
      <c r="X192" s="779">
        <f t="shared" si="50"/>
        <v>0</v>
      </c>
      <c r="Y192" s="780">
        <f t="shared" si="51"/>
        <v>0</v>
      </c>
      <c r="Z192" s="778">
        <f>IF(AND(AB192&gt;0,AB191=0),AA133,0)</f>
        <v>0</v>
      </c>
      <c r="AA192" s="779">
        <f t="shared" si="52"/>
        <v>0</v>
      </c>
      <c r="AB192" s="780">
        <f t="shared" si="53"/>
        <v>0</v>
      </c>
      <c r="AC192" s="778">
        <f>IF(AND(AE192&gt;0,AE191=0),AD133,0)</f>
        <v>0</v>
      </c>
      <c r="AD192" s="779">
        <f t="shared" si="54"/>
        <v>0</v>
      </c>
      <c r="AE192" s="780">
        <f t="shared" si="55"/>
        <v>0</v>
      </c>
      <c r="AF192" s="778">
        <f>IF(AND(AH192&gt;0,AH191=0),AG133,0)</f>
        <v>0</v>
      </c>
      <c r="AG192" s="779">
        <f t="shared" si="56"/>
        <v>0</v>
      </c>
      <c r="AH192" s="780">
        <f t="shared" si="57"/>
        <v>0</v>
      </c>
      <c r="AI192" s="778">
        <f>IF(AND(AK192&gt;0,AK191=0),AJ133,0)</f>
        <v>0</v>
      </c>
      <c r="AJ192" s="779">
        <f t="shared" si="58"/>
        <v>0</v>
      </c>
      <c r="AK192" s="780">
        <f t="shared" si="59"/>
        <v>0</v>
      </c>
      <c r="AL192" s="778">
        <f t="shared" ca="1" si="60"/>
        <v>0</v>
      </c>
      <c r="AM192" s="783"/>
      <c r="AN192" s="780"/>
      <c r="AO192" s="778">
        <f t="shared" ca="1" si="61"/>
        <v>0</v>
      </c>
      <c r="AP192" s="783"/>
      <c r="AQ192" s="780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7"/>
      <c r="BV192" s="208"/>
      <c r="BW192" s="208"/>
      <c r="BX192" s="208"/>
      <c r="BY192" s="208"/>
      <c r="BZ192" s="382"/>
      <c r="CA192" s="382"/>
      <c r="CB192" s="382"/>
      <c r="CC192" s="382"/>
      <c r="CD192" s="382"/>
      <c r="CE192" s="382"/>
      <c r="CF192" s="382"/>
      <c r="CG192" s="382"/>
      <c r="CH192" s="382"/>
      <c r="CI192" s="382"/>
      <c r="CJ192" s="382"/>
      <c r="CK192" s="382"/>
      <c r="CL192" s="382"/>
      <c r="CM192" s="382"/>
      <c r="CN192" s="382"/>
      <c r="CO192" s="382"/>
      <c r="CP192" s="382"/>
      <c r="CQ192" s="382"/>
      <c r="CR192" s="382"/>
      <c r="CS192" s="382"/>
      <c r="CT192" s="382"/>
      <c r="CU192" s="382"/>
      <c r="CV192" s="382"/>
      <c r="CW192" s="769">
        <v>50</v>
      </c>
      <c r="CX192" s="382"/>
      <c r="CY192" s="382"/>
      <c r="CZ192" s="382"/>
      <c r="DA192" s="382"/>
      <c r="DB192" s="382"/>
      <c r="DC192" s="382"/>
      <c r="DD192" s="382"/>
      <c r="DE192" s="382"/>
      <c r="DF192" s="382"/>
      <c r="DG192" s="382"/>
      <c r="DH192" s="382"/>
      <c r="DI192" s="382"/>
      <c r="DJ192" s="382"/>
      <c r="DK192" s="382"/>
      <c r="DL192" s="382"/>
      <c r="DM192" s="382"/>
      <c r="DN192" s="382"/>
      <c r="DO192" s="382"/>
      <c r="DP192" s="208"/>
      <c r="DQ192" s="208"/>
      <c r="DR192" s="208"/>
      <c r="DS192" s="208"/>
      <c r="DT192" s="208"/>
      <c r="DU192" s="208"/>
      <c r="DV192" s="208"/>
      <c r="DW192" s="208"/>
      <c r="DX192" s="208"/>
      <c r="DY192" s="208"/>
      <c r="DZ192" s="227"/>
      <c r="EA192" s="186"/>
      <c r="EB192" s="186"/>
    </row>
    <row r="193" spans="2:132" s="176" customFormat="1" ht="14.25" hidden="1" customHeight="1" x14ac:dyDescent="0.2">
      <c r="B193" s="760">
        <f ca="1">B142+INT(C192/12)</f>
        <v>2023</v>
      </c>
      <c r="C193" s="760">
        <v>51</v>
      </c>
      <c r="D193" s="777">
        <f t="shared" si="37"/>
        <v>0</v>
      </c>
      <c r="E193" s="771">
        <f t="shared" si="36"/>
        <v>0</v>
      </c>
      <c r="F193" s="778">
        <f t="shared" si="38"/>
        <v>0</v>
      </c>
      <c r="G193" s="778">
        <f t="shared" si="39"/>
        <v>0</v>
      </c>
      <c r="H193" s="779">
        <f t="shared" si="40"/>
        <v>0</v>
      </c>
      <c r="I193" s="780">
        <f t="shared" si="41"/>
        <v>0</v>
      </c>
      <c r="J193" s="778">
        <f>IF(AND(L193&gt;0,L192=0),K133,0)</f>
        <v>0</v>
      </c>
      <c r="K193" s="779">
        <f t="shared" si="42"/>
        <v>0</v>
      </c>
      <c r="L193" s="780">
        <f t="shared" si="43"/>
        <v>0</v>
      </c>
      <c r="M193" s="778">
        <f>IF(AND(O193&gt;0,O192=0),N133,0)</f>
        <v>0</v>
      </c>
      <c r="N193" s="779">
        <f t="shared" si="44"/>
        <v>0</v>
      </c>
      <c r="O193" s="780">
        <f t="shared" si="45"/>
        <v>0</v>
      </c>
      <c r="P193" s="778">
        <f>IF(AND(S193&gt;0,S192=0),Q133,0)</f>
        <v>0</v>
      </c>
      <c r="Q193" s="781">
        <f t="shared" si="46"/>
        <v>0</v>
      </c>
      <c r="S193" s="782">
        <f t="shared" si="47"/>
        <v>0</v>
      </c>
      <c r="T193" s="778">
        <f>IF(AND(V193&gt;0,V192=0),U133,0)</f>
        <v>0</v>
      </c>
      <c r="U193" s="779">
        <f t="shared" si="48"/>
        <v>0</v>
      </c>
      <c r="V193" s="780">
        <f t="shared" si="49"/>
        <v>0</v>
      </c>
      <c r="W193" s="778">
        <f>IF(AND(Y193&gt;0,Y192=0),X133,0)</f>
        <v>0</v>
      </c>
      <c r="X193" s="779">
        <f t="shared" si="50"/>
        <v>0</v>
      </c>
      <c r="Y193" s="780">
        <f t="shared" si="51"/>
        <v>0</v>
      </c>
      <c r="Z193" s="778">
        <f>IF(AND(AB193&gt;0,AB192=0),AA133,0)</f>
        <v>0</v>
      </c>
      <c r="AA193" s="779">
        <f t="shared" si="52"/>
        <v>0</v>
      </c>
      <c r="AB193" s="780">
        <f t="shared" si="53"/>
        <v>0</v>
      </c>
      <c r="AC193" s="778">
        <f>IF(AND(AE193&gt;0,AE192=0),AD133,0)</f>
        <v>0</v>
      </c>
      <c r="AD193" s="779">
        <f t="shared" si="54"/>
        <v>0</v>
      </c>
      <c r="AE193" s="780">
        <f t="shared" si="55"/>
        <v>0</v>
      </c>
      <c r="AF193" s="778">
        <f>IF(AND(AH193&gt;0,AH192=0),AG133,0)</f>
        <v>0</v>
      </c>
      <c r="AG193" s="779">
        <f t="shared" si="56"/>
        <v>0</v>
      </c>
      <c r="AH193" s="780">
        <f t="shared" si="57"/>
        <v>0</v>
      </c>
      <c r="AI193" s="778">
        <f>IF(AND(AK193&gt;0,AK192=0),AJ133,0)</f>
        <v>0</v>
      </c>
      <c r="AJ193" s="779">
        <f t="shared" si="58"/>
        <v>0</v>
      </c>
      <c r="AK193" s="780">
        <f t="shared" si="59"/>
        <v>0</v>
      </c>
      <c r="AL193" s="778">
        <f t="shared" ca="1" si="60"/>
        <v>0</v>
      </c>
      <c r="AM193" s="783"/>
      <c r="AN193" s="780"/>
      <c r="AO193" s="778">
        <f t="shared" ca="1" si="61"/>
        <v>0</v>
      </c>
      <c r="AP193" s="783"/>
      <c r="AQ193" s="780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7"/>
      <c r="BV193" s="208"/>
      <c r="BW193" s="208"/>
      <c r="BX193" s="208"/>
      <c r="BY193" s="208"/>
      <c r="BZ193" s="382"/>
      <c r="CA193" s="382"/>
      <c r="CB193" s="382"/>
      <c r="CC193" s="382"/>
      <c r="CD193" s="382"/>
      <c r="CE193" s="382"/>
      <c r="CF193" s="382"/>
      <c r="CG193" s="382"/>
      <c r="CH193" s="382"/>
      <c r="CI193" s="382"/>
      <c r="CJ193" s="382"/>
      <c r="CK193" s="382"/>
      <c r="CL193" s="382"/>
      <c r="CM193" s="382"/>
      <c r="CN193" s="382"/>
      <c r="CO193" s="382"/>
      <c r="CP193" s="382"/>
      <c r="CQ193" s="382"/>
      <c r="CR193" s="382"/>
      <c r="CS193" s="382"/>
      <c r="CT193" s="382"/>
      <c r="CU193" s="382"/>
      <c r="CV193" s="382"/>
      <c r="CW193" s="769">
        <v>51</v>
      </c>
      <c r="CX193" s="382"/>
      <c r="CY193" s="382"/>
      <c r="CZ193" s="382"/>
      <c r="DA193" s="382"/>
      <c r="DB193" s="382"/>
      <c r="DC193" s="382"/>
      <c r="DD193" s="382"/>
      <c r="DE193" s="382"/>
      <c r="DF193" s="382"/>
      <c r="DG193" s="382"/>
      <c r="DH193" s="382"/>
      <c r="DI193" s="382"/>
      <c r="DJ193" s="382"/>
      <c r="DK193" s="382"/>
      <c r="DL193" s="382"/>
      <c r="DM193" s="382"/>
      <c r="DN193" s="382"/>
      <c r="DO193" s="382"/>
      <c r="DP193" s="208"/>
      <c r="DQ193" s="208"/>
      <c r="DR193" s="208"/>
      <c r="DS193" s="208"/>
      <c r="DT193" s="208"/>
      <c r="DU193" s="208"/>
      <c r="DV193" s="208"/>
      <c r="DW193" s="208"/>
      <c r="DX193" s="208"/>
      <c r="DY193" s="208"/>
      <c r="DZ193" s="227"/>
      <c r="EA193" s="186"/>
      <c r="EB193" s="186"/>
    </row>
    <row r="194" spans="2:132" s="176" customFormat="1" ht="14.25" hidden="1" customHeight="1" x14ac:dyDescent="0.2">
      <c r="B194" s="760">
        <f ca="1">B142+INT(C193/12)</f>
        <v>2023</v>
      </c>
      <c r="C194" s="760">
        <v>52</v>
      </c>
      <c r="D194" s="777">
        <f t="shared" si="37"/>
        <v>0</v>
      </c>
      <c r="E194" s="771">
        <f t="shared" si="36"/>
        <v>0</v>
      </c>
      <c r="F194" s="778">
        <f t="shared" si="38"/>
        <v>0</v>
      </c>
      <c r="G194" s="778">
        <f t="shared" si="39"/>
        <v>0</v>
      </c>
      <c r="H194" s="779">
        <f t="shared" si="40"/>
        <v>0</v>
      </c>
      <c r="I194" s="780">
        <f t="shared" si="41"/>
        <v>0</v>
      </c>
      <c r="J194" s="778">
        <f>IF(AND(L194&gt;0,L193=0),K133,0)</f>
        <v>0</v>
      </c>
      <c r="K194" s="779">
        <f t="shared" si="42"/>
        <v>0</v>
      </c>
      <c r="L194" s="780">
        <f t="shared" si="43"/>
        <v>0</v>
      </c>
      <c r="M194" s="778">
        <f>IF(AND(O194&gt;0,O193=0),N133,0)</f>
        <v>0</v>
      </c>
      <c r="N194" s="779">
        <f t="shared" si="44"/>
        <v>0</v>
      </c>
      <c r="O194" s="780">
        <f t="shared" si="45"/>
        <v>0</v>
      </c>
      <c r="P194" s="778">
        <f>IF(AND(S194&gt;0,S193=0),Q133,0)</f>
        <v>0</v>
      </c>
      <c r="Q194" s="781">
        <f t="shared" si="46"/>
        <v>0</v>
      </c>
      <c r="S194" s="782">
        <f t="shared" si="47"/>
        <v>0</v>
      </c>
      <c r="T194" s="778">
        <f>IF(AND(V194&gt;0,V193=0),U133,0)</f>
        <v>0</v>
      </c>
      <c r="U194" s="779">
        <f t="shared" si="48"/>
        <v>0</v>
      </c>
      <c r="V194" s="780">
        <f t="shared" si="49"/>
        <v>0</v>
      </c>
      <c r="W194" s="778">
        <f>IF(AND(Y194&gt;0,Y193=0),X133,0)</f>
        <v>0</v>
      </c>
      <c r="X194" s="779">
        <f t="shared" si="50"/>
        <v>0</v>
      </c>
      <c r="Y194" s="780">
        <f t="shared" si="51"/>
        <v>0</v>
      </c>
      <c r="Z194" s="778">
        <f>IF(AND(AB194&gt;0,AB193=0),AA133,0)</f>
        <v>0</v>
      </c>
      <c r="AA194" s="779">
        <f t="shared" si="52"/>
        <v>0</v>
      </c>
      <c r="AB194" s="780">
        <f t="shared" si="53"/>
        <v>0</v>
      </c>
      <c r="AC194" s="778">
        <f>IF(AND(AE194&gt;0,AE193=0),AD133,0)</f>
        <v>0</v>
      </c>
      <c r="AD194" s="779">
        <f t="shared" si="54"/>
        <v>0</v>
      </c>
      <c r="AE194" s="780">
        <f t="shared" si="55"/>
        <v>0</v>
      </c>
      <c r="AF194" s="778">
        <f>IF(AND(AH194&gt;0,AH193=0),AG133,0)</f>
        <v>0</v>
      </c>
      <c r="AG194" s="779">
        <f t="shared" si="56"/>
        <v>0</v>
      </c>
      <c r="AH194" s="780">
        <f t="shared" si="57"/>
        <v>0</v>
      </c>
      <c r="AI194" s="778">
        <f>IF(AND(AK194&gt;0,AK193=0),AJ133,0)</f>
        <v>0</v>
      </c>
      <c r="AJ194" s="779">
        <f t="shared" si="58"/>
        <v>0</v>
      </c>
      <c r="AK194" s="780">
        <f t="shared" si="59"/>
        <v>0</v>
      </c>
      <c r="AL194" s="778">
        <f t="shared" ca="1" si="60"/>
        <v>0</v>
      </c>
      <c r="AM194" s="783"/>
      <c r="AN194" s="780"/>
      <c r="AO194" s="778">
        <f t="shared" ca="1" si="61"/>
        <v>0</v>
      </c>
      <c r="AP194" s="783"/>
      <c r="AQ194" s="780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7"/>
      <c r="BV194" s="208"/>
      <c r="BW194" s="208"/>
      <c r="BX194" s="208"/>
      <c r="BY194" s="208"/>
      <c r="BZ194" s="382"/>
      <c r="CA194" s="382"/>
      <c r="CB194" s="382"/>
      <c r="CC194" s="382"/>
      <c r="CD194" s="382"/>
      <c r="CE194" s="382"/>
      <c r="CF194" s="382"/>
      <c r="CG194" s="382"/>
      <c r="CH194" s="382"/>
      <c r="CI194" s="382"/>
      <c r="CJ194" s="382"/>
      <c r="CK194" s="382"/>
      <c r="CL194" s="382"/>
      <c r="CM194" s="382"/>
      <c r="CN194" s="382"/>
      <c r="CO194" s="382"/>
      <c r="CP194" s="382"/>
      <c r="CQ194" s="382"/>
      <c r="CR194" s="382"/>
      <c r="CS194" s="382"/>
      <c r="CT194" s="382"/>
      <c r="CU194" s="382"/>
      <c r="CV194" s="382"/>
      <c r="CW194" s="769">
        <v>52</v>
      </c>
      <c r="CX194" s="382"/>
      <c r="CY194" s="382"/>
      <c r="CZ194" s="382"/>
      <c r="DA194" s="382"/>
      <c r="DB194" s="382"/>
      <c r="DC194" s="382"/>
      <c r="DD194" s="382"/>
      <c r="DE194" s="382"/>
      <c r="DF194" s="382"/>
      <c r="DG194" s="382"/>
      <c r="DH194" s="382"/>
      <c r="DI194" s="382"/>
      <c r="DJ194" s="382"/>
      <c r="DK194" s="382"/>
      <c r="DL194" s="382"/>
      <c r="DM194" s="382"/>
      <c r="DN194" s="382"/>
      <c r="DO194" s="382"/>
      <c r="DP194" s="208"/>
      <c r="DQ194" s="208"/>
      <c r="DR194" s="208"/>
      <c r="DS194" s="208"/>
      <c r="DT194" s="208"/>
      <c r="DU194" s="208"/>
      <c r="DV194" s="208"/>
      <c r="DW194" s="208"/>
      <c r="DX194" s="208"/>
      <c r="DY194" s="208"/>
      <c r="DZ194" s="227"/>
      <c r="EA194" s="186"/>
      <c r="EB194" s="186"/>
    </row>
    <row r="195" spans="2:132" s="176" customFormat="1" ht="14.25" hidden="1" customHeight="1" x14ac:dyDescent="0.2">
      <c r="B195" s="760">
        <f ca="1">B142+INT(C194/12)</f>
        <v>2023</v>
      </c>
      <c r="C195" s="760">
        <v>53</v>
      </c>
      <c r="D195" s="777">
        <f t="shared" si="37"/>
        <v>0</v>
      </c>
      <c r="E195" s="771">
        <f t="shared" si="36"/>
        <v>0</v>
      </c>
      <c r="F195" s="778">
        <f t="shared" si="38"/>
        <v>0</v>
      </c>
      <c r="G195" s="778">
        <f t="shared" si="39"/>
        <v>0</v>
      </c>
      <c r="H195" s="779">
        <f t="shared" si="40"/>
        <v>0</v>
      </c>
      <c r="I195" s="780">
        <f t="shared" si="41"/>
        <v>0</v>
      </c>
      <c r="J195" s="778">
        <f>IF(AND(L195&gt;0,L194=0),K133,0)</f>
        <v>0</v>
      </c>
      <c r="K195" s="779">
        <f t="shared" si="42"/>
        <v>0</v>
      </c>
      <c r="L195" s="780">
        <f t="shared" si="43"/>
        <v>0</v>
      </c>
      <c r="M195" s="778">
        <f>IF(AND(O195&gt;0,O194=0),N133,0)</f>
        <v>0</v>
      </c>
      <c r="N195" s="779">
        <f t="shared" si="44"/>
        <v>0</v>
      </c>
      <c r="O195" s="780">
        <f t="shared" si="45"/>
        <v>0</v>
      </c>
      <c r="P195" s="778">
        <f>IF(AND(S195&gt;0,S194=0),Q133,0)</f>
        <v>0</v>
      </c>
      <c r="Q195" s="781">
        <f t="shared" si="46"/>
        <v>0</v>
      </c>
      <c r="S195" s="782">
        <f t="shared" si="47"/>
        <v>0</v>
      </c>
      <c r="T195" s="778">
        <f>IF(AND(V195&gt;0,V194=0),U133,0)</f>
        <v>0</v>
      </c>
      <c r="U195" s="779">
        <f t="shared" si="48"/>
        <v>0</v>
      </c>
      <c r="V195" s="780">
        <f t="shared" si="49"/>
        <v>0</v>
      </c>
      <c r="W195" s="778">
        <f>IF(AND(Y195&gt;0,Y194=0),X133,0)</f>
        <v>0</v>
      </c>
      <c r="X195" s="779">
        <f t="shared" si="50"/>
        <v>0</v>
      </c>
      <c r="Y195" s="780">
        <f t="shared" si="51"/>
        <v>0</v>
      </c>
      <c r="Z195" s="778">
        <f>IF(AND(AB195&gt;0,AB194=0),AA133,0)</f>
        <v>0</v>
      </c>
      <c r="AA195" s="779">
        <f t="shared" si="52"/>
        <v>0</v>
      </c>
      <c r="AB195" s="780">
        <f t="shared" si="53"/>
        <v>0</v>
      </c>
      <c r="AC195" s="778">
        <f>IF(AND(AE195&gt;0,AE194=0),AD133,0)</f>
        <v>0</v>
      </c>
      <c r="AD195" s="779">
        <f t="shared" si="54"/>
        <v>0</v>
      </c>
      <c r="AE195" s="780">
        <f t="shared" si="55"/>
        <v>0</v>
      </c>
      <c r="AF195" s="778">
        <f>IF(AND(AH195&gt;0,AH194=0),AG133,0)</f>
        <v>0</v>
      </c>
      <c r="AG195" s="779">
        <f t="shared" si="56"/>
        <v>0</v>
      </c>
      <c r="AH195" s="780">
        <f t="shared" si="57"/>
        <v>0</v>
      </c>
      <c r="AI195" s="778">
        <f>IF(AND(AK195&gt;0,AK194=0),AJ133,0)</f>
        <v>0</v>
      </c>
      <c r="AJ195" s="779">
        <f t="shared" si="58"/>
        <v>0</v>
      </c>
      <c r="AK195" s="780">
        <f t="shared" si="59"/>
        <v>0</v>
      </c>
      <c r="AL195" s="778">
        <f t="shared" ca="1" si="60"/>
        <v>0</v>
      </c>
      <c r="AM195" s="783"/>
      <c r="AN195" s="780"/>
      <c r="AO195" s="778">
        <f t="shared" ca="1" si="61"/>
        <v>0</v>
      </c>
      <c r="AP195" s="783"/>
      <c r="AQ195" s="780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7"/>
      <c r="BV195" s="208"/>
      <c r="BW195" s="208"/>
      <c r="BX195" s="208"/>
      <c r="BY195" s="208"/>
      <c r="BZ195" s="382"/>
      <c r="CA195" s="382"/>
      <c r="CB195" s="382"/>
      <c r="CC195" s="382"/>
      <c r="CD195" s="382"/>
      <c r="CE195" s="382"/>
      <c r="CF195" s="382"/>
      <c r="CG195" s="382"/>
      <c r="CH195" s="382"/>
      <c r="CI195" s="382"/>
      <c r="CJ195" s="382"/>
      <c r="CK195" s="382"/>
      <c r="CL195" s="382"/>
      <c r="CM195" s="382"/>
      <c r="CN195" s="382"/>
      <c r="CO195" s="382"/>
      <c r="CP195" s="382"/>
      <c r="CQ195" s="382"/>
      <c r="CR195" s="382"/>
      <c r="CS195" s="382"/>
      <c r="CT195" s="382"/>
      <c r="CU195" s="382"/>
      <c r="CV195" s="382"/>
      <c r="CW195" s="769">
        <v>53</v>
      </c>
      <c r="CX195" s="382"/>
      <c r="CY195" s="382"/>
      <c r="CZ195" s="382"/>
      <c r="DA195" s="382"/>
      <c r="DB195" s="382"/>
      <c r="DC195" s="382"/>
      <c r="DD195" s="382"/>
      <c r="DE195" s="382"/>
      <c r="DF195" s="382"/>
      <c r="DG195" s="382"/>
      <c r="DH195" s="382"/>
      <c r="DI195" s="382"/>
      <c r="DJ195" s="382"/>
      <c r="DK195" s="382"/>
      <c r="DL195" s="382"/>
      <c r="DM195" s="382"/>
      <c r="DN195" s="382"/>
      <c r="DO195" s="382"/>
      <c r="DP195" s="208"/>
      <c r="DQ195" s="208"/>
      <c r="DR195" s="208"/>
      <c r="DS195" s="208"/>
      <c r="DT195" s="208"/>
      <c r="DU195" s="208"/>
      <c r="DV195" s="208"/>
      <c r="DW195" s="208"/>
      <c r="DX195" s="208"/>
      <c r="DY195" s="208"/>
      <c r="DZ195" s="227"/>
      <c r="EA195" s="186"/>
      <c r="EB195" s="186"/>
    </row>
    <row r="196" spans="2:132" s="176" customFormat="1" ht="14.25" hidden="1" customHeight="1" x14ac:dyDescent="0.2">
      <c r="B196" s="760">
        <f ca="1">B142+INT(C195/12)</f>
        <v>2023</v>
      </c>
      <c r="C196" s="760">
        <v>54</v>
      </c>
      <c r="D196" s="777">
        <f t="shared" si="37"/>
        <v>0</v>
      </c>
      <c r="E196" s="771">
        <f t="shared" si="36"/>
        <v>0</v>
      </c>
      <c r="F196" s="778">
        <f t="shared" si="38"/>
        <v>0</v>
      </c>
      <c r="G196" s="778">
        <f t="shared" si="39"/>
        <v>0</v>
      </c>
      <c r="H196" s="779">
        <f t="shared" si="40"/>
        <v>0</v>
      </c>
      <c r="I196" s="780">
        <f t="shared" si="41"/>
        <v>0</v>
      </c>
      <c r="J196" s="778">
        <f>IF(AND(L196&gt;0,L195=0),K133,0)</f>
        <v>0</v>
      </c>
      <c r="K196" s="779">
        <f t="shared" si="42"/>
        <v>0</v>
      </c>
      <c r="L196" s="780">
        <f t="shared" si="43"/>
        <v>0</v>
      </c>
      <c r="M196" s="778">
        <f>IF(AND(O196&gt;0,O195=0),N133,0)</f>
        <v>0</v>
      </c>
      <c r="N196" s="779">
        <f t="shared" si="44"/>
        <v>0</v>
      </c>
      <c r="O196" s="780">
        <f t="shared" si="45"/>
        <v>0</v>
      </c>
      <c r="P196" s="778">
        <f>IF(AND(S196&gt;0,S195=0),Q133,0)</f>
        <v>0</v>
      </c>
      <c r="Q196" s="781">
        <f t="shared" si="46"/>
        <v>0</v>
      </c>
      <c r="S196" s="782">
        <f t="shared" si="47"/>
        <v>0</v>
      </c>
      <c r="T196" s="778">
        <f>IF(AND(V196&gt;0,V195=0),U133,0)</f>
        <v>0</v>
      </c>
      <c r="U196" s="779">
        <f t="shared" si="48"/>
        <v>0</v>
      </c>
      <c r="V196" s="780">
        <f t="shared" si="49"/>
        <v>0</v>
      </c>
      <c r="W196" s="778">
        <f>IF(AND(Y196&gt;0,Y195=0),X133,0)</f>
        <v>0</v>
      </c>
      <c r="X196" s="779">
        <f t="shared" si="50"/>
        <v>0</v>
      </c>
      <c r="Y196" s="780">
        <f t="shared" si="51"/>
        <v>0</v>
      </c>
      <c r="Z196" s="778">
        <f>IF(AND(AB196&gt;0,AB195=0),AA133,0)</f>
        <v>0</v>
      </c>
      <c r="AA196" s="779">
        <f t="shared" si="52"/>
        <v>0</v>
      </c>
      <c r="AB196" s="780">
        <f t="shared" si="53"/>
        <v>0</v>
      </c>
      <c r="AC196" s="778">
        <f>IF(AND(AE196&gt;0,AE195=0),AD133,0)</f>
        <v>0</v>
      </c>
      <c r="AD196" s="779">
        <f t="shared" si="54"/>
        <v>0</v>
      </c>
      <c r="AE196" s="780">
        <f t="shared" si="55"/>
        <v>0</v>
      </c>
      <c r="AF196" s="778">
        <f>IF(AND(AH196&gt;0,AH195=0),AG133,0)</f>
        <v>0</v>
      </c>
      <c r="AG196" s="779">
        <f t="shared" si="56"/>
        <v>0</v>
      </c>
      <c r="AH196" s="780">
        <f t="shared" si="57"/>
        <v>0</v>
      </c>
      <c r="AI196" s="778">
        <f>IF(AND(AK196&gt;0,AK195=0),AJ133,0)</f>
        <v>0</v>
      </c>
      <c r="AJ196" s="779">
        <f t="shared" si="58"/>
        <v>0</v>
      </c>
      <c r="AK196" s="780">
        <f t="shared" si="59"/>
        <v>0</v>
      </c>
      <c r="AL196" s="778">
        <f t="shared" ca="1" si="60"/>
        <v>0</v>
      </c>
      <c r="AM196" s="783"/>
      <c r="AN196" s="780"/>
      <c r="AO196" s="778">
        <f t="shared" ca="1" si="61"/>
        <v>0</v>
      </c>
      <c r="AP196" s="783"/>
      <c r="AQ196" s="780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7"/>
      <c r="BV196" s="208"/>
      <c r="BW196" s="208"/>
      <c r="BX196" s="208"/>
      <c r="BY196" s="208"/>
      <c r="BZ196" s="382"/>
      <c r="CA196" s="382"/>
      <c r="CB196" s="382"/>
      <c r="CC196" s="382"/>
      <c r="CD196" s="382"/>
      <c r="CE196" s="382"/>
      <c r="CF196" s="382"/>
      <c r="CG196" s="382"/>
      <c r="CH196" s="382"/>
      <c r="CI196" s="382"/>
      <c r="CJ196" s="382"/>
      <c r="CK196" s="382"/>
      <c r="CL196" s="382"/>
      <c r="CM196" s="382"/>
      <c r="CN196" s="382"/>
      <c r="CO196" s="382"/>
      <c r="CP196" s="382"/>
      <c r="CQ196" s="382"/>
      <c r="CR196" s="382"/>
      <c r="CS196" s="382"/>
      <c r="CT196" s="382"/>
      <c r="CU196" s="382"/>
      <c r="CV196" s="382"/>
      <c r="CW196" s="769">
        <v>54</v>
      </c>
      <c r="CX196" s="382"/>
      <c r="CY196" s="382"/>
      <c r="CZ196" s="382"/>
      <c r="DA196" s="382"/>
      <c r="DB196" s="382"/>
      <c r="DC196" s="382"/>
      <c r="DD196" s="382"/>
      <c r="DE196" s="382"/>
      <c r="DF196" s="382"/>
      <c r="DG196" s="382"/>
      <c r="DH196" s="382"/>
      <c r="DI196" s="382"/>
      <c r="DJ196" s="382"/>
      <c r="DK196" s="382"/>
      <c r="DL196" s="382"/>
      <c r="DM196" s="382"/>
      <c r="DN196" s="382"/>
      <c r="DO196" s="382"/>
      <c r="DP196" s="208"/>
      <c r="DQ196" s="208"/>
      <c r="DR196" s="208"/>
      <c r="DS196" s="208"/>
      <c r="DT196" s="208"/>
      <c r="DU196" s="208"/>
      <c r="DV196" s="208"/>
      <c r="DW196" s="208"/>
      <c r="DX196" s="208"/>
      <c r="DY196" s="208"/>
      <c r="DZ196" s="227"/>
      <c r="EA196" s="186"/>
      <c r="EB196" s="186"/>
    </row>
    <row r="197" spans="2:132" s="176" customFormat="1" ht="14.25" hidden="1" customHeight="1" x14ac:dyDescent="0.2">
      <c r="B197" s="760">
        <f ca="1">B142+INT(C196/12)</f>
        <v>2023</v>
      </c>
      <c r="C197" s="760">
        <v>55</v>
      </c>
      <c r="D197" s="777">
        <f t="shared" si="37"/>
        <v>0</v>
      </c>
      <c r="E197" s="771">
        <f t="shared" si="36"/>
        <v>0</v>
      </c>
      <c r="F197" s="778">
        <f t="shared" si="38"/>
        <v>0</v>
      </c>
      <c r="G197" s="778">
        <f t="shared" si="39"/>
        <v>0</v>
      </c>
      <c r="H197" s="779">
        <f t="shared" si="40"/>
        <v>0</v>
      </c>
      <c r="I197" s="780">
        <f t="shared" si="41"/>
        <v>0</v>
      </c>
      <c r="J197" s="778">
        <f>IF(AND(L197&gt;0,L196=0),K133,0)</f>
        <v>0</v>
      </c>
      <c r="K197" s="779">
        <f t="shared" si="42"/>
        <v>0</v>
      </c>
      <c r="L197" s="780">
        <f t="shared" si="43"/>
        <v>0</v>
      </c>
      <c r="M197" s="778">
        <f>IF(AND(O197&gt;0,O196=0),N133,0)</f>
        <v>0</v>
      </c>
      <c r="N197" s="779">
        <f t="shared" si="44"/>
        <v>0</v>
      </c>
      <c r="O197" s="780">
        <f t="shared" si="45"/>
        <v>0</v>
      </c>
      <c r="P197" s="778">
        <f>IF(AND(S197&gt;0,S196=0),Q133,0)</f>
        <v>0</v>
      </c>
      <c r="Q197" s="781">
        <f t="shared" si="46"/>
        <v>0</v>
      </c>
      <c r="S197" s="782">
        <f t="shared" si="47"/>
        <v>0</v>
      </c>
      <c r="T197" s="778">
        <f>IF(AND(V197&gt;0,V196=0),U133,0)</f>
        <v>0</v>
      </c>
      <c r="U197" s="779">
        <f t="shared" si="48"/>
        <v>0</v>
      </c>
      <c r="V197" s="780">
        <f t="shared" si="49"/>
        <v>0</v>
      </c>
      <c r="W197" s="778">
        <f>IF(AND(Y197&gt;0,Y196=0),X133,0)</f>
        <v>0</v>
      </c>
      <c r="X197" s="779">
        <f t="shared" si="50"/>
        <v>0</v>
      </c>
      <c r="Y197" s="780">
        <f t="shared" si="51"/>
        <v>0</v>
      </c>
      <c r="Z197" s="778">
        <f>IF(AND(AB197&gt;0,AB196=0),AA133,0)</f>
        <v>0</v>
      </c>
      <c r="AA197" s="779">
        <f t="shared" si="52"/>
        <v>0</v>
      </c>
      <c r="AB197" s="780">
        <f t="shared" si="53"/>
        <v>0</v>
      </c>
      <c r="AC197" s="778">
        <f>IF(AND(AE197&gt;0,AE196=0),AD133,0)</f>
        <v>0</v>
      </c>
      <c r="AD197" s="779">
        <f t="shared" si="54"/>
        <v>0</v>
      </c>
      <c r="AE197" s="780">
        <f t="shared" si="55"/>
        <v>0</v>
      </c>
      <c r="AF197" s="778">
        <f>IF(AND(AH197&gt;0,AH196=0),AG133,0)</f>
        <v>0</v>
      </c>
      <c r="AG197" s="779">
        <f t="shared" si="56"/>
        <v>0</v>
      </c>
      <c r="AH197" s="780">
        <f t="shared" si="57"/>
        <v>0</v>
      </c>
      <c r="AI197" s="778">
        <f>IF(AND(AK197&gt;0,AK196=0),AJ133,0)</f>
        <v>0</v>
      </c>
      <c r="AJ197" s="779">
        <f t="shared" si="58"/>
        <v>0</v>
      </c>
      <c r="AK197" s="780">
        <f t="shared" si="59"/>
        <v>0</v>
      </c>
      <c r="AL197" s="778">
        <f t="shared" ca="1" si="60"/>
        <v>0</v>
      </c>
      <c r="AM197" s="783"/>
      <c r="AN197" s="780"/>
      <c r="AO197" s="778">
        <f t="shared" ca="1" si="61"/>
        <v>0</v>
      </c>
      <c r="AP197" s="783"/>
      <c r="AQ197" s="780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7"/>
      <c r="BV197" s="208"/>
      <c r="BW197" s="208"/>
      <c r="BX197" s="208"/>
      <c r="BY197" s="208"/>
      <c r="BZ197" s="382"/>
      <c r="CA197" s="382"/>
      <c r="CB197" s="382"/>
      <c r="CC197" s="382"/>
      <c r="CD197" s="382"/>
      <c r="CE197" s="382"/>
      <c r="CF197" s="382"/>
      <c r="CG197" s="382"/>
      <c r="CH197" s="382"/>
      <c r="CI197" s="382"/>
      <c r="CJ197" s="382"/>
      <c r="CK197" s="382"/>
      <c r="CL197" s="382"/>
      <c r="CM197" s="382"/>
      <c r="CN197" s="382"/>
      <c r="CO197" s="382"/>
      <c r="CP197" s="382"/>
      <c r="CQ197" s="382"/>
      <c r="CR197" s="382"/>
      <c r="CS197" s="382"/>
      <c r="CT197" s="382"/>
      <c r="CU197" s="382"/>
      <c r="CV197" s="382"/>
      <c r="CW197" s="769">
        <v>55</v>
      </c>
      <c r="CX197" s="382"/>
      <c r="CY197" s="382"/>
      <c r="CZ197" s="382"/>
      <c r="DA197" s="382"/>
      <c r="DB197" s="382"/>
      <c r="DC197" s="382"/>
      <c r="DD197" s="382"/>
      <c r="DE197" s="382"/>
      <c r="DF197" s="382"/>
      <c r="DG197" s="382"/>
      <c r="DH197" s="382"/>
      <c r="DI197" s="382"/>
      <c r="DJ197" s="382"/>
      <c r="DK197" s="382"/>
      <c r="DL197" s="382"/>
      <c r="DM197" s="382"/>
      <c r="DN197" s="382"/>
      <c r="DO197" s="382"/>
      <c r="DP197" s="208"/>
      <c r="DQ197" s="208"/>
      <c r="DR197" s="208"/>
      <c r="DS197" s="208"/>
      <c r="DT197" s="208"/>
      <c r="DU197" s="208"/>
      <c r="DV197" s="208"/>
      <c r="DW197" s="208"/>
      <c r="DX197" s="208"/>
      <c r="DY197" s="208"/>
      <c r="DZ197" s="227"/>
      <c r="EA197" s="186"/>
      <c r="EB197" s="186"/>
    </row>
    <row r="198" spans="2:132" s="176" customFormat="1" ht="14.25" hidden="1" customHeight="1" x14ac:dyDescent="0.2">
      <c r="B198" s="760">
        <f ca="1">B142+INT(C197/12)</f>
        <v>2023</v>
      </c>
      <c r="C198" s="760">
        <v>56</v>
      </c>
      <c r="D198" s="777">
        <f t="shared" si="37"/>
        <v>0</v>
      </c>
      <c r="E198" s="771">
        <f t="shared" si="36"/>
        <v>0</v>
      </c>
      <c r="F198" s="778">
        <f t="shared" si="38"/>
        <v>0</v>
      </c>
      <c r="G198" s="778">
        <f t="shared" si="39"/>
        <v>0</v>
      </c>
      <c r="H198" s="779">
        <f t="shared" si="40"/>
        <v>0</v>
      </c>
      <c r="I198" s="780">
        <f t="shared" si="41"/>
        <v>0</v>
      </c>
      <c r="J198" s="778">
        <f>IF(AND(L198&gt;0,L197=0),K133,0)</f>
        <v>0</v>
      </c>
      <c r="K198" s="779">
        <f t="shared" si="42"/>
        <v>0</v>
      </c>
      <c r="L198" s="780">
        <f t="shared" si="43"/>
        <v>0</v>
      </c>
      <c r="M198" s="778">
        <f>IF(AND(O198&gt;0,O197=0),N133,0)</f>
        <v>0</v>
      </c>
      <c r="N198" s="779">
        <f t="shared" si="44"/>
        <v>0</v>
      </c>
      <c r="O198" s="780">
        <f t="shared" si="45"/>
        <v>0</v>
      </c>
      <c r="P198" s="778">
        <f>IF(AND(S198&gt;0,S197=0),Q133,0)</f>
        <v>0</v>
      </c>
      <c r="Q198" s="781">
        <f t="shared" si="46"/>
        <v>0</v>
      </c>
      <c r="S198" s="782">
        <f t="shared" si="47"/>
        <v>0</v>
      </c>
      <c r="T198" s="778">
        <f>IF(AND(V198&gt;0,V197=0),U133,0)</f>
        <v>0</v>
      </c>
      <c r="U198" s="779">
        <f t="shared" si="48"/>
        <v>0</v>
      </c>
      <c r="V198" s="780">
        <f t="shared" si="49"/>
        <v>0</v>
      </c>
      <c r="W198" s="778">
        <f>IF(AND(Y198&gt;0,Y197=0),X133,0)</f>
        <v>0</v>
      </c>
      <c r="X198" s="779">
        <f t="shared" si="50"/>
        <v>0</v>
      </c>
      <c r="Y198" s="780">
        <f t="shared" si="51"/>
        <v>0</v>
      </c>
      <c r="Z198" s="778">
        <f>IF(AND(AB198&gt;0,AB197=0),AA133,0)</f>
        <v>0</v>
      </c>
      <c r="AA198" s="779">
        <f t="shared" si="52"/>
        <v>0</v>
      </c>
      <c r="AB198" s="780">
        <f t="shared" si="53"/>
        <v>0</v>
      </c>
      <c r="AC198" s="778">
        <f>IF(AND(AE198&gt;0,AE197=0),AD133,0)</f>
        <v>0</v>
      </c>
      <c r="AD198" s="779">
        <f t="shared" si="54"/>
        <v>0</v>
      </c>
      <c r="AE198" s="780">
        <f t="shared" si="55"/>
        <v>0</v>
      </c>
      <c r="AF198" s="778">
        <f>IF(AND(AH198&gt;0,AH197=0),AG133,0)</f>
        <v>0</v>
      </c>
      <c r="AG198" s="779">
        <f t="shared" si="56"/>
        <v>0</v>
      </c>
      <c r="AH198" s="780">
        <f t="shared" si="57"/>
        <v>0</v>
      </c>
      <c r="AI198" s="778">
        <f>IF(AND(AK198&gt;0,AK197=0),AJ133,0)</f>
        <v>0</v>
      </c>
      <c r="AJ198" s="779">
        <f t="shared" si="58"/>
        <v>0</v>
      </c>
      <c r="AK198" s="780">
        <f t="shared" si="59"/>
        <v>0</v>
      </c>
      <c r="AL198" s="778">
        <f t="shared" ca="1" si="60"/>
        <v>0</v>
      </c>
      <c r="AM198" s="783"/>
      <c r="AN198" s="780"/>
      <c r="AO198" s="778">
        <f t="shared" ca="1" si="61"/>
        <v>0</v>
      </c>
      <c r="AP198" s="783"/>
      <c r="AQ198" s="780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7"/>
      <c r="BV198" s="208"/>
      <c r="BW198" s="208"/>
      <c r="BX198" s="208"/>
      <c r="BY198" s="208"/>
      <c r="BZ198" s="382"/>
      <c r="CA198" s="382"/>
      <c r="CB198" s="382"/>
      <c r="CC198" s="382"/>
      <c r="CD198" s="382"/>
      <c r="CE198" s="382"/>
      <c r="CF198" s="382"/>
      <c r="CG198" s="382"/>
      <c r="CH198" s="382"/>
      <c r="CI198" s="382"/>
      <c r="CJ198" s="382"/>
      <c r="CK198" s="382"/>
      <c r="CL198" s="382"/>
      <c r="CM198" s="382"/>
      <c r="CN198" s="382"/>
      <c r="CO198" s="382"/>
      <c r="CP198" s="382"/>
      <c r="CQ198" s="382"/>
      <c r="CR198" s="382"/>
      <c r="CS198" s="382"/>
      <c r="CT198" s="382"/>
      <c r="CU198" s="382"/>
      <c r="CV198" s="382"/>
      <c r="CW198" s="769">
        <v>56</v>
      </c>
      <c r="CX198" s="382"/>
      <c r="CY198" s="382"/>
      <c r="CZ198" s="382"/>
      <c r="DA198" s="382"/>
      <c r="DB198" s="382"/>
      <c r="DC198" s="382"/>
      <c r="DD198" s="382"/>
      <c r="DE198" s="382"/>
      <c r="DF198" s="382"/>
      <c r="DG198" s="382"/>
      <c r="DH198" s="382"/>
      <c r="DI198" s="382"/>
      <c r="DJ198" s="382"/>
      <c r="DK198" s="382"/>
      <c r="DL198" s="382"/>
      <c r="DM198" s="382"/>
      <c r="DN198" s="382"/>
      <c r="DO198" s="382"/>
      <c r="DP198" s="208"/>
      <c r="DQ198" s="208"/>
      <c r="DR198" s="208"/>
      <c r="DS198" s="208"/>
      <c r="DT198" s="208"/>
      <c r="DU198" s="208"/>
      <c r="DV198" s="208"/>
      <c r="DW198" s="208"/>
      <c r="DX198" s="208"/>
      <c r="DY198" s="208"/>
      <c r="DZ198" s="227"/>
      <c r="EA198" s="186"/>
      <c r="EB198" s="186"/>
    </row>
    <row r="199" spans="2:132" s="176" customFormat="1" ht="14.25" hidden="1" customHeight="1" x14ac:dyDescent="0.2">
      <c r="B199" s="760">
        <f ca="1">B142+INT(C198/12)</f>
        <v>2023</v>
      </c>
      <c r="C199" s="760">
        <v>57</v>
      </c>
      <c r="D199" s="777">
        <f t="shared" si="37"/>
        <v>0</v>
      </c>
      <c r="E199" s="771">
        <f t="shared" si="36"/>
        <v>0</v>
      </c>
      <c r="F199" s="778">
        <f t="shared" si="38"/>
        <v>0</v>
      </c>
      <c r="G199" s="778">
        <f t="shared" si="39"/>
        <v>0</v>
      </c>
      <c r="H199" s="779">
        <f t="shared" si="40"/>
        <v>0</v>
      </c>
      <c r="I199" s="780">
        <f t="shared" si="41"/>
        <v>0</v>
      </c>
      <c r="J199" s="778">
        <f>IF(AND(L199&gt;0,L198=0),K133,0)</f>
        <v>0</v>
      </c>
      <c r="K199" s="779">
        <f t="shared" si="42"/>
        <v>0</v>
      </c>
      <c r="L199" s="780">
        <f t="shared" si="43"/>
        <v>0</v>
      </c>
      <c r="M199" s="778">
        <f>IF(AND(O199&gt;0,O198=0),N133,0)</f>
        <v>0</v>
      </c>
      <c r="N199" s="779">
        <f t="shared" si="44"/>
        <v>0</v>
      </c>
      <c r="O199" s="780">
        <f t="shared" si="45"/>
        <v>0</v>
      </c>
      <c r="P199" s="778">
        <f>IF(AND(S199&gt;0,S198=0),Q133,0)</f>
        <v>0</v>
      </c>
      <c r="Q199" s="781">
        <f t="shared" si="46"/>
        <v>0</v>
      </c>
      <c r="S199" s="782">
        <f t="shared" si="47"/>
        <v>0</v>
      </c>
      <c r="T199" s="778">
        <f>IF(AND(V199&gt;0,V198=0),U133,0)</f>
        <v>0</v>
      </c>
      <c r="U199" s="779">
        <f t="shared" si="48"/>
        <v>0</v>
      </c>
      <c r="V199" s="780">
        <f t="shared" si="49"/>
        <v>0</v>
      </c>
      <c r="W199" s="778">
        <f>IF(AND(Y199&gt;0,Y198=0),X133,0)</f>
        <v>0</v>
      </c>
      <c r="X199" s="779">
        <f t="shared" si="50"/>
        <v>0</v>
      </c>
      <c r="Y199" s="780">
        <f t="shared" si="51"/>
        <v>0</v>
      </c>
      <c r="Z199" s="778">
        <f>IF(AND(AB199&gt;0,AB198=0),AA133,0)</f>
        <v>0</v>
      </c>
      <c r="AA199" s="779">
        <f t="shared" si="52"/>
        <v>0</v>
      </c>
      <c r="AB199" s="780">
        <f t="shared" si="53"/>
        <v>0</v>
      </c>
      <c r="AC199" s="778">
        <f>IF(AND(AE199&gt;0,AE198=0),AD133,0)</f>
        <v>0</v>
      </c>
      <c r="AD199" s="779">
        <f t="shared" si="54"/>
        <v>0</v>
      </c>
      <c r="AE199" s="780">
        <f t="shared" si="55"/>
        <v>0</v>
      </c>
      <c r="AF199" s="778">
        <f>IF(AND(AH199&gt;0,AH198=0),AG133,0)</f>
        <v>0</v>
      </c>
      <c r="AG199" s="779">
        <f t="shared" si="56"/>
        <v>0</v>
      </c>
      <c r="AH199" s="780">
        <f t="shared" si="57"/>
        <v>0</v>
      </c>
      <c r="AI199" s="778">
        <f>IF(AND(AK199&gt;0,AK198=0),AJ133,0)</f>
        <v>0</v>
      </c>
      <c r="AJ199" s="779">
        <f t="shared" si="58"/>
        <v>0</v>
      </c>
      <c r="AK199" s="780">
        <f t="shared" si="59"/>
        <v>0</v>
      </c>
      <c r="AL199" s="778">
        <f t="shared" ca="1" si="60"/>
        <v>0</v>
      </c>
      <c r="AM199" s="783"/>
      <c r="AN199" s="780"/>
      <c r="AO199" s="778">
        <f t="shared" ca="1" si="61"/>
        <v>0</v>
      </c>
      <c r="AP199" s="783"/>
      <c r="AQ199" s="780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7"/>
      <c r="BV199" s="208"/>
      <c r="BW199" s="208"/>
      <c r="BX199" s="208"/>
      <c r="BY199" s="208"/>
      <c r="BZ199" s="382"/>
      <c r="CA199" s="382"/>
      <c r="CB199" s="382"/>
      <c r="CC199" s="382"/>
      <c r="CD199" s="382"/>
      <c r="CE199" s="382"/>
      <c r="CF199" s="382"/>
      <c r="CG199" s="382"/>
      <c r="CH199" s="382"/>
      <c r="CI199" s="382"/>
      <c r="CJ199" s="382"/>
      <c r="CK199" s="382"/>
      <c r="CL199" s="382"/>
      <c r="CM199" s="382"/>
      <c r="CN199" s="382"/>
      <c r="CO199" s="382"/>
      <c r="CP199" s="382"/>
      <c r="CQ199" s="382"/>
      <c r="CR199" s="382"/>
      <c r="CS199" s="382"/>
      <c r="CT199" s="382"/>
      <c r="CU199" s="382"/>
      <c r="CV199" s="382"/>
      <c r="CW199" s="769">
        <v>57</v>
      </c>
      <c r="CX199" s="382"/>
      <c r="CY199" s="382"/>
      <c r="CZ199" s="382"/>
      <c r="DA199" s="382"/>
      <c r="DB199" s="382"/>
      <c r="DC199" s="382"/>
      <c r="DD199" s="382"/>
      <c r="DE199" s="382"/>
      <c r="DF199" s="382"/>
      <c r="DG199" s="382"/>
      <c r="DH199" s="382"/>
      <c r="DI199" s="382"/>
      <c r="DJ199" s="382"/>
      <c r="DK199" s="382"/>
      <c r="DL199" s="382"/>
      <c r="DM199" s="382"/>
      <c r="DN199" s="382"/>
      <c r="DO199" s="382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27"/>
      <c r="EA199" s="186"/>
      <c r="EB199" s="186"/>
    </row>
    <row r="200" spans="2:132" s="176" customFormat="1" ht="14.25" hidden="1" customHeight="1" x14ac:dyDescent="0.2">
      <c r="B200" s="760">
        <f ca="1">B142+INT(C199/12)</f>
        <v>2023</v>
      </c>
      <c r="C200" s="760">
        <v>58</v>
      </c>
      <c r="D200" s="777">
        <f t="shared" si="37"/>
        <v>0</v>
      </c>
      <c r="E200" s="771">
        <f t="shared" si="36"/>
        <v>0</v>
      </c>
      <c r="F200" s="778">
        <f t="shared" si="38"/>
        <v>0</v>
      </c>
      <c r="G200" s="778">
        <f t="shared" si="39"/>
        <v>0</v>
      </c>
      <c r="H200" s="779">
        <f t="shared" si="40"/>
        <v>0</v>
      </c>
      <c r="I200" s="780">
        <f t="shared" si="41"/>
        <v>0</v>
      </c>
      <c r="J200" s="778">
        <f>IF(AND(L200&gt;0,L199=0),K133,0)</f>
        <v>0</v>
      </c>
      <c r="K200" s="779">
        <f t="shared" si="42"/>
        <v>0</v>
      </c>
      <c r="L200" s="780">
        <f t="shared" si="43"/>
        <v>0</v>
      </c>
      <c r="M200" s="778">
        <f>IF(AND(O200&gt;0,O199=0),N133,0)</f>
        <v>0</v>
      </c>
      <c r="N200" s="779">
        <f t="shared" si="44"/>
        <v>0</v>
      </c>
      <c r="O200" s="780">
        <f t="shared" si="45"/>
        <v>0</v>
      </c>
      <c r="P200" s="778">
        <f>IF(AND(S200&gt;0,S199=0),Q133,0)</f>
        <v>0</v>
      </c>
      <c r="Q200" s="781">
        <f t="shared" si="46"/>
        <v>0</v>
      </c>
      <c r="S200" s="782">
        <f t="shared" si="47"/>
        <v>0</v>
      </c>
      <c r="T200" s="778">
        <f>IF(AND(V200&gt;0,V199=0),U133,0)</f>
        <v>0</v>
      </c>
      <c r="U200" s="779">
        <f t="shared" si="48"/>
        <v>0</v>
      </c>
      <c r="V200" s="780">
        <f t="shared" si="49"/>
        <v>0</v>
      </c>
      <c r="W200" s="778">
        <f>IF(AND(Y200&gt;0,Y199=0),X133,0)</f>
        <v>0</v>
      </c>
      <c r="X200" s="779">
        <f t="shared" si="50"/>
        <v>0</v>
      </c>
      <c r="Y200" s="780">
        <f t="shared" si="51"/>
        <v>0</v>
      </c>
      <c r="Z200" s="778">
        <f>IF(AND(AB200&gt;0,AB199=0),AA133,0)</f>
        <v>0</v>
      </c>
      <c r="AA200" s="779">
        <f t="shared" si="52"/>
        <v>0</v>
      </c>
      <c r="AB200" s="780">
        <f t="shared" si="53"/>
        <v>0</v>
      </c>
      <c r="AC200" s="778">
        <f>IF(AND(AE200&gt;0,AE199=0),AD133,0)</f>
        <v>0</v>
      </c>
      <c r="AD200" s="779">
        <f t="shared" si="54"/>
        <v>0</v>
      </c>
      <c r="AE200" s="780">
        <f t="shared" si="55"/>
        <v>0</v>
      </c>
      <c r="AF200" s="778">
        <f>IF(AND(AH200&gt;0,AH199=0),AG133,0)</f>
        <v>0</v>
      </c>
      <c r="AG200" s="779">
        <f t="shared" si="56"/>
        <v>0</v>
      </c>
      <c r="AH200" s="780">
        <f t="shared" si="57"/>
        <v>0</v>
      </c>
      <c r="AI200" s="778">
        <f>IF(AND(AK200&gt;0,AK199=0),AJ133,0)</f>
        <v>0</v>
      </c>
      <c r="AJ200" s="779">
        <f t="shared" si="58"/>
        <v>0</v>
      </c>
      <c r="AK200" s="780">
        <f t="shared" si="59"/>
        <v>0</v>
      </c>
      <c r="AL200" s="778">
        <f t="shared" ca="1" si="60"/>
        <v>0</v>
      </c>
      <c r="AM200" s="783"/>
      <c r="AN200" s="780"/>
      <c r="AO200" s="778">
        <f t="shared" ca="1" si="61"/>
        <v>0</v>
      </c>
      <c r="AP200" s="783"/>
      <c r="AQ200" s="780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7"/>
      <c r="BV200" s="208"/>
      <c r="BW200" s="208"/>
      <c r="BX200" s="208"/>
      <c r="BY200" s="208"/>
      <c r="BZ200" s="382"/>
      <c r="CA200" s="382"/>
      <c r="CB200" s="382"/>
      <c r="CC200" s="382"/>
      <c r="CD200" s="382"/>
      <c r="CE200" s="382"/>
      <c r="CF200" s="382"/>
      <c r="CG200" s="382"/>
      <c r="CH200" s="382"/>
      <c r="CI200" s="382"/>
      <c r="CJ200" s="382"/>
      <c r="CK200" s="382"/>
      <c r="CL200" s="382"/>
      <c r="CM200" s="382"/>
      <c r="CN200" s="382"/>
      <c r="CO200" s="382"/>
      <c r="CP200" s="382"/>
      <c r="CQ200" s="382"/>
      <c r="CR200" s="382"/>
      <c r="CS200" s="382"/>
      <c r="CT200" s="382"/>
      <c r="CU200" s="382"/>
      <c r="CV200" s="382"/>
      <c r="CW200" s="769">
        <v>58</v>
      </c>
      <c r="CX200" s="382"/>
      <c r="CY200" s="382"/>
      <c r="CZ200" s="382"/>
      <c r="DA200" s="382"/>
      <c r="DB200" s="382"/>
      <c r="DC200" s="382"/>
      <c r="DD200" s="382"/>
      <c r="DE200" s="382"/>
      <c r="DF200" s="382"/>
      <c r="DG200" s="382"/>
      <c r="DH200" s="382"/>
      <c r="DI200" s="382"/>
      <c r="DJ200" s="382"/>
      <c r="DK200" s="382"/>
      <c r="DL200" s="382"/>
      <c r="DM200" s="382"/>
      <c r="DN200" s="382"/>
      <c r="DO200" s="382"/>
      <c r="DP200" s="208"/>
      <c r="DQ200" s="208"/>
      <c r="DR200" s="208"/>
      <c r="DS200" s="208"/>
      <c r="DT200" s="208"/>
      <c r="DU200" s="208"/>
      <c r="DV200" s="208"/>
      <c r="DW200" s="208"/>
      <c r="DX200" s="208"/>
      <c r="DY200" s="208"/>
      <c r="DZ200" s="227"/>
      <c r="EA200" s="186"/>
      <c r="EB200" s="186"/>
    </row>
    <row r="201" spans="2:132" s="176" customFormat="1" ht="14.25" hidden="1" customHeight="1" x14ac:dyDescent="0.2">
      <c r="B201" s="760">
        <f ca="1">B142+INT(C200/12)</f>
        <v>2023</v>
      </c>
      <c r="C201" s="760">
        <v>59</v>
      </c>
      <c r="D201" s="777">
        <f t="shared" si="37"/>
        <v>0</v>
      </c>
      <c r="E201" s="771">
        <f t="shared" si="36"/>
        <v>0</v>
      </c>
      <c r="F201" s="778">
        <f t="shared" si="38"/>
        <v>0</v>
      </c>
      <c r="G201" s="778">
        <f t="shared" si="39"/>
        <v>0</v>
      </c>
      <c r="H201" s="779">
        <f t="shared" si="40"/>
        <v>0</v>
      </c>
      <c r="I201" s="780">
        <f t="shared" si="41"/>
        <v>0</v>
      </c>
      <c r="J201" s="778">
        <f>IF(AND(L201&gt;0,L200=0),K133,0)</f>
        <v>0</v>
      </c>
      <c r="K201" s="779">
        <f t="shared" si="42"/>
        <v>0</v>
      </c>
      <c r="L201" s="780">
        <f t="shared" si="43"/>
        <v>0</v>
      </c>
      <c r="M201" s="778">
        <f>IF(AND(O201&gt;0,O200=0),N133,0)</f>
        <v>0</v>
      </c>
      <c r="N201" s="779">
        <f t="shared" si="44"/>
        <v>0</v>
      </c>
      <c r="O201" s="780">
        <f t="shared" si="45"/>
        <v>0</v>
      </c>
      <c r="P201" s="778">
        <f>IF(AND(S201&gt;0,S200=0),Q133,0)</f>
        <v>0</v>
      </c>
      <c r="Q201" s="781">
        <f t="shared" si="46"/>
        <v>0</v>
      </c>
      <c r="S201" s="782">
        <f t="shared" si="47"/>
        <v>0</v>
      </c>
      <c r="T201" s="778">
        <f>IF(AND(V201&gt;0,V200=0),U133,0)</f>
        <v>0</v>
      </c>
      <c r="U201" s="779">
        <f t="shared" si="48"/>
        <v>0</v>
      </c>
      <c r="V201" s="780">
        <f t="shared" si="49"/>
        <v>0</v>
      </c>
      <c r="W201" s="778">
        <f>IF(AND(Y201&gt;0,Y200=0),X133,0)</f>
        <v>0</v>
      </c>
      <c r="X201" s="779">
        <f t="shared" si="50"/>
        <v>0</v>
      </c>
      <c r="Y201" s="780">
        <f t="shared" si="51"/>
        <v>0</v>
      </c>
      <c r="Z201" s="778">
        <f>IF(AND(AB201&gt;0,AB200=0),AA133,0)</f>
        <v>0</v>
      </c>
      <c r="AA201" s="779">
        <f t="shared" si="52"/>
        <v>0</v>
      </c>
      <c r="AB201" s="780">
        <f t="shared" si="53"/>
        <v>0</v>
      </c>
      <c r="AC201" s="778">
        <f>IF(AND(AE201&gt;0,AE200=0),AD133,0)</f>
        <v>0</v>
      </c>
      <c r="AD201" s="779">
        <f t="shared" si="54"/>
        <v>0</v>
      </c>
      <c r="AE201" s="780">
        <f t="shared" si="55"/>
        <v>0</v>
      </c>
      <c r="AF201" s="778">
        <f>IF(AND(AH201&gt;0,AH200=0),AG133,0)</f>
        <v>0</v>
      </c>
      <c r="AG201" s="779">
        <f t="shared" si="56"/>
        <v>0</v>
      </c>
      <c r="AH201" s="780">
        <f t="shared" si="57"/>
        <v>0</v>
      </c>
      <c r="AI201" s="778">
        <f>IF(AND(AK201&gt;0,AK200=0),AJ133,0)</f>
        <v>0</v>
      </c>
      <c r="AJ201" s="779">
        <f t="shared" si="58"/>
        <v>0</v>
      </c>
      <c r="AK201" s="780">
        <f t="shared" si="59"/>
        <v>0</v>
      </c>
      <c r="AL201" s="778">
        <f t="shared" ca="1" si="60"/>
        <v>0</v>
      </c>
      <c r="AM201" s="783"/>
      <c r="AN201" s="780"/>
      <c r="AO201" s="778">
        <f t="shared" ca="1" si="61"/>
        <v>0</v>
      </c>
      <c r="AP201" s="783"/>
      <c r="AQ201" s="780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7"/>
      <c r="BV201" s="208"/>
      <c r="BW201" s="208"/>
      <c r="BX201" s="208"/>
      <c r="BY201" s="208"/>
      <c r="BZ201" s="382"/>
      <c r="CA201" s="382"/>
      <c r="CB201" s="382"/>
      <c r="CC201" s="382"/>
      <c r="CD201" s="382"/>
      <c r="CE201" s="382"/>
      <c r="CF201" s="382"/>
      <c r="CG201" s="382"/>
      <c r="CH201" s="382"/>
      <c r="CI201" s="382"/>
      <c r="CJ201" s="382"/>
      <c r="CK201" s="382"/>
      <c r="CL201" s="382"/>
      <c r="CM201" s="382"/>
      <c r="CN201" s="382"/>
      <c r="CO201" s="382"/>
      <c r="CP201" s="382"/>
      <c r="CQ201" s="382"/>
      <c r="CR201" s="382"/>
      <c r="CS201" s="382"/>
      <c r="CT201" s="382"/>
      <c r="CU201" s="382"/>
      <c r="CV201" s="382"/>
      <c r="CW201" s="769">
        <v>59</v>
      </c>
      <c r="CX201" s="382"/>
      <c r="CY201" s="382"/>
      <c r="CZ201" s="382"/>
      <c r="DA201" s="382"/>
      <c r="DB201" s="382"/>
      <c r="DC201" s="382"/>
      <c r="DD201" s="382"/>
      <c r="DE201" s="382"/>
      <c r="DF201" s="382"/>
      <c r="DG201" s="382"/>
      <c r="DH201" s="382"/>
      <c r="DI201" s="382"/>
      <c r="DJ201" s="382"/>
      <c r="DK201" s="382"/>
      <c r="DL201" s="382"/>
      <c r="DM201" s="382"/>
      <c r="DN201" s="382"/>
      <c r="DO201" s="382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27"/>
      <c r="EA201" s="186"/>
      <c r="EB201" s="186"/>
    </row>
    <row r="202" spans="2:132" s="176" customFormat="1" ht="14.25" hidden="1" customHeight="1" x14ac:dyDescent="0.2">
      <c r="B202" s="761">
        <f ca="1">B142+INT(C201/12)</f>
        <v>2023</v>
      </c>
      <c r="C202" s="761">
        <v>60</v>
      </c>
      <c r="D202" s="784">
        <f t="shared" si="37"/>
        <v>0</v>
      </c>
      <c r="E202" s="771">
        <f t="shared" si="36"/>
        <v>0</v>
      </c>
      <c r="F202" s="785">
        <f t="shared" si="38"/>
        <v>0</v>
      </c>
      <c r="G202" s="785">
        <f t="shared" si="39"/>
        <v>0</v>
      </c>
      <c r="H202" s="786">
        <f t="shared" si="40"/>
        <v>0</v>
      </c>
      <c r="I202" s="787">
        <f t="shared" si="41"/>
        <v>0</v>
      </c>
      <c r="J202" s="785">
        <f>IF(AND(L202&gt;0,L201=0),K133,0)</f>
        <v>0</v>
      </c>
      <c r="K202" s="786">
        <f t="shared" si="42"/>
        <v>0</v>
      </c>
      <c r="L202" s="787">
        <f t="shared" si="43"/>
        <v>0</v>
      </c>
      <c r="M202" s="785">
        <f>IF(AND(O202&gt;0,O201=0),N133,0)</f>
        <v>0</v>
      </c>
      <c r="N202" s="786">
        <f t="shared" si="44"/>
        <v>0</v>
      </c>
      <c r="O202" s="787">
        <f t="shared" si="45"/>
        <v>0</v>
      </c>
      <c r="P202" s="785">
        <f>IF(AND(S202&gt;0,S201=0),Q133,0)</f>
        <v>0</v>
      </c>
      <c r="Q202" s="788">
        <f t="shared" si="46"/>
        <v>0</v>
      </c>
      <c r="S202" s="789">
        <f t="shared" si="47"/>
        <v>0</v>
      </c>
      <c r="T202" s="785">
        <f>IF(AND(V202&gt;0,V201=0),U133,0)</f>
        <v>0</v>
      </c>
      <c r="U202" s="786">
        <f t="shared" si="48"/>
        <v>0</v>
      </c>
      <c r="V202" s="787">
        <f t="shared" si="49"/>
        <v>0</v>
      </c>
      <c r="W202" s="785">
        <f>IF(AND(Y202&gt;0,Y201=0),X133,0)</f>
        <v>0</v>
      </c>
      <c r="X202" s="786">
        <f t="shared" si="50"/>
        <v>0</v>
      </c>
      <c r="Y202" s="787">
        <f t="shared" si="51"/>
        <v>0</v>
      </c>
      <c r="Z202" s="785">
        <f>IF(AND(AB202&gt;0,AB201=0),AA133,0)</f>
        <v>0</v>
      </c>
      <c r="AA202" s="786">
        <f t="shared" si="52"/>
        <v>0</v>
      </c>
      <c r="AB202" s="787">
        <f t="shared" si="53"/>
        <v>0</v>
      </c>
      <c r="AC202" s="785">
        <f>IF(AND(AE202&gt;0,AE201=0),AD133,0)</f>
        <v>0</v>
      </c>
      <c r="AD202" s="786">
        <f t="shared" si="54"/>
        <v>0</v>
      </c>
      <c r="AE202" s="787">
        <f t="shared" si="55"/>
        <v>0</v>
      </c>
      <c r="AF202" s="785">
        <f>IF(AND(AH202&gt;0,AH201=0),AG133,0)</f>
        <v>0</v>
      </c>
      <c r="AG202" s="786">
        <f t="shared" si="56"/>
        <v>0</v>
      </c>
      <c r="AH202" s="787">
        <f t="shared" si="57"/>
        <v>0</v>
      </c>
      <c r="AI202" s="785">
        <f>IF(AND(AK202&gt;0,AK201=0),AJ133,0)</f>
        <v>0</v>
      </c>
      <c r="AJ202" s="786">
        <f t="shared" si="58"/>
        <v>0</v>
      </c>
      <c r="AK202" s="787">
        <f t="shared" si="59"/>
        <v>0</v>
      </c>
      <c r="AL202" s="785">
        <f t="shared" ca="1" si="60"/>
        <v>0</v>
      </c>
      <c r="AM202" s="791"/>
      <c r="AN202" s="787"/>
      <c r="AO202" s="785">
        <f t="shared" ca="1" si="61"/>
        <v>0</v>
      </c>
      <c r="AP202" s="791"/>
      <c r="AQ202" s="787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7"/>
      <c r="BV202" s="208"/>
      <c r="BW202" s="208"/>
      <c r="BX202" s="208"/>
      <c r="BY202" s="208"/>
      <c r="BZ202" s="382"/>
      <c r="CA202" s="382"/>
      <c r="CB202" s="382"/>
      <c r="CC202" s="382"/>
      <c r="CD202" s="382"/>
      <c r="CE202" s="382"/>
      <c r="CF202" s="382"/>
      <c r="CG202" s="382"/>
      <c r="CH202" s="382"/>
      <c r="CI202" s="382"/>
      <c r="CJ202" s="382"/>
      <c r="CK202" s="382"/>
      <c r="CL202" s="382"/>
      <c r="CM202" s="382"/>
      <c r="CN202" s="382"/>
      <c r="CO202" s="382"/>
      <c r="CP202" s="382"/>
      <c r="CQ202" s="382"/>
      <c r="CR202" s="382"/>
      <c r="CS202" s="382"/>
      <c r="CT202" s="382"/>
      <c r="CU202" s="382"/>
      <c r="CV202" s="382"/>
      <c r="CW202" s="769">
        <v>60</v>
      </c>
      <c r="CX202" s="382"/>
      <c r="CY202" s="382"/>
      <c r="CZ202" s="382"/>
      <c r="DA202" s="382"/>
      <c r="DB202" s="382"/>
      <c r="DC202" s="382"/>
      <c r="DD202" s="382"/>
      <c r="DE202" s="382"/>
      <c r="DF202" s="382"/>
      <c r="DG202" s="382"/>
      <c r="DH202" s="382"/>
      <c r="DI202" s="382"/>
      <c r="DJ202" s="382"/>
      <c r="DK202" s="382"/>
      <c r="DL202" s="382"/>
      <c r="DM202" s="382"/>
      <c r="DN202" s="382"/>
      <c r="DO202" s="382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27"/>
      <c r="EA202" s="186"/>
      <c r="EB202" s="186"/>
    </row>
    <row r="203" spans="2:132" s="176" customFormat="1" ht="14.25" hidden="1" customHeight="1" x14ac:dyDescent="0.2"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4"/>
      <c r="O203" s="202"/>
      <c r="P203" s="202"/>
      <c r="Q203" s="656"/>
      <c r="R203" s="656"/>
      <c r="S203" s="203"/>
      <c r="T203" s="202"/>
      <c r="U203" s="202"/>
      <c r="V203" s="202"/>
      <c r="W203" s="202"/>
      <c r="X203" s="202"/>
      <c r="Y203" s="205"/>
      <c r="AB203" s="206"/>
      <c r="AC203" s="206"/>
      <c r="AD203" s="207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7"/>
      <c r="BV203" s="208"/>
      <c r="BW203" s="208"/>
      <c r="BX203" s="208"/>
      <c r="BY203" s="208"/>
      <c r="BZ203" s="382"/>
      <c r="CA203" s="382"/>
      <c r="CB203" s="382"/>
      <c r="CC203" s="382"/>
      <c r="CD203" s="382"/>
      <c r="CE203" s="382"/>
      <c r="CF203" s="382"/>
      <c r="CG203" s="382"/>
      <c r="CH203" s="382"/>
      <c r="CI203" s="382"/>
      <c r="CJ203" s="382"/>
      <c r="CK203" s="382"/>
      <c r="CL203" s="382"/>
      <c r="CM203" s="382"/>
      <c r="CN203" s="382"/>
      <c r="CO203" s="382"/>
      <c r="CP203" s="382"/>
      <c r="CQ203" s="382"/>
      <c r="CR203" s="382"/>
      <c r="CS203" s="382"/>
      <c r="CT203" s="382"/>
      <c r="CU203" s="382"/>
      <c r="CV203" s="382"/>
      <c r="CW203" s="189"/>
      <c r="CX203" s="382"/>
      <c r="CY203" s="382"/>
      <c r="CZ203" s="382"/>
      <c r="DA203" s="382"/>
      <c r="DB203" s="382"/>
      <c r="DC203" s="382"/>
      <c r="DD203" s="382"/>
      <c r="DE203" s="382"/>
      <c r="DF203" s="382"/>
      <c r="DG203" s="382"/>
      <c r="DH203" s="382"/>
      <c r="DI203" s="382"/>
      <c r="DJ203" s="382"/>
      <c r="DK203" s="382"/>
      <c r="DL203" s="382"/>
      <c r="DM203" s="382"/>
      <c r="DN203" s="382"/>
      <c r="DO203" s="382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27"/>
      <c r="EA203" s="186"/>
      <c r="EB203" s="186"/>
    </row>
    <row r="204" spans="2:132" s="176" customFormat="1" ht="14.25" hidden="1" customHeight="1" x14ac:dyDescent="0.2"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4"/>
      <c r="O204" s="202"/>
      <c r="P204" s="202"/>
      <c r="Q204" s="656"/>
      <c r="R204" s="656"/>
      <c r="S204" s="203"/>
      <c r="T204" s="202"/>
      <c r="U204" s="202"/>
      <c r="V204" s="202"/>
      <c r="W204" s="202"/>
      <c r="X204" s="202"/>
      <c r="Y204" s="205"/>
      <c r="AB204" s="206"/>
      <c r="AC204" s="206"/>
      <c r="AD204" s="207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7"/>
      <c r="BV204" s="208"/>
      <c r="BW204" s="208"/>
      <c r="BX204" s="208"/>
      <c r="BY204" s="208"/>
      <c r="BZ204" s="382"/>
      <c r="CA204" s="382"/>
      <c r="CB204" s="382"/>
      <c r="CC204" s="382"/>
      <c r="CD204" s="382"/>
      <c r="CE204" s="382"/>
      <c r="CF204" s="382"/>
      <c r="CG204" s="382"/>
      <c r="CH204" s="382"/>
      <c r="CI204" s="382"/>
      <c r="CJ204" s="382"/>
      <c r="CK204" s="382"/>
      <c r="CL204" s="382"/>
      <c r="CM204" s="382"/>
      <c r="CN204" s="382"/>
      <c r="CO204" s="382"/>
      <c r="CP204" s="382"/>
      <c r="CQ204" s="382"/>
      <c r="CR204" s="382"/>
      <c r="CS204" s="382"/>
      <c r="CT204" s="382"/>
      <c r="CU204" s="382"/>
      <c r="CV204" s="382"/>
      <c r="CW204" s="189"/>
      <c r="CX204" s="382"/>
      <c r="CY204" s="382"/>
      <c r="CZ204" s="382"/>
      <c r="DA204" s="382"/>
      <c r="DB204" s="382"/>
      <c r="DC204" s="382"/>
      <c r="DD204" s="382"/>
      <c r="DE204" s="382"/>
      <c r="DF204" s="382"/>
      <c r="DG204" s="382"/>
      <c r="DH204" s="382"/>
      <c r="DI204" s="382"/>
      <c r="DJ204" s="382"/>
      <c r="DK204" s="382"/>
      <c r="DL204" s="382"/>
      <c r="DM204" s="382"/>
      <c r="DN204" s="382"/>
      <c r="DO204" s="382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27"/>
      <c r="EA204" s="186"/>
      <c r="EB204" s="186"/>
    </row>
    <row r="205" spans="2:132" s="176" customFormat="1" ht="14.25" hidden="1" customHeight="1" x14ac:dyDescent="0.2"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4"/>
      <c r="O205" s="202"/>
      <c r="P205" s="202"/>
      <c r="Q205" s="656"/>
      <c r="R205" s="656"/>
      <c r="S205" s="203"/>
      <c r="T205" s="202"/>
      <c r="U205" s="202"/>
      <c r="V205" s="202"/>
      <c r="W205" s="202"/>
      <c r="X205" s="202"/>
      <c r="Y205" s="205"/>
      <c r="AB205" s="206"/>
      <c r="AC205" s="206"/>
      <c r="AD205" s="207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7"/>
      <c r="BV205" s="208"/>
      <c r="BW205" s="208"/>
      <c r="BX205" s="208"/>
      <c r="BY205" s="208"/>
      <c r="BZ205" s="382"/>
      <c r="CA205" s="382"/>
      <c r="CB205" s="382"/>
      <c r="CC205" s="382"/>
      <c r="CD205" s="382"/>
      <c r="CE205" s="382"/>
      <c r="CF205" s="382"/>
      <c r="CG205" s="382"/>
      <c r="CH205" s="382"/>
      <c r="CI205" s="382"/>
      <c r="CJ205" s="382"/>
      <c r="CK205" s="382"/>
      <c r="CL205" s="382"/>
      <c r="CM205" s="382"/>
      <c r="CN205" s="382"/>
      <c r="CO205" s="382"/>
      <c r="CP205" s="382"/>
      <c r="CQ205" s="382"/>
      <c r="CR205" s="382"/>
      <c r="CS205" s="382"/>
      <c r="CT205" s="382"/>
      <c r="CU205" s="382"/>
      <c r="CV205" s="382"/>
      <c r="CW205" s="189"/>
      <c r="CX205" s="382"/>
      <c r="CY205" s="382"/>
      <c r="CZ205" s="382"/>
      <c r="DA205" s="382"/>
      <c r="DB205" s="382"/>
      <c r="DC205" s="382"/>
      <c r="DD205" s="382"/>
      <c r="DE205" s="382"/>
      <c r="DF205" s="382"/>
      <c r="DG205" s="382"/>
      <c r="DH205" s="382"/>
      <c r="DI205" s="382"/>
      <c r="DJ205" s="382"/>
      <c r="DK205" s="382"/>
      <c r="DL205" s="382"/>
      <c r="DM205" s="382"/>
      <c r="DN205" s="382"/>
      <c r="DO205" s="382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27"/>
      <c r="EA205" s="186"/>
      <c r="EB205" s="186"/>
    </row>
    <row r="206" spans="2:132" s="176" customFormat="1" ht="14.25" hidden="1" customHeight="1" x14ac:dyDescent="0.2"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4"/>
      <c r="O206" s="202"/>
      <c r="P206" s="202"/>
      <c r="Q206" s="656"/>
      <c r="R206" s="656"/>
      <c r="S206" s="203"/>
      <c r="T206" s="202"/>
      <c r="U206" s="202"/>
      <c r="V206" s="202"/>
      <c r="W206" s="202"/>
      <c r="X206" s="202"/>
      <c r="Y206" s="205"/>
      <c r="AB206" s="206"/>
      <c r="AC206" s="206"/>
      <c r="AD206" s="207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7"/>
      <c r="BV206" s="208"/>
      <c r="BW206" s="208"/>
      <c r="BX206" s="208"/>
      <c r="BY206" s="208"/>
      <c r="BZ206" s="382"/>
      <c r="CA206" s="382"/>
      <c r="CB206" s="382"/>
      <c r="CC206" s="382"/>
      <c r="CD206" s="382"/>
      <c r="CE206" s="382"/>
      <c r="CF206" s="382"/>
      <c r="CG206" s="382"/>
      <c r="CH206" s="382"/>
      <c r="CI206" s="382"/>
      <c r="CJ206" s="382"/>
      <c r="CK206" s="382"/>
      <c r="CL206" s="382"/>
      <c r="CM206" s="382"/>
      <c r="CN206" s="382"/>
      <c r="CO206" s="382"/>
      <c r="CP206" s="382"/>
      <c r="CQ206" s="382"/>
      <c r="CR206" s="382"/>
      <c r="CS206" s="382"/>
      <c r="CT206" s="382"/>
      <c r="CU206" s="382"/>
      <c r="CV206" s="382"/>
      <c r="CW206" s="189"/>
      <c r="CX206" s="382"/>
      <c r="CY206" s="382"/>
      <c r="CZ206" s="382"/>
      <c r="DA206" s="382"/>
      <c r="DB206" s="382"/>
      <c r="DC206" s="382"/>
      <c r="DD206" s="382"/>
      <c r="DE206" s="382"/>
      <c r="DF206" s="382"/>
      <c r="DG206" s="382"/>
      <c r="DH206" s="382"/>
      <c r="DI206" s="382"/>
      <c r="DJ206" s="382"/>
      <c r="DK206" s="382"/>
      <c r="DL206" s="382"/>
      <c r="DM206" s="382"/>
      <c r="DN206" s="382"/>
      <c r="DO206" s="382"/>
      <c r="DP206" s="208"/>
      <c r="DQ206" s="208"/>
      <c r="DR206" s="208"/>
      <c r="DS206" s="208"/>
      <c r="DT206" s="208"/>
      <c r="DU206" s="208"/>
      <c r="DV206" s="208"/>
      <c r="DW206" s="208"/>
      <c r="DX206" s="208"/>
      <c r="DY206" s="208"/>
      <c r="DZ206" s="227"/>
      <c r="EA206" s="186"/>
      <c r="EB206" s="186"/>
    </row>
    <row r="207" spans="2:132" s="176" customFormat="1" ht="14.25" hidden="1" customHeight="1" x14ac:dyDescent="0.2"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4"/>
      <c r="O207" s="202"/>
      <c r="P207" s="202"/>
      <c r="Q207" s="656"/>
      <c r="R207" s="656"/>
      <c r="S207" s="203"/>
      <c r="T207" s="202"/>
      <c r="U207" s="202"/>
      <c r="V207" s="202"/>
      <c r="W207" s="202"/>
      <c r="X207" s="202"/>
      <c r="Y207" s="205"/>
      <c r="AB207" s="206"/>
      <c r="AC207" s="206"/>
      <c r="AD207" s="207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7"/>
      <c r="BV207" s="208"/>
      <c r="BW207" s="208"/>
      <c r="BX207" s="208"/>
      <c r="BY207" s="208"/>
      <c r="BZ207" s="382"/>
      <c r="CA207" s="382"/>
      <c r="CB207" s="382"/>
      <c r="CC207" s="382"/>
      <c r="CD207" s="382"/>
      <c r="CE207" s="382"/>
      <c r="CF207" s="382"/>
      <c r="CG207" s="382"/>
      <c r="CH207" s="382"/>
      <c r="CI207" s="382"/>
      <c r="CJ207" s="382"/>
      <c r="CK207" s="382"/>
      <c r="CL207" s="382"/>
      <c r="CM207" s="382"/>
      <c r="CN207" s="382"/>
      <c r="CO207" s="382"/>
      <c r="CP207" s="382"/>
      <c r="CQ207" s="382"/>
      <c r="CR207" s="382"/>
      <c r="CS207" s="382"/>
      <c r="CT207" s="382"/>
      <c r="CU207" s="382"/>
      <c r="CV207" s="382"/>
      <c r="CW207" s="189"/>
      <c r="CX207" s="382"/>
      <c r="CY207" s="382"/>
      <c r="CZ207" s="382"/>
      <c r="DA207" s="382"/>
      <c r="DB207" s="382"/>
      <c r="DC207" s="382"/>
      <c r="DD207" s="382"/>
      <c r="DE207" s="382"/>
      <c r="DF207" s="382"/>
      <c r="DG207" s="382"/>
      <c r="DH207" s="382"/>
      <c r="DI207" s="382"/>
      <c r="DJ207" s="382"/>
      <c r="DK207" s="382"/>
      <c r="DL207" s="382"/>
      <c r="DM207" s="382"/>
      <c r="DN207" s="382"/>
      <c r="DO207" s="382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27"/>
      <c r="EA207" s="186"/>
      <c r="EB207" s="186"/>
    </row>
    <row r="208" spans="2:132" s="176" customFormat="1" ht="14.25" hidden="1" customHeight="1" x14ac:dyDescent="0.2">
      <c r="D208" s="202"/>
      <c r="E208" s="202"/>
      <c r="F208" s="202"/>
      <c r="H208" s="202"/>
      <c r="I208" s="202"/>
      <c r="J208" s="202"/>
      <c r="K208" s="202"/>
      <c r="L208" s="202"/>
      <c r="M208" s="202"/>
      <c r="N208" s="204"/>
      <c r="O208" s="202"/>
      <c r="P208" s="202"/>
      <c r="Q208" s="656"/>
      <c r="R208" s="656"/>
      <c r="S208" s="203"/>
      <c r="T208" s="202"/>
      <c r="U208" s="202"/>
      <c r="V208" s="202"/>
      <c r="W208" s="202"/>
      <c r="X208" s="202"/>
      <c r="Y208" s="205"/>
      <c r="AB208" s="206"/>
      <c r="AC208" s="206"/>
      <c r="AD208" s="207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7"/>
      <c r="BV208" s="208"/>
      <c r="BW208" s="208"/>
      <c r="BX208" s="208"/>
      <c r="BY208" s="208"/>
      <c r="BZ208" s="382"/>
      <c r="CA208" s="382"/>
      <c r="CB208" s="382"/>
      <c r="CC208" s="382"/>
      <c r="CD208" s="382"/>
      <c r="CE208" s="382"/>
      <c r="CF208" s="382"/>
      <c r="CG208" s="382"/>
      <c r="CH208" s="382"/>
      <c r="CI208" s="382"/>
      <c r="CJ208" s="382"/>
      <c r="CK208" s="382"/>
      <c r="CL208" s="382"/>
      <c r="CM208" s="382"/>
      <c r="CN208" s="382"/>
      <c r="CO208" s="382"/>
      <c r="CP208" s="382"/>
      <c r="CQ208" s="382"/>
      <c r="CR208" s="382"/>
      <c r="CS208" s="382"/>
      <c r="CT208" s="382"/>
      <c r="CU208" s="382"/>
      <c r="CV208" s="382"/>
      <c r="CW208" s="189"/>
      <c r="CX208" s="382"/>
      <c r="CY208" s="382"/>
      <c r="CZ208" s="382"/>
      <c r="DA208" s="382"/>
      <c r="DB208" s="382"/>
      <c r="DC208" s="382"/>
      <c r="DD208" s="382"/>
      <c r="DE208" s="382"/>
      <c r="DF208" s="382"/>
      <c r="DG208" s="382"/>
      <c r="DH208" s="382"/>
      <c r="DI208" s="382"/>
      <c r="DJ208" s="382"/>
      <c r="DK208" s="382"/>
      <c r="DL208" s="382"/>
      <c r="DM208" s="382"/>
      <c r="DN208" s="382"/>
      <c r="DO208" s="382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27"/>
      <c r="EA208" s="186"/>
      <c r="EB208" s="186"/>
    </row>
    <row r="209" spans="2:130" s="186" customFormat="1" ht="14.25" hidden="1" customHeight="1" x14ac:dyDescent="0.2">
      <c r="D209" s="738"/>
      <c r="E209" s="738"/>
      <c r="F209" s="738"/>
      <c r="G209" s="738"/>
      <c r="H209" s="738"/>
      <c r="I209" s="792"/>
      <c r="J209" s="754"/>
      <c r="K209" s="792"/>
      <c r="L209" s="754"/>
      <c r="M209" s="792"/>
      <c r="N209" s="754"/>
      <c r="O209" s="792"/>
      <c r="P209" s="754"/>
      <c r="Q209" s="792"/>
      <c r="R209" s="792"/>
      <c r="S209" s="224"/>
      <c r="T209" s="792"/>
      <c r="U209" s="754"/>
      <c r="V209" s="792"/>
      <c r="W209" s="754"/>
      <c r="X209" s="792"/>
      <c r="Y209" s="754"/>
      <c r="Z209" s="792"/>
      <c r="AA209" s="754"/>
      <c r="AB209" s="792"/>
      <c r="AC209" s="754"/>
      <c r="AD209" s="792"/>
      <c r="AE209" s="754"/>
      <c r="AF209" s="792"/>
      <c r="AG209" s="754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7"/>
      <c r="BV209" s="208"/>
      <c r="BW209" s="208"/>
      <c r="BX209" s="208"/>
      <c r="BY209" s="208"/>
      <c r="BZ209" s="382"/>
      <c r="CA209" s="382"/>
      <c r="CB209" s="382"/>
      <c r="CC209" s="382"/>
      <c r="CD209" s="382"/>
      <c r="CE209" s="382"/>
      <c r="CF209" s="382"/>
      <c r="CG209" s="382"/>
      <c r="CH209" s="382"/>
      <c r="CI209" s="382"/>
      <c r="CJ209" s="382"/>
      <c r="CK209" s="382"/>
      <c r="CL209" s="382"/>
      <c r="CM209" s="382"/>
      <c r="CN209" s="382"/>
      <c r="CO209" s="382"/>
      <c r="CP209" s="382"/>
      <c r="CQ209" s="382"/>
      <c r="CR209" s="382"/>
      <c r="CS209" s="382"/>
      <c r="CT209" s="382"/>
      <c r="CU209" s="382"/>
      <c r="CV209" s="382"/>
      <c r="CW209" s="189"/>
      <c r="CX209" s="382"/>
      <c r="CY209" s="382"/>
      <c r="CZ209" s="382"/>
      <c r="DA209" s="382"/>
      <c r="DB209" s="382"/>
      <c r="DC209" s="382"/>
      <c r="DD209" s="382"/>
      <c r="DE209" s="382"/>
      <c r="DF209" s="382"/>
      <c r="DG209" s="382"/>
      <c r="DH209" s="382"/>
      <c r="DI209" s="382"/>
      <c r="DJ209" s="382"/>
      <c r="DK209" s="382"/>
      <c r="DL209" s="382"/>
      <c r="DM209" s="382"/>
      <c r="DN209" s="382"/>
      <c r="DO209" s="382"/>
      <c r="DP209" s="208"/>
      <c r="DQ209" s="208"/>
      <c r="DR209" s="208"/>
      <c r="DS209" s="208"/>
      <c r="DT209" s="208"/>
      <c r="DU209" s="208"/>
      <c r="DV209" s="208"/>
      <c r="DW209" s="208"/>
      <c r="DX209" s="208"/>
      <c r="DY209" s="208"/>
      <c r="DZ209" s="741"/>
    </row>
    <row r="210" spans="2:130" s="186" customFormat="1" ht="14.25" hidden="1" customHeight="1" x14ac:dyDescent="0.2">
      <c r="D210" s="738"/>
      <c r="E210" s="738"/>
      <c r="F210" s="738"/>
      <c r="G210" s="738"/>
      <c r="H210" s="738"/>
      <c r="I210" s="793"/>
      <c r="J210" s="754"/>
      <c r="K210" s="793"/>
      <c r="L210" s="754"/>
      <c r="M210" s="793"/>
      <c r="N210" s="754"/>
      <c r="O210" s="793"/>
      <c r="P210" s="754"/>
      <c r="Q210" s="793"/>
      <c r="R210" s="793"/>
      <c r="S210" s="224"/>
      <c r="T210" s="793"/>
      <c r="U210" s="754"/>
      <c r="V210" s="793"/>
      <c r="W210" s="754"/>
      <c r="X210" s="793"/>
      <c r="Y210" s="754"/>
      <c r="Z210" s="793"/>
      <c r="AA210" s="754"/>
      <c r="AB210" s="793"/>
      <c r="AC210" s="754"/>
      <c r="AD210" s="793"/>
      <c r="AE210" s="754"/>
      <c r="AF210" s="793"/>
      <c r="AG210" s="754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7"/>
      <c r="BV210" s="208"/>
      <c r="BW210" s="208"/>
      <c r="BX210" s="208"/>
      <c r="BY210" s="208"/>
      <c r="BZ210" s="382"/>
      <c r="CA210" s="382"/>
      <c r="CB210" s="382"/>
      <c r="CC210" s="382"/>
      <c r="CD210" s="382"/>
      <c r="CE210" s="382"/>
      <c r="CF210" s="382"/>
      <c r="CG210" s="382"/>
      <c r="CH210" s="382"/>
      <c r="CI210" s="382"/>
      <c r="CJ210" s="382"/>
      <c r="CK210" s="382"/>
      <c r="CL210" s="382"/>
      <c r="CM210" s="382"/>
      <c r="CN210" s="382"/>
      <c r="CO210" s="382"/>
      <c r="CP210" s="382"/>
      <c r="CQ210" s="382"/>
      <c r="CR210" s="382"/>
      <c r="CS210" s="382"/>
      <c r="CT210" s="382"/>
      <c r="CU210" s="382"/>
      <c r="CV210" s="382"/>
      <c r="CW210" s="189"/>
      <c r="CX210" s="382"/>
      <c r="CY210" s="382"/>
      <c r="CZ210" s="382"/>
      <c r="DA210" s="382"/>
      <c r="DB210" s="382"/>
      <c r="DC210" s="382"/>
      <c r="DD210" s="382"/>
      <c r="DE210" s="382"/>
      <c r="DF210" s="382"/>
      <c r="DG210" s="382"/>
      <c r="DH210" s="382"/>
      <c r="DI210" s="382"/>
      <c r="DJ210" s="382"/>
      <c r="DK210" s="382"/>
      <c r="DL210" s="382"/>
      <c r="DM210" s="382"/>
      <c r="DN210" s="382"/>
      <c r="DO210" s="382"/>
      <c r="DP210" s="208"/>
      <c r="DQ210" s="208"/>
      <c r="DR210" s="208"/>
      <c r="DS210" s="208"/>
      <c r="DT210" s="208"/>
      <c r="DU210" s="208"/>
      <c r="DV210" s="208"/>
      <c r="DW210" s="208"/>
      <c r="DX210" s="208"/>
      <c r="DY210" s="208"/>
      <c r="DZ210" s="741"/>
    </row>
    <row r="211" spans="2:130" s="186" customFormat="1" ht="14.25" customHeight="1" x14ac:dyDescent="0.2">
      <c r="D211" s="738"/>
      <c r="E211" s="738"/>
      <c r="F211" s="738"/>
      <c r="G211" s="738"/>
      <c r="H211" s="738"/>
      <c r="I211" s="792"/>
      <c r="J211" s="754"/>
      <c r="K211" s="792"/>
      <c r="L211" s="754"/>
      <c r="M211" s="792"/>
      <c r="N211" s="754"/>
      <c r="O211" s="792"/>
      <c r="P211" s="754"/>
      <c r="Q211" s="792"/>
      <c r="R211" s="792"/>
      <c r="S211" s="224"/>
      <c r="T211" s="792"/>
      <c r="U211" s="754"/>
      <c r="V211" s="792"/>
      <c r="W211" s="754"/>
      <c r="X211" s="792"/>
      <c r="Y211" s="754"/>
      <c r="Z211" s="792"/>
      <c r="AA211" s="754"/>
      <c r="AB211" s="792"/>
      <c r="AC211" s="754"/>
      <c r="AD211" s="792"/>
      <c r="AE211" s="754"/>
      <c r="AF211" s="792"/>
      <c r="AG211" s="754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7"/>
      <c r="BV211" s="208"/>
      <c r="BW211" s="208"/>
      <c r="BX211" s="208"/>
      <c r="BY211" s="208"/>
      <c r="BZ211" s="382"/>
      <c r="CA211" s="382"/>
      <c r="CB211" s="382"/>
      <c r="CC211" s="382"/>
      <c r="CD211" s="382"/>
      <c r="CE211" s="382"/>
      <c r="CF211" s="382"/>
      <c r="CG211" s="382"/>
      <c r="CH211" s="382"/>
      <c r="CI211" s="382"/>
      <c r="CJ211" s="382"/>
      <c r="CK211" s="382"/>
      <c r="CL211" s="382"/>
      <c r="CM211" s="382"/>
      <c r="CN211" s="382"/>
      <c r="CO211" s="382"/>
      <c r="CP211" s="382"/>
      <c r="CQ211" s="382"/>
      <c r="CR211" s="382"/>
      <c r="CS211" s="382"/>
      <c r="CT211" s="382"/>
      <c r="CU211" s="382"/>
      <c r="CV211" s="382"/>
      <c r="CW211" s="189"/>
      <c r="CX211" s="382"/>
      <c r="CY211" s="382"/>
      <c r="CZ211" s="382"/>
      <c r="DA211" s="382"/>
      <c r="DB211" s="382"/>
      <c r="DC211" s="382"/>
      <c r="DD211" s="382"/>
      <c r="DE211" s="382"/>
      <c r="DF211" s="382"/>
      <c r="DG211" s="382"/>
      <c r="DH211" s="382"/>
      <c r="DI211" s="382"/>
      <c r="DJ211" s="382"/>
      <c r="DK211" s="382"/>
      <c r="DL211" s="382"/>
      <c r="DM211" s="382"/>
      <c r="DN211" s="382"/>
      <c r="DO211" s="382"/>
      <c r="DP211" s="208"/>
      <c r="DQ211" s="208"/>
      <c r="DR211" s="208"/>
      <c r="DS211" s="208"/>
      <c r="DT211" s="208"/>
      <c r="DU211" s="208"/>
      <c r="DV211" s="208"/>
      <c r="DW211" s="208"/>
      <c r="DX211" s="208"/>
      <c r="DY211" s="208"/>
      <c r="DZ211" s="741"/>
    </row>
    <row r="212" spans="2:130" s="186" customFormat="1" ht="14.25" customHeight="1" x14ac:dyDescent="0.2">
      <c r="D212" s="738"/>
      <c r="E212" s="739"/>
      <c r="F212" s="794"/>
      <c r="G212" s="795"/>
      <c r="H212" s="739"/>
      <c r="I212" s="739"/>
      <c r="J212" s="754"/>
      <c r="K212" s="739"/>
      <c r="L212" s="754"/>
      <c r="M212" s="739"/>
      <c r="N212" s="754"/>
      <c r="O212" s="739"/>
      <c r="P212" s="754"/>
      <c r="Q212" s="739"/>
      <c r="R212" s="739"/>
      <c r="S212" s="224"/>
      <c r="T212" s="739"/>
      <c r="U212" s="754"/>
      <c r="V212" s="739"/>
      <c r="W212" s="754"/>
      <c r="X212" s="739"/>
      <c r="Y212" s="754"/>
      <c r="Z212" s="739"/>
      <c r="AA212" s="754"/>
      <c r="AB212" s="739"/>
      <c r="AC212" s="754"/>
      <c r="AD212" s="796"/>
      <c r="AE212" s="754"/>
      <c r="AF212" s="796"/>
      <c r="AG212" s="754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7"/>
      <c r="BV212" s="208"/>
      <c r="BW212" s="208"/>
      <c r="BX212" s="208"/>
      <c r="BY212" s="208"/>
      <c r="BZ212" s="382"/>
      <c r="CA212" s="382"/>
      <c r="CB212" s="382"/>
      <c r="CC212" s="382"/>
      <c r="CD212" s="382"/>
      <c r="CE212" s="382"/>
      <c r="CF212" s="382"/>
      <c r="CG212" s="382"/>
      <c r="CH212" s="382"/>
      <c r="CI212" s="382"/>
      <c r="CJ212" s="382"/>
      <c r="CK212" s="382"/>
      <c r="CL212" s="382"/>
      <c r="CM212" s="382"/>
      <c r="CN212" s="382"/>
      <c r="CO212" s="382"/>
      <c r="CP212" s="382"/>
      <c r="CQ212" s="382"/>
      <c r="CR212" s="382"/>
      <c r="CS212" s="382"/>
      <c r="CT212" s="382"/>
      <c r="CU212" s="382"/>
      <c r="CV212" s="382"/>
      <c r="CW212" s="189"/>
      <c r="CX212" s="382"/>
      <c r="CY212" s="382"/>
      <c r="CZ212" s="382"/>
      <c r="DA212" s="382"/>
      <c r="DB212" s="382"/>
      <c r="DC212" s="382"/>
      <c r="DD212" s="382"/>
      <c r="DE212" s="382"/>
      <c r="DF212" s="382"/>
      <c r="DG212" s="382"/>
      <c r="DH212" s="382"/>
      <c r="DI212" s="382"/>
      <c r="DJ212" s="382"/>
      <c r="DK212" s="382"/>
      <c r="DL212" s="382"/>
      <c r="DM212" s="382"/>
      <c r="DN212" s="382"/>
      <c r="DO212" s="382"/>
      <c r="DP212" s="208"/>
      <c r="DQ212" s="208"/>
      <c r="DR212" s="208"/>
      <c r="DS212" s="208"/>
      <c r="DT212" s="208"/>
      <c r="DU212" s="208"/>
      <c r="DV212" s="208"/>
      <c r="DW212" s="208"/>
      <c r="DX212" s="208"/>
      <c r="DY212" s="208"/>
      <c r="DZ212" s="741"/>
    </row>
    <row r="213" spans="2:130" s="186" customFormat="1" ht="14.25" customHeight="1" x14ac:dyDescent="0.2">
      <c r="D213" s="738"/>
      <c r="E213" s="741"/>
      <c r="F213" s="794"/>
      <c r="G213" s="738"/>
      <c r="H213" s="739"/>
      <c r="I213" s="739"/>
      <c r="J213" s="754"/>
      <c r="K213" s="739"/>
      <c r="L213" s="754"/>
      <c r="M213" s="739"/>
      <c r="N213" s="754"/>
      <c r="O213" s="739"/>
      <c r="P213" s="754"/>
      <c r="Q213" s="739"/>
      <c r="R213" s="739"/>
      <c r="S213" s="224"/>
      <c r="T213" s="739"/>
      <c r="U213" s="754"/>
      <c r="V213" s="739"/>
      <c r="W213" s="754"/>
      <c r="X213" s="739"/>
      <c r="Y213" s="754"/>
      <c r="Z213" s="739"/>
      <c r="AA213" s="754"/>
      <c r="AB213" s="739"/>
      <c r="AC213" s="754"/>
      <c r="AD213" s="739"/>
      <c r="AE213" s="754"/>
      <c r="AF213" s="739"/>
      <c r="AG213" s="754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7"/>
      <c r="BV213" s="208"/>
      <c r="BW213" s="208"/>
      <c r="BX213" s="208"/>
      <c r="BY213" s="208"/>
      <c r="BZ213" s="382"/>
      <c r="CA213" s="382"/>
      <c r="CB213" s="382"/>
      <c r="CC213" s="382"/>
      <c r="CD213" s="382"/>
      <c r="CE213" s="382"/>
      <c r="CF213" s="382"/>
      <c r="CG213" s="382"/>
      <c r="CH213" s="382"/>
      <c r="CI213" s="382"/>
      <c r="CJ213" s="382"/>
      <c r="CK213" s="382"/>
      <c r="CL213" s="382"/>
      <c r="CM213" s="382"/>
      <c r="CN213" s="382"/>
      <c r="CO213" s="382"/>
      <c r="CP213" s="382"/>
      <c r="CQ213" s="382"/>
      <c r="CR213" s="382"/>
      <c r="CS213" s="382"/>
      <c r="CT213" s="382"/>
      <c r="CU213" s="382"/>
      <c r="CV213" s="382"/>
      <c r="CW213" s="189"/>
      <c r="CX213" s="382"/>
      <c r="CY213" s="382"/>
      <c r="CZ213" s="382"/>
      <c r="DA213" s="382"/>
      <c r="DB213" s="382"/>
      <c r="DC213" s="382"/>
      <c r="DD213" s="382"/>
      <c r="DE213" s="382"/>
      <c r="DF213" s="382"/>
      <c r="DG213" s="382"/>
      <c r="DH213" s="382"/>
      <c r="DI213" s="382"/>
      <c r="DJ213" s="382"/>
      <c r="DK213" s="382"/>
      <c r="DL213" s="382"/>
      <c r="DM213" s="382"/>
      <c r="DN213" s="382"/>
      <c r="DO213" s="382"/>
      <c r="DP213" s="208"/>
      <c r="DQ213" s="208"/>
      <c r="DR213" s="208"/>
      <c r="DS213" s="208"/>
      <c r="DT213" s="208"/>
      <c r="DU213" s="208"/>
      <c r="DV213" s="208"/>
      <c r="DW213" s="208"/>
      <c r="DX213" s="208"/>
      <c r="DY213" s="208"/>
      <c r="DZ213" s="741"/>
    </row>
    <row r="214" spans="2:130" s="186" customFormat="1" ht="14.25" customHeight="1" x14ac:dyDescent="0.2">
      <c r="D214" s="738"/>
      <c r="E214" s="741"/>
      <c r="F214" s="794"/>
      <c r="G214" s="795"/>
      <c r="H214" s="739"/>
      <c r="I214" s="739"/>
      <c r="J214" s="754"/>
      <c r="K214" s="739"/>
      <c r="L214" s="754"/>
      <c r="M214" s="739"/>
      <c r="N214" s="754"/>
      <c r="O214" s="739"/>
      <c r="P214" s="754"/>
      <c r="Q214" s="739"/>
      <c r="R214" s="739"/>
      <c r="S214" s="224"/>
      <c r="T214" s="739"/>
      <c r="U214" s="754"/>
      <c r="V214" s="739"/>
      <c r="W214" s="754"/>
      <c r="X214" s="739"/>
      <c r="Y214" s="754"/>
      <c r="Z214" s="739"/>
      <c r="AA214" s="754"/>
      <c r="AB214" s="739"/>
      <c r="AC214" s="754"/>
      <c r="AD214" s="739"/>
      <c r="AE214" s="754"/>
      <c r="AF214" s="739"/>
      <c r="AG214" s="754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7"/>
      <c r="BV214" s="208"/>
      <c r="BW214" s="208"/>
      <c r="BX214" s="208"/>
      <c r="BY214" s="208"/>
      <c r="BZ214" s="382"/>
      <c r="CA214" s="382"/>
      <c r="CB214" s="382"/>
      <c r="CC214" s="382"/>
      <c r="CD214" s="382"/>
      <c r="CE214" s="382"/>
      <c r="CF214" s="382"/>
      <c r="CG214" s="382"/>
      <c r="CH214" s="382"/>
      <c r="CI214" s="382"/>
      <c r="CJ214" s="382"/>
      <c r="CK214" s="382"/>
      <c r="CL214" s="382"/>
      <c r="CM214" s="382"/>
      <c r="CN214" s="382"/>
      <c r="CO214" s="382"/>
      <c r="CP214" s="382"/>
      <c r="CQ214" s="382"/>
      <c r="CR214" s="382"/>
      <c r="CS214" s="382"/>
      <c r="CT214" s="382"/>
      <c r="CU214" s="382"/>
      <c r="CV214" s="382"/>
      <c r="CW214" s="189"/>
      <c r="CX214" s="382"/>
      <c r="CY214" s="382"/>
      <c r="CZ214" s="382"/>
      <c r="DA214" s="382"/>
      <c r="DB214" s="382"/>
      <c r="DC214" s="382"/>
      <c r="DD214" s="382"/>
      <c r="DE214" s="382"/>
      <c r="DF214" s="382"/>
      <c r="DG214" s="382"/>
      <c r="DH214" s="382"/>
      <c r="DI214" s="382"/>
      <c r="DJ214" s="382"/>
      <c r="DK214" s="382"/>
      <c r="DL214" s="382"/>
      <c r="DM214" s="382"/>
      <c r="DN214" s="382"/>
      <c r="DO214" s="382"/>
      <c r="DP214" s="208"/>
      <c r="DQ214" s="208"/>
      <c r="DR214" s="208"/>
      <c r="DS214" s="208"/>
      <c r="DT214" s="208"/>
      <c r="DU214" s="208"/>
      <c r="DV214" s="208"/>
      <c r="DW214" s="208"/>
      <c r="DX214" s="208"/>
      <c r="DY214" s="208"/>
      <c r="DZ214" s="741"/>
    </row>
    <row r="215" spans="2:130" s="186" customFormat="1" ht="14.25" customHeight="1" x14ac:dyDescent="0.2">
      <c r="B215" s="1691"/>
      <c r="C215" s="1691"/>
      <c r="D215" s="738"/>
      <c r="E215" s="741"/>
      <c r="F215" s="794"/>
      <c r="G215" s="738"/>
      <c r="H215" s="739"/>
      <c r="I215" s="739"/>
      <c r="J215" s="754"/>
      <c r="K215" s="739"/>
      <c r="L215" s="754"/>
      <c r="M215" s="739"/>
      <c r="N215" s="754"/>
      <c r="O215" s="739"/>
      <c r="P215" s="754"/>
      <c r="Q215" s="739"/>
      <c r="R215" s="739"/>
      <c r="S215" s="224"/>
      <c r="T215" s="739"/>
      <c r="U215" s="754"/>
      <c r="V215" s="739"/>
      <c r="W215" s="754"/>
      <c r="X215" s="739"/>
      <c r="Y215" s="754"/>
      <c r="Z215" s="739"/>
      <c r="AA215" s="754"/>
      <c r="AB215" s="739"/>
      <c r="AC215" s="754"/>
      <c r="AD215" s="792"/>
      <c r="AE215" s="754"/>
      <c r="AF215" s="739"/>
      <c r="AG215" s="754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7"/>
      <c r="BV215" s="208"/>
      <c r="BW215" s="208"/>
      <c r="BX215" s="208"/>
      <c r="BY215" s="208"/>
      <c r="BZ215" s="382"/>
      <c r="CA215" s="382"/>
      <c r="CB215" s="382"/>
      <c r="CC215" s="382"/>
      <c r="CD215" s="382"/>
      <c r="CE215" s="382"/>
      <c r="CF215" s="382"/>
      <c r="CG215" s="382"/>
      <c r="CH215" s="382"/>
      <c r="CI215" s="382"/>
      <c r="CJ215" s="382"/>
      <c r="CK215" s="382"/>
      <c r="CL215" s="382"/>
      <c r="CM215" s="382"/>
      <c r="CN215" s="382"/>
      <c r="CO215" s="382"/>
      <c r="CP215" s="382"/>
      <c r="CQ215" s="382"/>
      <c r="CR215" s="382"/>
      <c r="CS215" s="382"/>
      <c r="CT215" s="382"/>
      <c r="CU215" s="382"/>
      <c r="CV215" s="382"/>
      <c r="CW215" s="919"/>
      <c r="CX215" s="382"/>
      <c r="CY215" s="382"/>
      <c r="CZ215" s="382"/>
      <c r="DA215" s="382"/>
      <c r="DB215" s="382"/>
      <c r="DC215" s="382"/>
      <c r="DD215" s="382"/>
      <c r="DE215" s="382"/>
      <c r="DF215" s="382"/>
      <c r="DG215" s="382"/>
      <c r="DH215" s="382"/>
      <c r="DI215" s="382"/>
      <c r="DJ215" s="382"/>
      <c r="DK215" s="382"/>
      <c r="DL215" s="382"/>
      <c r="DM215" s="382"/>
      <c r="DN215" s="382"/>
      <c r="DO215" s="382"/>
      <c r="DP215" s="208"/>
      <c r="DQ215" s="208"/>
      <c r="DR215" s="208"/>
      <c r="DS215" s="208"/>
      <c r="DT215" s="208"/>
      <c r="DU215" s="208"/>
      <c r="DV215" s="208"/>
      <c r="DW215" s="208"/>
      <c r="DX215" s="208"/>
      <c r="DY215" s="208"/>
      <c r="DZ215" s="741"/>
    </row>
    <row r="216" spans="2:130" s="186" customFormat="1" ht="14.25" customHeight="1" x14ac:dyDescent="0.2">
      <c r="B216" s="1691"/>
      <c r="C216" s="1691"/>
      <c r="D216" s="738"/>
      <c r="E216" s="741"/>
      <c r="F216" s="794"/>
      <c r="G216" s="738"/>
      <c r="H216" s="739"/>
      <c r="I216" s="739"/>
      <c r="J216" s="754"/>
      <c r="K216" s="739"/>
      <c r="L216" s="754"/>
      <c r="M216" s="739"/>
      <c r="N216" s="754"/>
      <c r="O216" s="739"/>
      <c r="P216" s="754"/>
      <c r="Q216" s="739"/>
      <c r="R216" s="739"/>
      <c r="S216" s="224"/>
      <c r="T216" s="739"/>
      <c r="U216" s="754"/>
      <c r="V216" s="739"/>
      <c r="W216" s="754"/>
      <c r="X216" s="739"/>
      <c r="Y216" s="754"/>
      <c r="Z216" s="739"/>
      <c r="AA216" s="754"/>
      <c r="AB216" s="739"/>
      <c r="AC216" s="754"/>
      <c r="AD216" s="792"/>
      <c r="AE216" s="754"/>
      <c r="AF216" s="739"/>
      <c r="AG216" s="754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7"/>
      <c r="BV216" s="208"/>
      <c r="BW216" s="208"/>
      <c r="BX216" s="208"/>
      <c r="BY216" s="208"/>
      <c r="BZ216" s="382"/>
      <c r="CA216" s="382"/>
      <c r="CB216" s="382"/>
      <c r="CC216" s="382"/>
      <c r="CD216" s="382"/>
      <c r="CE216" s="382"/>
      <c r="CF216" s="382"/>
      <c r="CG216" s="382"/>
      <c r="CH216" s="382"/>
      <c r="CI216" s="382"/>
      <c r="CJ216" s="382"/>
      <c r="CK216" s="382"/>
      <c r="CL216" s="382"/>
      <c r="CM216" s="382"/>
      <c r="CN216" s="382"/>
      <c r="CO216" s="382"/>
      <c r="CP216" s="382"/>
      <c r="CQ216" s="382"/>
      <c r="CR216" s="382"/>
      <c r="CS216" s="382"/>
      <c r="CT216" s="382"/>
      <c r="CU216" s="382"/>
      <c r="CV216" s="382"/>
      <c r="CW216" s="919"/>
      <c r="CX216" s="382"/>
      <c r="CY216" s="382"/>
      <c r="CZ216" s="382"/>
      <c r="DA216" s="382"/>
      <c r="DB216" s="382"/>
      <c r="DC216" s="382"/>
      <c r="DD216" s="382"/>
      <c r="DE216" s="382"/>
      <c r="DF216" s="382"/>
      <c r="DG216" s="382"/>
      <c r="DH216" s="382"/>
      <c r="DI216" s="382"/>
      <c r="DJ216" s="382"/>
      <c r="DK216" s="382"/>
      <c r="DL216" s="382"/>
      <c r="DM216" s="382"/>
      <c r="DN216" s="382"/>
      <c r="DO216" s="382"/>
      <c r="DP216" s="208"/>
      <c r="DQ216" s="208"/>
      <c r="DR216" s="208"/>
      <c r="DS216" s="208"/>
      <c r="DT216" s="208"/>
      <c r="DU216" s="208"/>
      <c r="DV216" s="208"/>
      <c r="DW216" s="208"/>
      <c r="DX216" s="208"/>
      <c r="DY216" s="208"/>
      <c r="DZ216" s="741"/>
    </row>
    <row r="217" spans="2:130" s="186" customFormat="1" ht="14.25" customHeight="1" x14ac:dyDescent="0.2">
      <c r="B217" s="797"/>
      <c r="C217" s="797"/>
      <c r="D217" s="797"/>
      <c r="E217" s="796"/>
      <c r="F217" s="739"/>
      <c r="G217" s="798"/>
      <c r="H217" s="798"/>
      <c r="I217" s="798"/>
      <c r="J217" s="798"/>
      <c r="K217" s="798"/>
      <c r="L217" s="798"/>
      <c r="M217" s="798"/>
      <c r="N217" s="798"/>
      <c r="O217" s="798"/>
      <c r="P217" s="798"/>
      <c r="Q217" s="798"/>
      <c r="R217" s="798"/>
      <c r="S217" s="799"/>
      <c r="T217" s="798"/>
      <c r="U217" s="798"/>
      <c r="V217" s="798"/>
      <c r="W217" s="798"/>
      <c r="X217" s="798"/>
      <c r="Y217" s="798"/>
      <c r="Z217" s="798"/>
      <c r="AA217" s="798"/>
      <c r="AB217" s="798"/>
      <c r="AC217" s="798"/>
      <c r="AD217" s="798"/>
      <c r="AE217" s="798"/>
      <c r="AF217" s="798"/>
      <c r="AG217" s="79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7"/>
      <c r="BV217" s="208"/>
      <c r="BW217" s="208"/>
      <c r="BX217" s="208"/>
      <c r="BY217" s="208"/>
      <c r="BZ217" s="382"/>
      <c r="CA217" s="382"/>
      <c r="CB217" s="382"/>
      <c r="CC217" s="382"/>
      <c r="CD217" s="382"/>
      <c r="CE217" s="382"/>
      <c r="CF217" s="382"/>
      <c r="CG217" s="382"/>
      <c r="CH217" s="382"/>
      <c r="CI217" s="382"/>
      <c r="CJ217" s="382"/>
      <c r="CK217" s="382"/>
      <c r="CL217" s="382"/>
      <c r="CM217" s="382"/>
      <c r="CN217" s="382"/>
      <c r="CO217" s="382"/>
      <c r="CP217" s="382"/>
      <c r="CQ217" s="382"/>
      <c r="CR217" s="382"/>
      <c r="CS217" s="382"/>
      <c r="CT217" s="382"/>
      <c r="CU217" s="382"/>
      <c r="CV217" s="382"/>
      <c r="CW217" s="800"/>
      <c r="CX217" s="382"/>
      <c r="CY217" s="382"/>
      <c r="CZ217" s="382"/>
      <c r="DA217" s="382"/>
      <c r="DB217" s="382"/>
      <c r="DC217" s="382"/>
      <c r="DD217" s="382"/>
      <c r="DE217" s="382"/>
      <c r="DF217" s="382"/>
      <c r="DG217" s="382"/>
      <c r="DH217" s="382"/>
      <c r="DI217" s="382"/>
      <c r="DJ217" s="382"/>
      <c r="DK217" s="382"/>
      <c r="DL217" s="382"/>
      <c r="DM217" s="382"/>
      <c r="DN217" s="382"/>
      <c r="DO217" s="382"/>
      <c r="DP217" s="208"/>
      <c r="DQ217" s="208"/>
      <c r="DR217" s="208"/>
      <c r="DS217" s="208"/>
      <c r="DT217" s="208"/>
      <c r="DU217" s="208"/>
      <c r="DV217" s="208"/>
      <c r="DW217" s="208"/>
      <c r="DX217" s="208"/>
      <c r="DY217" s="208"/>
      <c r="DZ217" s="741"/>
    </row>
    <row r="218" spans="2:130" s="186" customFormat="1" ht="14.25" customHeight="1" x14ac:dyDescent="0.2">
      <c r="B218" s="797"/>
      <c r="C218" s="797"/>
      <c r="D218" s="797"/>
      <c r="E218" s="739"/>
      <c r="F218" s="739"/>
      <c r="G218" s="779"/>
      <c r="H218" s="779"/>
      <c r="I218" s="779"/>
      <c r="J218" s="779"/>
      <c r="K218" s="779"/>
      <c r="L218" s="779"/>
      <c r="M218" s="779"/>
      <c r="N218" s="779"/>
      <c r="O218" s="779"/>
      <c r="P218" s="779"/>
      <c r="Q218" s="779"/>
      <c r="R218" s="779"/>
      <c r="S218" s="801"/>
      <c r="T218" s="779"/>
      <c r="U218" s="779"/>
      <c r="V218" s="779"/>
      <c r="W218" s="779"/>
      <c r="X218" s="779"/>
      <c r="Y218" s="779"/>
      <c r="Z218" s="779"/>
      <c r="AA218" s="779"/>
      <c r="AB218" s="779"/>
      <c r="AC218" s="779"/>
      <c r="AD218" s="779"/>
      <c r="AE218" s="779"/>
      <c r="AF218" s="779"/>
      <c r="AG218" s="779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7"/>
      <c r="BV218" s="208"/>
      <c r="BW218" s="208"/>
      <c r="BX218" s="208"/>
      <c r="BY218" s="208"/>
      <c r="BZ218" s="382"/>
      <c r="CA218" s="382"/>
      <c r="CB218" s="382"/>
      <c r="CC218" s="382"/>
      <c r="CD218" s="382"/>
      <c r="CE218" s="382"/>
      <c r="CF218" s="382"/>
      <c r="CG218" s="382"/>
      <c r="CH218" s="382"/>
      <c r="CI218" s="382"/>
      <c r="CJ218" s="382"/>
      <c r="CK218" s="382"/>
      <c r="CL218" s="382"/>
      <c r="CM218" s="382"/>
      <c r="CN218" s="382"/>
      <c r="CO218" s="382"/>
      <c r="CP218" s="382"/>
      <c r="CQ218" s="382"/>
      <c r="CR218" s="382"/>
      <c r="CS218" s="382"/>
      <c r="CT218" s="382"/>
      <c r="CU218" s="382"/>
      <c r="CV218" s="382"/>
      <c r="CW218" s="800"/>
      <c r="CX218" s="382"/>
      <c r="CY218" s="382"/>
      <c r="CZ218" s="382"/>
      <c r="DA218" s="382"/>
      <c r="DB218" s="382"/>
      <c r="DC218" s="382"/>
      <c r="DD218" s="382"/>
      <c r="DE218" s="382"/>
      <c r="DF218" s="382"/>
      <c r="DG218" s="382"/>
      <c r="DH218" s="382"/>
      <c r="DI218" s="382"/>
      <c r="DJ218" s="382"/>
      <c r="DK218" s="382"/>
      <c r="DL218" s="382"/>
      <c r="DM218" s="382"/>
      <c r="DN218" s="382"/>
      <c r="DO218" s="382"/>
      <c r="DP218" s="208"/>
      <c r="DQ218" s="208"/>
      <c r="DR218" s="208"/>
      <c r="DS218" s="208"/>
      <c r="DT218" s="208"/>
      <c r="DU218" s="208"/>
      <c r="DV218" s="208"/>
      <c r="DW218" s="208"/>
      <c r="DX218" s="208"/>
      <c r="DY218" s="208"/>
      <c r="DZ218" s="741"/>
    </row>
    <row r="219" spans="2:130" s="186" customFormat="1" ht="14.25" customHeight="1" x14ac:dyDescent="0.2">
      <c r="B219" s="797"/>
      <c r="C219" s="797"/>
      <c r="D219" s="797"/>
      <c r="E219" s="739"/>
      <c r="F219" s="739"/>
      <c r="G219" s="779"/>
      <c r="H219" s="779"/>
      <c r="I219" s="779"/>
      <c r="J219" s="779"/>
      <c r="K219" s="779"/>
      <c r="L219" s="779"/>
      <c r="M219" s="779"/>
      <c r="N219" s="779"/>
      <c r="O219" s="779"/>
      <c r="P219" s="779"/>
      <c r="Q219" s="779"/>
      <c r="R219" s="779"/>
      <c r="S219" s="801"/>
      <c r="T219" s="779"/>
      <c r="U219" s="779"/>
      <c r="V219" s="779"/>
      <c r="W219" s="779"/>
      <c r="X219" s="779"/>
      <c r="Y219" s="779"/>
      <c r="Z219" s="779"/>
      <c r="AA219" s="779"/>
      <c r="AB219" s="779"/>
      <c r="AC219" s="779"/>
      <c r="AD219" s="779"/>
      <c r="AE219" s="779"/>
      <c r="AF219" s="779"/>
      <c r="AG219" s="779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7"/>
      <c r="BV219" s="208"/>
      <c r="BW219" s="208"/>
      <c r="BX219" s="208"/>
      <c r="BY219" s="208"/>
      <c r="BZ219" s="382"/>
      <c r="CA219" s="382"/>
      <c r="CB219" s="382"/>
      <c r="CC219" s="382"/>
      <c r="CD219" s="382"/>
      <c r="CE219" s="382"/>
      <c r="CF219" s="382"/>
      <c r="CG219" s="382"/>
      <c r="CH219" s="382"/>
      <c r="CI219" s="382"/>
      <c r="CJ219" s="382"/>
      <c r="CK219" s="382"/>
      <c r="CL219" s="382"/>
      <c r="CM219" s="382"/>
      <c r="CN219" s="382"/>
      <c r="CO219" s="382"/>
      <c r="CP219" s="382"/>
      <c r="CQ219" s="382"/>
      <c r="CR219" s="382"/>
      <c r="CS219" s="382"/>
      <c r="CT219" s="382"/>
      <c r="CU219" s="382"/>
      <c r="CV219" s="382"/>
      <c r="CW219" s="800"/>
      <c r="CX219" s="382"/>
      <c r="CY219" s="382"/>
      <c r="CZ219" s="382"/>
      <c r="DA219" s="382"/>
      <c r="DB219" s="382"/>
      <c r="DC219" s="382"/>
      <c r="DD219" s="382"/>
      <c r="DE219" s="382"/>
      <c r="DF219" s="382"/>
      <c r="DG219" s="382"/>
      <c r="DH219" s="382"/>
      <c r="DI219" s="382"/>
      <c r="DJ219" s="382"/>
      <c r="DK219" s="382"/>
      <c r="DL219" s="382"/>
      <c r="DM219" s="382"/>
      <c r="DN219" s="382"/>
      <c r="DO219" s="382"/>
      <c r="DP219" s="208"/>
      <c r="DQ219" s="208"/>
      <c r="DR219" s="208"/>
      <c r="DS219" s="208"/>
      <c r="DT219" s="208"/>
      <c r="DU219" s="208"/>
      <c r="DV219" s="208"/>
      <c r="DW219" s="208"/>
      <c r="DX219" s="208"/>
      <c r="DY219" s="208"/>
      <c r="DZ219" s="741"/>
    </row>
    <row r="220" spans="2:130" s="186" customFormat="1" ht="14.25" customHeight="1" x14ac:dyDescent="0.2">
      <c r="B220" s="797"/>
      <c r="C220" s="797"/>
      <c r="D220" s="797"/>
      <c r="E220" s="739"/>
      <c r="F220" s="739"/>
      <c r="G220" s="779"/>
      <c r="H220" s="779"/>
      <c r="I220" s="779"/>
      <c r="J220" s="779"/>
      <c r="K220" s="779"/>
      <c r="L220" s="779"/>
      <c r="M220" s="779"/>
      <c r="N220" s="779"/>
      <c r="O220" s="779"/>
      <c r="P220" s="779"/>
      <c r="Q220" s="779"/>
      <c r="R220" s="779"/>
      <c r="S220" s="801"/>
      <c r="T220" s="779"/>
      <c r="U220" s="779"/>
      <c r="V220" s="779"/>
      <c r="W220" s="779"/>
      <c r="X220" s="779"/>
      <c r="Y220" s="779"/>
      <c r="Z220" s="779"/>
      <c r="AA220" s="779"/>
      <c r="AB220" s="779"/>
      <c r="AC220" s="779"/>
      <c r="AD220" s="779"/>
      <c r="AE220" s="779"/>
      <c r="AF220" s="779"/>
      <c r="AG220" s="779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7"/>
      <c r="BV220" s="208"/>
      <c r="BW220" s="208"/>
      <c r="BX220" s="208"/>
      <c r="BY220" s="208"/>
      <c r="BZ220" s="382"/>
      <c r="CA220" s="382"/>
      <c r="CB220" s="382"/>
      <c r="CC220" s="382"/>
      <c r="CD220" s="382"/>
      <c r="CE220" s="382"/>
      <c r="CF220" s="382"/>
      <c r="CG220" s="382"/>
      <c r="CH220" s="382"/>
      <c r="CI220" s="382"/>
      <c r="CJ220" s="382"/>
      <c r="CK220" s="382"/>
      <c r="CL220" s="382"/>
      <c r="CM220" s="382"/>
      <c r="CN220" s="382"/>
      <c r="CO220" s="382"/>
      <c r="CP220" s="382"/>
      <c r="CQ220" s="382"/>
      <c r="CR220" s="382"/>
      <c r="CS220" s="382"/>
      <c r="CT220" s="382"/>
      <c r="CU220" s="382"/>
      <c r="CV220" s="382"/>
      <c r="CW220" s="800"/>
      <c r="CX220" s="382"/>
      <c r="CY220" s="382"/>
      <c r="CZ220" s="382"/>
      <c r="DA220" s="382"/>
      <c r="DB220" s="382"/>
      <c r="DC220" s="382"/>
      <c r="DD220" s="382"/>
      <c r="DE220" s="382"/>
      <c r="DF220" s="382"/>
      <c r="DG220" s="382"/>
      <c r="DH220" s="382"/>
      <c r="DI220" s="382"/>
      <c r="DJ220" s="382"/>
      <c r="DK220" s="382"/>
      <c r="DL220" s="382"/>
      <c r="DM220" s="382"/>
      <c r="DN220" s="382"/>
      <c r="DO220" s="382"/>
      <c r="DP220" s="208"/>
      <c r="DQ220" s="208"/>
      <c r="DR220" s="208"/>
      <c r="DS220" s="208"/>
      <c r="DT220" s="208"/>
      <c r="DU220" s="208"/>
      <c r="DV220" s="208"/>
      <c r="DW220" s="208"/>
      <c r="DX220" s="208"/>
      <c r="DY220" s="208"/>
      <c r="DZ220" s="741"/>
    </row>
    <row r="221" spans="2:130" s="186" customFormat="1" ht="14.25" customHeight="1" x14ac:dyDescent="0.2">
      <c r="B221" s="797"/>
      <c r="C221" s="797"/>
      <c r="D221" s="797"/>
      <c r="E221" s="739"/>
      <c r="F221" s="739"/>
      <c r="G221" s="779"/>
      <c r="H221" s="779"/>
      <c r="I221" s="779"/>
      <c r="J221" s="779"/>
      <c r="K221" s="779"/>
      <c r="L221" s="779"/>
      <c r="M221" s="779"/>
      <c r="N221" s="779"/>
      <c r="O221" s="779"/>
      <c r="P221" s="779"/>
      <c r="Q221" s="779"/>
      <c r="R221" s="779"/>
      <c r="S221" s="801"/>
      <c r="T221" s="779"/>
      <c r="U221" s="779"/>
      <c r="V221" s="779"/>
      <c r="W221" s="779"/>
      <c r="X221" s="779"/>
      <c r="Y221" s="779"/>
      <c r="Z221" s="779"/>
      <c r="AA221" s="779"/>
      <c r="AB221" s="779"/>
      <c r="AC221" s="779"/>
      <c r="AD221" s="779"/>
      <c r="AE221" s="779"/>
      <c r="AF221" s="779"/>
      <c r="AG221" s="779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7"/>
      <c r="BV221" s="208"/>
      <c r="BW221" s="208"/>
      <c r="BX221" s="208"/>
      <c r="BY221" s="208"/>
      <c r="BZ221" s="382"/>
      <c r="CA221" s="382"/>
      <c r="CB221" s="382"/>
      <c r="CC221" s="382"/>
      <c r="CD221" s="382"/>
      <c r="CE221" s="382"/>
      <c r="CF221" s="382"/>
      <c r="CG221" s="382"/>
      <c r="CH221" s="382"/>
      <c r="CI221" s="382"/>
      <c r="CJ221" s="382"/>
      <c r="CK221" s="382"/>
      <c r="CL221" s="382"/>
      <c r="CM221" s="382"/>
      <c r="CN221" s="382"/>
      <c r="CO221" s="382"/>
      <c r="CP221" s="382"/>
      <c r="CQ221" s="382"/>
      <c r="CR221" s="382"/>
      <c r="CS221" s="382"/>
      <c r="CT221" s="382"/>
      <c r="CU221" s="382"/>
      <c r="CV221" s="382"/>
      <c r="CW221" s="800"/>
      <c r="CX221" s="382"/>
      <c r="CY221" s="382"/>
      <c r="CZ221" s="382"/>
      <c r="DA221" s="382"/>
      <c r="DB221" s="382"/>
      <c r="DC221" s="382"/>
      <c r="DD221" s="382"/>
      <c r="DE221" s="382"/>
      <c r="DF221" s="382"/>
      <c r="DG221" s="382"/>
      <c r="DH221" s="382"/>
      <c r="DI221" s="382"/>
      <c r="DJ221" s="382"/>
      <c r="DK221" s="382"/>
      <c r="DL221" s="382"/>
      <c r="DM221" s="382"/>
      <c r="DN221" s="382"/>
      <c r="DO221" s="382"/>
      <c r="DP221" s="208"/>
      <c r="DQ221" s="208"/>
      <c r="DR221" s="208"/>
      <c r="DS221" s="208"/>
      <c r="DT221" s="208"/>
      <c r="DU221" s="208"/>
      <c r="DV221" s="208"/>
      <c r="DW221" s="208"/>
      <c r="DX221" s="208"/>
      <c r="DY221" s="208"/>
      <c r="DZ221" s="741"/>
    </row>
    <row r="222" spans="2:130" s="186" customFormat="1" ht="14.25" customHeight="1" x14ac:dyDescent="0.2">
      <c r="B222" s="797"/>
      <c r="C222" s="797"/>
      <c r="D222" s="797"/>
      <c r="E222" s="739"/>
      <c r="F222" s="739"/>
      <c r="G222" s="779"/>
      <c r="H222" s="779"/>
      <c r="I222" s="779"/>
      <c r="J222" s="779"/>
      <c r="K222" s="779"/>
      <c r="L222" s="779"/>
      <c r="M222" s="779"/>
      <c r="N222" s="779"/>
      <c r="O222" s="779"/>
      <c r="P222" s="779"/>
      <c r="Q222" s="779"/>
      <c r="R222" s="779"/>
      <c r="S222" s="801"/>
      <c r="T222" s="779"/>
      <c r="U222" s="779"/>
      <c r="V222" s="779"/>
      <c r="W222" s="779"/>
      <c r="X222" s="779"/>
      <c r="Y222" s="779"/>
      <c r="Z222" s="779"/>
      <c r="AA222" s="779"/>
      <c r="AB222" s="779"/>
      <c r="AC222" s="779"/>
      <c r="AD222" s="779"/>
      <c r="AE222" s="779"/>
      <c r="AF222" s="779"/>
      <c r="AG222" s="779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7"/>
      <c r="BV222" s="208"/>
      <c r="BW222" s="208"/>
      <c r="BX222" s="208"/>
      <c r="BY222" s="208"/>
      <c r="BZ222" s="382"/>
      <c r="CA222" s="382"/>
      <c r="CB222" s="382"/>
      <c r="CC222" s="382"/>
      <c r="CD222" s="382"/>
      <c r="CE222" s="382"/>
      <c r="CF222" s="382"/>
      <c r="CG222" s="382"/>
      <c r="CH222" s="382"/>
      <c r="CI222" s="382"/>
      <c r="CJ222" s="382"/>
      <c r="CK222" s="382"/>
      <c r="CL222" s="382"/>
      <c r="CM222" s="382"/>
      <c r="CN222" s="382"/>
      <c r="CO222" s="382"/>
      <c r="CP222" s="382"/>
      <c r="CQ222" s="382"/>
      <c r="CR222" s="382"/>
      <c r="CS222" s="382"/>
      <c r="CT222" s="382"/>
      <c r="CU222" s="382"/>
      <c r="CV222" s="382"/>
      <c r="CW222" s="800"/>
      <c r="CX222" s="382"/>
      <c r="CY222" s="382"/>
      <c r="CZ222" s="382"/>
      <c r="DA222" s="382"/>
      <c r="DB222" s="382"/>
      <c r="DC222" s="382"/>
      <c r="DD222" s="382"/>
      <c r="DE222" s="382"/>
      <c r="DF222" s="382"/>
      <c r="DG222" s="382"/>
      <c r="DH222" s="382"/>
      <c r="DI222" s="382"/>
      <c r="DJ222" s="382"/>
      <c r="DK222" s="382"/>
      <c r="DL222" s="382"/>
      <c r="DM222" s="382"/>
      <c r="DN222" s="382"/>
      <c r="DO222" s="382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741"/>
    </row>
    <row r="223" spans="2:130" s="186" customFormat="1" ht="14.25" customHeight="1" x14ac:dyDescent="0.2">
      <c r="B223" s="797"/>
      <c r="C223" s="797"/>
      <c r="D223" s="797"/>
      <c r="E223" s="739"/>
      <c r="F223" s="739"/>
      <c r="G223" s="779"/>
      <c r="H223" s="779"/>
      <c r="I223" s="779"/>
      <c r="J223" s="779"/>
      <c r="K223" s="779"/>
      <c r="L223" s="779"/>
      <c r="M223" s="779"/>
      <c r="N223" s="779"/>
      <c r="O223" s="779"/>
      <c r="P223" s="779"/>
      <c r="Q223" s="779"/>
      <c r="R223" s="779"/>
      <c r="S223" s="801"/>
      <c r="T223" s="779"/>
      <c r="U223" s="779"/>
      <c r="V223" s="779"/>
      <c r="W223" s="779"/>
      <c r="X223" s="779"/>
      <c r="Y223" s="779"/>
      <c r="Z223" s="779"/>
      <c r="AA223" s="779"/>
      <c r="AB223" s="779"/>
      <c r="AC223" s="779"/>
      <c r="AD223" s="779"/>
      <c r="AE223" s="779"/>
      <c r="AF223" s="779"/>
      <c r="AG223" s="779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7"/>
      <c r="BV223" s="208"/>
      <c r="BW223" s="208"/>
      <c r="BX223" s="208"/>
      <c r="BY223" s="208"/>
      <c r="BZ223" s="382"/>
      <c r="CA223" s="382"/>
      <c r="CB223" s="382"/>
      <c r="CC223" s="382"/>
      <c r="CD223" s="382"/>
      <c r="CE223" s="382"/>
      <c r="CF223" s="382"/>
      <c r="CG223" s="382"/>
      <c r="CH223" s="382"/>
      <c r="CI223" s="382"/>
      <c r="CJ223" s="382"/>
      <c r="CK223" s="382"/>
      <c r="CL223" s="382"/>
      <c r="CM223" s="382"/>
      <c r="CN223" s="382"/>
      <c r="CO223" s="382"/>
      <c r="CP223" s="382"/>
      <c r="CQ223" s="382"/>
      <c r="CR223" s="382"/>
      <c r="CS223" s="382"/>
      <c r="CT223" s="382"/>
      <c r="CU223" s="382"/>
      <c r="CV223" s="382"/>
      <c r="CW223" s="800"/>
      <c r="CX223" s="382"/>
      <c r="CY223" s="382"/>
      <c r="CZ223" s="382"/>
      <c r="DA223" s="382"/>
      <c r="DB223" s="382"/>
      <c r="DC223" s="382"/>
      <c r="DD223" s="382"/>
      <c r="DE223" s="382"/>
      <c r="DF223" s="382"/>
      <c r="DG223" s="382"/>
      <c r="DH223" s="382"/>
      <c r="DI223" s="382"/>
      <c r="DJ223" s="382"/>
      <c r="DK223" s="382"/>
      <c r="DL223" s="382"/>
      <c r="DM223" s="382"/>
      <c r="DN223" s="382"/>
      <c r="DO223" s="382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741"/>
    </row>
    <row r="224" spans="2:130" s="186" customFormat="1" ht="14.25" customHeight="1" x14ac:dyDescent="0.2">
      <c r="B224" s="797"/>
      <c r="C224" s="797"/>
      <c r="D224" s="797"/>
      <c r="E224" s="739"/>
      <c r="F224" s="739"/>
      <c r="G224" s="779"/>
      <c r="H224" s="779"/>
      <c r="I224" s="779"/>
      <c r="J224" s="779"/>
      <c r="K224" s="779"/>
      <c r="L224" s="779"/>
      <c r="M224" s="779"/>
      <c r="N224" s="779"/>
      <c r="O224" s="779"/>
      <c r="P224" s="779"/>
      <c r="Q224" s="779"/>
      <c r="R224" s="779"/>
      <c r="S224" s="801"/>
      <c r="T224" s="779"/>
      <c r="U224" s="779"/>
      <c r="V224" s="779"/>
      <c r="W224" s="779"/>
      <c r="X224" s="779"/>
      <c r="Y224" s="779"/>
      <c r="Z224" s="779"/>
      <c r="AA224" s="779"/>
      <c r="AB224" s="779"/>
      <c r="AC224" s="779"/>
      <c r="AD224" s="779"/>
      <c r="AE224" s="779"/>
      <c r="AF224" s="779"/>
      <c r="AG224" s="779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7"/>
      <c r="BV224" s="208"/>
      <c r="BW224" s="208"/>
      <c r="BX224" s="208"/>
      <c r="BY224" s="208"/>
      <c r="BZ224" s="382"/>
      <c r="CA224" s="382"/>
      <c r="CB224" s="382"/>
      <c r="CC224" s="382"/>
      <c r="CD224" s="382"/>
      <c r="CE224" s="382"/>
      <c r="CF224" s="382"/>
      <c r="CG224" s="382"/>
      <c r="CH224" s="382"/>
      <c r="CI224" s="382"/>
      <c r="CJ224" s="382"/>
      <c r="CK224" s="382"/>
      <c r="CL224" s="382"/>
      <c r="CM224" s="382"/>
      <c r="CN224" s="382"/>
      <c r="CO224" s="382"/>
      <c r="CP224" s="382"/>
      <c r="CQ224" s="382"/>
      <c r="CR224" s="382"/>
      <c r="CS224" s="382"/>
      <c r="CT224" s="382"/>
      <c r="CU224" s="382"/>
      <c r="CV224" s="382"/>
      <c r="CW224" s="800"/>
      <c r="CX224" s="382"/>
      <c r="CY224" s="382"/>
      <c r="CZ224" s="382"/>
      <c r="DA224" s="382"/>
      <c r="DB224" s="382"/>
      <c r="DC224" s="382"/>
      <c r="DD224" s="382"/>
      <c r="DE224" s="382"/>
      <c r="DF224" s="382"/>
      <c r="DG224" s="382"/>
      <c r="DH224" s="382"/>
      <c r="DI224" s="382"/>
      <c r="DJ224" s="382"/>
      <c r="DK224" s="382"/>
      <c r="DL224" s="382"/>
      <c r="DM224" s="382"/>
      <c r="DN224" s="382"/>
      <c r="DO224" s="382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741"/>
    </row>
    <row r="225" spans="2:130" s="186" customFormat="1" ht="14.25" customHeight="1" x14ac:dyDescent="0.2">
      <c r="B225" s="797"/>
      <c r="C225" s="797"/>
      <c r="D225" s="797"/>
      <c r="E225" s="739"/>
      <c r="F225" s="739"/>
      <c r="G225" s="779"/>
      <c r="H225" s="779"/>
      <c r="I225" s="779"/>
      <c r="J225" s="779"/>
      <c r="K225" s="779"/>
      <c r="L225" s="779"/>
      <c r="M225" s="779"/>
      <c r="N225" s="779"/>
      <c r="O225" s="779"/>
      <c r="P225" s="779"/>
      <c r="Q225" s="779"/>
      <c r="R225" s="779"/>
      <c r="S225" s="801"/>
      <c r="T225" s="779"/>
      <c r="U225" s="779"/>
      <c r="V225" s="779"/>
      <c r="W225" s="779"/>
      <c r="X225" s="779"/>
      <c r="Y225" s="779"/>
      <c r="Z225" s="779"/>
      <c r="AA225" s="779"/>
      <c r="AB225" s="779"/>
      <c r="AC225" s="779"/>
      <c r="AD225" s="779"/>
      <c r="AE225" s="779"/>
      <c r="AF225" s="779"/>
      <c r="AG225" s="779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7"/>
      <c r="BV225" s="208"/>
      <c r="BW225" s="208"/>
      <c r="BX225" s="208"/>
      <c r="BY225" s="208"/>
      <c r="BZ225" s="382"/>
      <c r="CA225" s="382"/>
      <c r="CB225" s="382"/>
      <c r="CC225" s="382"/>
      <c r="CD225" s="382"/>
      <c r="CE225" s="382"/>
      <c r="CF225" s="382"/>
      <c r="CG225" s="382"/>
      <c r="CH225" s="382"/>
      <c r="CI225" s="382"/>
      <c r="CJ225" s="382"/>
      <c r="CK225" s="382"/>
      <c r="CL225" s="382"/>
      <c r="CM225" s="382"/>
      <c r="CN225" s="382"/>
      <c r="CO225" s="382"/>
      <c r="CP225" s="382"/>
      <c r="CQ225" s="382"/>
      <c r="CR225" s="382"/>
      <c r="CS225" s="382"/>
      <c r="CT225" s="382"/>
      <c r="CU225" s="382"/>
      <c r="CV225" s="382"/>
      <c r="CW225" s="800"/>
      <c r="CX225" s="382"/>
      <c r="CY225" s="382"/>
      <c r="CZ225" s="382"/>
      <c r="DA225" s="382"/>
      <c r="DB225" s="382"/>
      <c r="DC225" s="382"/>
      <c r="DD225" s="382"/>
      <c r="DE225" s="382"/>
      <c r="DF225" s="382"/>
      <c r="DG225" s="382"/>
      <c r="DH225" s="382"/>
      <c r="DI225" s="382"/>
      <c r="DJ225" s="382"/>
      <c r="DK225" s="382"/>
      <c r="DL225" s="382"/>
      <c r="DM225" s="382"/>
      <c r="DN225" s="382"/>
      <c r="DO225" s="382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741"/>
    </row>
    <row r="226" spans="2:130" s="186" customFormat="1" ht="14.25" customHeight="1" x14ac:dyDescent="0.2">
      <c r="B226" s="797"/>
      <c r="C226" s="797"/>
      <c r="D226" s="797"/>
      <c r="E226" s="739"/>
      <c r="F226" s="739"/>
      <c r="G226" s="779"/>
      <c r="H226" s="779"/>
      <c r="I226" s="779"/>
      <c r="J226" s="779"/>
      <c r="K226" s="779"/>
      <c r="L226" s="779"/>
      <c r="M226" s="779"/>
      <c r="N226" s="779"/>
      <c r="O226" s="779"/>
      <c r="P226" s="779"/>
      <c r="Q226" s="779"/>
      <c r="R226" s="779"/>
      <c r="S226" s="801"/>
      <c r="T226" s="779"/>
      <c r="U226" s="779"/>
      <c r="V226" s="779"/>
      <c r="W226" s="779"/>
      <c r="X226" s="779"/>
      <c r="Y226" s="779"/>
      <c r="Z226" s="779"/>
      <c r="AA226" s="779"/>
      <c r="AB226" s="779"/>
      <c r="AC226" s="779"/>
      <c r="AD226" s="779"/>
      <c r="AE226" s="779"/>
      <c r="AF226" s="779"/>
      <c r="AG226" s="779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7"/>
      <c r="BV226" s="208"/>
      <c r="BW226" s="208"/>
      <c r="BX226" s="208"/>
      <c r="BY226" s="208"/>
      <c r="BZ226" s="382"/>
      <c r="CA226" s="382"/>
      <c r="CB226" s="382"/>
      <c r="CC226" s="382"/>
      <c r="CD226" s="382"/>
      <c r="CE226" s="382"/>
      <c r="CF226" s="382"/>
      <c r="CG226" s="382"/>
      <c r="CH226" s="382"/>
      <c r="CI226" s="382"/>
      <c r="CJ226" s="382"/>
      <c r="CK226" s="382"/>
      <c r="CL226" s="382"/>
      <c r="CM226" s="382"/>
      <c r="CN226" s="382"/>
      <c r="CO226" s="382"/>
      <c r="CP226" s="382"/>
      <c r="CQ226" s="382"/>
      <c r="CR226" s="382"/>
      <c r="CS226" s="382"/>
      <c r="CT226" s="382"/>
      <c r="CU226" s="382"/>
      <c r="CV226" s="382"/>
      <c r="CW226" s="800"/>
      <c r="CX226" s="382"/>
      <c r="CY226" s="382"/>
      <c r="CZ226" s="382"/>
      <c r="DA226" s="382"/>
      <c r="DB226" s="382"/>
      <c r="DC226" s="382"/>
      <c r="DD226" s="382"/>
      <c r="DE226" s="382"/>
      <c r="DF226" s="382"/>
      <c r="DG226" s="382"/>
      <c r="DH226" s="382"/>
      <c r="DI226" s="382"/>
      <c r="DJ226" s="382"/>
      <c r="DK226" s="382"/>
      <c r="DL226" s="382"/>
      <c r="DM226" s="382"/>
      <c r="DN226" s="382"/>
      <c r="DO226" s="382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741"/>
    </row>
    <row r="227" spans="2:130" s="186" customFormat="1" ht="14.25" customHeight="1" x14ac:dyDescent="0.2">
      <c r="B227" s="797"/>
      <c r="C227" s="797"/>
      <c r="D227" s="797"/>
      <c r="E227" s="739"/>
      <c r="F227" s="739"/>
      <c r="G227" s="779"/>
      <c r="H227" s="779"/>
      <c r="I227" s="779"/>
      <c r="J227" s="779"/>
      <c r="K227" s="779"/>
      <c r="L227" s="779"/>
      <c r="M227" s="779"/>
      <c r="N227" s="779"/>
      <c r="O227" s="779"/>
      <c r="P227" s="779"/>
      <c r="Q227" s="779"/>
      <c r="R227" s="779"/>
      <c r="S227" s="801"/>
      <c r="T227" s="779"/>
      <c r="U227" s="779"/>
      <c r="V227" s="779"/>
      <c r="W227" s="779"/>
      <c r="X227" s="779"/>
      <c r="Y227" s="779"/>
      <c r="Z227" s="779"/>
      <c r="AA227" s="779"/>
      <c r="AB227" s="779"/>
      <c r="AC227" s="779"/>
      <c r="AD227" s="779"/>
      <c r="AE227" s="779"/>
      <c r="AF227" s="779"/>
      <c r="AG227" s="779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7"/>
      <c r="BV227" s="208"/>
      <c r="BW227" s="208"/>
      <c r="BX227" s="208"/>
      <c r="BY227" s="208"/>
      <c r="BZ227" s="382"/>
      <c r="CA227" s="382"/>
      <c r="CB227" s="382"/>
      <c r="CC227" s="382"/>
      <c r="CD227" s="382"/>
      <c r="CE227" s="382"/>
      <c r="CF227" s="382"/>
      <c r="CG227" s="382"/>
      <c r="CH227" s="382"/>
      <c r="CI227" s="382"/>
      <c r="CJ227" s="382"/>
      <c r="CK227" s="382"/>
      <c r="CL227" s="382"/>
      <c r="CM227" s="382"/>
      <c r="CN227" s="382"/>
      <c r="CO227" s="382"/>
      <c r="CP227" s="382"/>
      <c r="CQ227" s="382"/>
      <c r="CR227" s="382"/>
      <c r="CS227" s="382"/>
      <c r="CT227" s="382"/>
      <c r="CU227" s="382"/>
      <c r="CV227" s="382"/>
      <c r="CW227" s="800"/>
      <c r="CX227" s="382"/>
      <c r="CY227" s="382"/>
      <c r="CZ227" s="382"/>
      <c r="DA227" s="382"/>
      <c r="DB227" s="382"/>
      <c r="DC227" s="382"/>
      <c r="DD227" s="382"/>
      <c r="DE227" s="382"/>
      <c r="DF227" s="382"/>
      <c r="DG227" s="382"/>
      <c r="DH227" s="382"/>
      <c r="DI227" s="382"/>
      <c r="DJ227" s="382"/>
      <c r="DK227" s="382"/>
      <c r="DL227" s="382"/>
      <c r="DM227" s="382"/>
      <c r="DN227" s="382"/>
      <c r="DO227" s="382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741"/>
    </row>
    <row r="228" spans="2:130" s="186" customFormat="1" ht="14.25" customHeight="1" x14ac:dyDescent="0.2">
      <c r="B228" s="797"/>
      <c r="C228" s="797"/>
      <c r="D228" s="797"/>
      <c r="E228" s="739"/>
      <c r="F228" s="739"/>
      <c r="G228" s="779"/>
      <c r="H228" s="779"/>
      <c r="I228" s="779"/>
      <c r="J228" s="779"/>
      <c r="K228" s="779"/>
      <c r="L228" s="779"/>
      <c r="M228" s="779"/>
      <c r="N228" s="779"/>
      <c r="O228" s="779"/>
      <c r="P228" s="779"/>
      <c r="Q228" s="779"/>
      <c r="R228" s="779"/>
      <c r="S228" s="801"/>
      <c r="T228" s="779"/>
      <c r="U228" s="779"/>
      <c r="V228" s="779"/>
      <c r="W228" s="779"/>
      <c r="X228" s="779"/>
      <c r="Y228" s="779"/>
      <c r="Z228" s="779"/>
      <c r="AA228" s="779"/>
      <c r="AB228" s="779"/>
      <c r="AC228" s="779"/>
      <c r="AD228" s="779"/>
      <c r="AE228" s="779"/>
      <c r="AF228" s="779"/>
      <c r="AG228" s="779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7"/>
      <c r="BV228" s="208"/>
      <c r="BW228" s="208"/>
      <c r="BX228" s="208"/>
      <c r="BY228" s="208"/>
      <c r="BZ228" s="382"/>
      <c r="CA228" s="382"/>
      <c r="CB228" s="382"/>
      <c r="CC228" s="382"/>
      <c r="CD228" s="382"/>
      <c r="CE228" s="382"/>
      <c r="CF228" s="382"/>
      <c r="CG228" s="382"/>
      <c r="CH228" s="382"/>
      <c r="CI228" s="382"/>
      <c r="CJ228" s="382"/>
      <c r="CK228" s="382"/>
      <c r="CL228" s="382"/>
      <c r="CM228" s="382"/>
      <c r="CN228" s="382"/>
      <c r="CO228" s="382"/>
      <c r="CP228" s="382"/>
      <c r="CQ228" s="382"/>
      <c r="CR228" s="382"/>
      <c r="CS228" s="382"/>
      <c r="CT228" s="382"/>
      <c r="CU228" s="382"/>
      <c r="CV228" s="382"/>
      <c r="CW228" s="800"/>
      <c r="CX228" s="382"/>
      <c r="CY228" s="382"/>
      <c r="CZ228" s="382"/>
      <c r="DA228" s="382"/>
      <c r="DB228" s="382"/>
      <c r="DC228" s="382"/>
      <c r="DD228" s="382"/>
      <c r="DE228" s="382"/>
      <c r="DF228" s="382"/>
      <c r="DG228" s="382"/>
      <c r="DH228" s="382"/>
      <c r="DI228" s="382"/>
      <c r="DJ228" s="382"/>
      <c r="DK228" s="382"/>
      <c r="DL228" s="382"/>
      <c r="DM228" s="382"/>
      <c r="DN228" s="382"/>
      <c r="DO228" s="382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741"/>
    </row>
    <row r="229" spans="2:130" s="186" customFormat="1" ht="14.25" customHeight="1" x14ac:dyDescent="0.2">
      <c r="B229" s="797"/>
      <c r="C229" s="797"/>
      <c r="D229" s="797"/>
      <c r="E229" s="739"/>
      <c r="F229" s="739"/>
      <c r="G229" s="779"/>
      <c r="H229" s="779"/>
      <c r="I229" s="779"/>
      <c r="J229" s="779"/>
      <c r="K229" s="779"/>
      <c r="L229" s="779"/>
      <c r="M229" s="779"/>
      <c r="N229" s="779"/>
      <c r="O229" s="779"/>
      <c r="P229" s="779"/>
      <c r="Q229" s="779"/>
      <c r="R229" s="779"/>
      <c r="S229" s="801"/>
      <c r="T229" s="779"/>
      <c r="U229" s="779"/>
      <c r="V229" s="779"/>
      <c r="W229" s="779"/>
      <c r="X229" s="779"/>
      <c r="Y229" s="779"/>
      <c r="Z229" s="779"/>
      <c r="AA229" s="779"/>
      <c r="AB229" s="779"/>
      <c r="AC229" s="779"/>
      <c r="AD229" s="779"/>
      <c r="AE229" s="779"/>
      <c r="AF229" s="779"/>
      <c r="AG229" s="779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7"/>
      <c r="BV229" s="208"/>
      <c r="BW229" s="208"/>
      <c r="BX229" s="208"/>
      <c r="BY229" s="208"/>
      <c r="BZ229" s="382"/>
      <c r="CA229" s="382"/>
      <c r="CB229" s="382"/>
      <c r="CC229" s="382"/>
      <c r="CD229" s="382"/>
      <c r="CE229" s="382"/>
      <c r="CF229" s="382"/>
      <c r="CG229" s="382"/>
      <c r="CH229" s="382"/>
      <c r="CI229" s="382"/>
      <c r="CJ229" s="382"/>
      <c r="CK229" s="382"/>
      <c r="CL229" s="382"/>
      <c r="CM229" s="382"/>
      <c r="CN229" s="382"/>
      <c r="CO229" s="382"/>
      <c r="CP229" s="382"/>
      <c r="CQ229" s="382"/>
      <c r="CR229" s="382"/>
      <c r="CS229" s="382"/>
      <c r="CT229" s="382"/>
      <c r="CU229" s="382"/>
      <c r="CV229" s="382"/>
      <c r="CW229" s="800"/>
      <c r="CX229" s="382"/>
      <c r="CY229" s="382"/>
      <c r="CZ229" s="382"/>
      <c r="DA229" s="382"/>
      <c r="DB229" s="382"/>
      <c r="DC229" s="382"/>
      <c r="DD229" s="382"/>
      <c r="DE229" s="382"/>
      <c r="DF229" s="382"/>
      <c r="DG229" s="382"/>
      <c r="DH229" s="382"/>
      <c r="DI229" s="382"/>
      <c r="DJ229" s="382"/>
      <c r="DK229" s="382"/>
      <c r="DL229" s="382"/>
      <c r="DM229" s="382"/>
      <c r="DN229" s="382"/>
      <c r="DO229" s="382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741"/>
    </row>
    <row r="230" spans="2:130" s="186" customFormat="1" ht="14.25" customHeight="1" x14ac:dyDescent="0.2">
      <c r="B230" s="797"/>
      <c r="C230" s="797"/>
      <c r="D230" s="797"/>
      <c r="E230" s="739"/>
      <c r="F230" s="739"/>
      <c r="G230" s="779"/>
      <c r="H230" s="779"/>
      <c r="I230" s="779"/>
      <c r="J230" s="779"/>
      <c r="K230" s="779"/>
      <c r="L230" s="779"/>
      <c r="M230" s="779"/>
      <c r="N230" s="779"/>
      <c r="O230" s="779"/>
      <c r="P230" s="779"/>
      <c r="Q230" s="779"/>
      <c r="R230" s="779"/>
      <c r="S230" s="801"/>
      <c r="T230" s="779"/>
      <c r="U230" s="779"/>
      <c r="V230" s="779"/>
      <c r="W230" s="779"/>
      <c r="X230" s="779"/>
      <c r="Y230" s="779"/>
      <c r="Z230" s="779"/>
      <c r="AA230" s="779"/>
      <c r="AB230" s="779"/>
      <c r="AC230" s="779"/>
      <c r="AD230" s="779"/>
      <c r="AE230" s="779"/>
      <c r="AF230" s="779"/>
      <c r="AG230" s="779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7"/>
      <c r="BV230" s="208"/>
      <c r="BW230" s="208"/>
      <c r="BX230" s="208"/>
      <c r="BY230" s="208"/>
      <c r="BZ230" s="382"/>
      <c r="CA230" s="382"/>
      <c r="CB230" s="382"/>
      <c r="CC230" s="382"/>
      <c r="CD230" s="382"/>
      <c r="CE230" s="382"/>
      <c r="CF230" s="382"/>
      <c r="CG230" s="382"/>
      <c r="CH230" s="382"/>
      <c r="CI230" s="382"/>
      <c r="CJ230" s="382"/>
      <c r="CK230" s="382"/>
      <c r="CL230" s="382"/>
      <c r="CM230" s="382"/>
      <c r="CN230" s="382"/>
      <c r="CO230" s="382"/>
      <c r="CP230" s="382"/>
      <c r="CQ230" s="382"/>
      <c r="CR230" s="382"/>
      <c r="CS230" s="382"/>
      <c r="CT230" s="382"/>
      <c r="CU230" s="382"/>
      <c r="CV230" s="382"/>
      <c r="CW230" s="800"/>
      <c r="CX230" s="382"/>
      <c r="CY230" s="382"/>
      <c r="CZ230" s="382"/>
      <c r="DA230" s="382"/>
      <c r="DB230" s="382"/>
      <c r="DC230" s="382"/>
      <c r="DD230" s="382"/>
      <c r="DE230" s="382"/>
      <c r="DF230" s="382"/>
      <c r="DG230" s="382"/>
      <c r="DH230" s="382"/>
      <c r="DI230" s="382"/>
      <c r="DJ230" s="382"/>
      <c r="DK230" s="382"/>
      <c r="DL230" s="382"/>
      <c r="DM230" s="382"/>
      <c r="DN230" s="382"/>
      <c r="DO230" s="382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741"/>
    </row>
    <row r="231" spans="2:130" s="180" customFormat="1" ht="14.25" customHeight="1" x14ac:dyDescent="0.2">
      <c r="B231" s="800"/>
      <c r="C231" s="800"/>
      <c r="D231" s="800"/>
      <c r="E231" s="769"/>
      <c r="F231" s="769"/>
      <c r="G231" s="802"/>
      <c r="H231" s="802"/>
      <c r="I231" s="802"/>
      <c r="J231" s="802"/>
      <c r="K231" s="802"/>
      <c r="L231" s="802"/>
      <c r="M231" s="802"/>
      <c r="N231" s="802"/>
      <c r="O231" s="802"/>
      <c r="P231" s="802"/>
      <c r="Q231" s="802"/>
      <c r="R231" s="802"/>
      <c r="S231" s="803"/>
      <c r="T231" s="802"/>
      <c r="U231" s="802"/>
      <c r="V231" s="802"/>
      <c r="W231" s="802"/>
      <c r="X231" s="802"/>
      <c r="Y231" s="802"/>
      <c r="Z231" s="802"/>
      <c r="AA231" s="802"/>
      <c r="AB231" s="802"/>
      <c r="AC231" s="802"/>
      <c r="AD231" s="802"/>
      <c r="AE231" s="802"/>
      <c r="AF231" s="802"/>
      <c r="AG231" s="802"/>
      <c r="AH231" s="382"/>
      <c r="AI231" s="382"/>
      <c r="AJ231" s="382"/>
      <c r="AK231" s="382"/>
      <c r="AL231" s="382"/>
      <c r="AM231" s="382"/>
      <c r="AN231" s="382"/>
      <c r="AO231" s="382"/>
      <c r="AP231" s="382"/>
      <c r="AQ231" s="382"/>
      <c r="AR231" s="382"/>
      <c r="AS231" s="382"/>
      <c r="AT231" s="382"/>
      <c r="AU231" s="382"/>
      <c r="AV231" s="382"/>
      <c r="AW231" s="382"/>
      <c r="AX231" s="382"/>
      <c r="AY231" s="382"/>
      <c r="AZ231" s="382"/>
      <c r="BA231" s="382"/>
      <c r="BB231" s="382"/>
      <c r="BC231" s="382"/>
      <c r="BD231" s="382"/>
      <c r="BE231" s="382"/>
      <c r="BF231" s="382"/>
      <c r="BG231" s="382"/>
      <c r="BH231" s="382"/>
      <c r="BI231" s="382"/>
      <c r="BJ231" s="382"/>
      <c r="BK231" s="382"/>
      <c r="BL231" s="382"/>
      <c r="BM231" s="382"/>
      <c r="BN231" s="382"/>
      <c r="BO231" s="382"/>
      <c r="BP231" s="382"/>
      <c r="BQ231" s="382"/>
      <c r="BR231" s="382"/>
      <c r="BS231" s="382"/>
      <c r="BT231" s="382"/>
      <c r="BU231" s="496"/>
      <c r="BV231" s="382"/>
      <c r="BW231" s="382"/>
      <c r="BX231" s="382"/>
      <c r="BY231" s="382"/>
      <c r="BZ231" s="382"/>
      <c r="CA231" s="382"/>
      <c r="CB231" s="382"/>
      <c r="CC231" s="382"/>
      <c r="CD231" s="382"/>
      <c r="CE231" s="382"/>
      <c r="CF231" s="382"/>
      <c r="CG231" s="382"/>
      <c r="CH231" s="382"/>
      <c r="CI231" s="382"/>
      <c r="CJ231" s="382"/>
      <c r="CK231" s="382"/>
      <c r="CL231" s="382"/>
      <c r="CM231" s="382"/>
      <c r="CN231" s="382"/>
      <c r="CO231" s="382"/>
      <c r="CP231" s="382"/>
      <c r="CQ231" s="382"/>
      <c r="CR231" s="382"/>
      <c r="CS231" s="382"/>
      <c r="CT231" s="382"/>
      <c r="CU231" s="382"/>
      <c r="CV231" s="382"/>
      <c r="CW231" s="800"/>
      <c r="CX231" s="382"/>
      <c r="CY231" s="382"/>
      <c r="CZ231" s="382"/>
      <c r="DA231" s="382"/>
      <c r="DB231" s="382"/>
      <c r="DC231" s="382"/>
      <c r="DD231" s="382"/>
      <c r="DE231" s="382"/>
      <c r="DF231" s="382"/>
      <c r="DG231" s="382"/>
      <c r="DH231" s="382"/>
      <c r="DI231" s="382"/>
      <c r="DJ231" s="382"/>
      <c r="DK231" s="382"/>
      <c r="DL231" s="382"/>
      <c r="DM231" s="382"/>
      <c r="DN231" s="382"/>
      <c r="DO231" s="382"/>
      <c r="DP231" s="382"/>
      <c r="DQ231" s="382"/>
      <c r="DR231" s="382"/>
      <c r="DS231" s="382"/>
      <c r="DT231" s="382"/>
      <c r="DU231" s="382"/>
      <c r="DV231" s="382"/>
      <c r="DW231" s="382"/>
      <c r="DX231" s="382"/>
      <c r="DY231" s="382"/>
      <c r="DZ231" s="228"/>
    </row>
    <row r="232" spans="2:130" s="180" customFormat="1" ht="14.25" customHeight="1" x14ac:dyDescent="0.2">
      <c r="B232" s="800"/>
      <c r="C232" s="800"/>
      <c r="D232" s="800"/>
      <c r="E232" s="769"/>
      <c r="F232" s="769"/>
      <c r="G232" s="802"/>
      <c r="H232" s="802"/>
      <c r="I232" s="802"/>
      <c r="J232" s="802"/>
      <c r="K232" s="802"/>
      <c r="L232" s="802"/>
      <c r="M232" s="802"/>
      <c r="N232" s="802"/>
      <c r="O232" s="802"/>
      <c r="P232" s="802"/>
      <c r="Q232" s="802"/>
      <c r="R232" s="802"/>
      <c r="S232" s="803"/>
      <c r="T232" s="802"/>
      <c r="U232" s="802"/>
      <c r="V232" s="802"/>
      <c r="W232" s="802"/>
      <c r="X232" s="802"/>
      <c r="Y232" s="802"/>
      <c r="Z232" s="802"/>
      <c r="AA232" s="802"/>
      <c r="AB232" s="802"/>
      <c r="AC232" s="802"/>
      <c r="AD232" s="802"/>
      <c r="AE232" s="802"/>
      <c r="AF232" s="802"/>
      <c r="AG232" s="802"/>
      <c r="AH232" s="382"/>
      <c r="AI232" s="382"/>
      <c r="AJ232" s="382"/>
      <c r="AK232" s="382"/>
      <c r="AL232" s="382"/>
      <c r="AM232" s="382"/>
      <c r="AN232" s="382"/>
      <c r="AO232" s="382"/>
      <c r="AP232" s="382"/>
      <c r="AQ232" s="382"/>
      <c r="AR232" s="382"/>
      <c r="AS232" s="382"/>
      <c r="AT232" s="382"/>
      <c r="AU232" s="382"/>
      <c r="AV232" s="382"/>
      <c r="AW232" s="382"/>
      <c r="AX232" s="382"/>
      <c r="AY232" s="382"/>
      <c r="AZ232" s="382"/>
      <c r="BA232" s="382"/>
      <c r="BB232" s="382"/>
      <c r="BC232" s="382"/>
      <c r="BD232" s="382"/>
      <c r="BE232" s="382"/>
      <c r="BF232" s="382"/>
      <c r="BG232" s="382"/>
      <c r="BH232" s="382"/>
      <c r="BI232" s="382"/>
      <c r="BJ232" s="382"/>
      <c r="BK232" s="382"/>
      <c r="BL232" s="382"/>
      <c r="BM232" s="382"/>
      <c r="BN232" s="382"/>
      <c r="BO232" s="382"/>
      <c r="BP232" s="382"/>
      <c r="BQ232" s="382"/>
      <c r="BR232" s="382"/>
      <c r="BS232" s="382"/>
      <c r="BT232" s="382"/>
      <c r="BU232" s="496"/>
      <c r="BV232" s="382"/>
      <c r="BW232" s="382"/>
      <c r="BX232" s="382"/>
      <c r="BY232" s="382"/>
      <c r="BZ232" s="382"/>
      <c r="CA232" s="382"/>
      <c r="CB232" s="382"/>
      <c r="CC232" s="382"/>
      <c r="CD232" s="382"/>
      <c r="CE232" s="382"/>
      <c r="CF232" s="382"/>
      <c r="CG232" s="382"/>
      <c r="CH232" s="382"/>
      <c r="CI232" s="382"/>
      <c r="CJ232" s="382"/>
      <c r="CK232" s="382"/>
      <c r="CL232" s="382"/>
      <c r="CM232" s="382"/>
      <c r="CN232" s="382"/>
      <c r="CO232" s="382"/>
      <c r="CP232" s="382"/>
      <c r="CQ232" s="382"/>
      <c r="CR232" s="382"/>
      <c r="CS232" s="382"/>
      <c r="CT232" s="382"/>
      <c r="CU232" s="382"/>
      <c r="CV232" s="382"/>
      <c r="CW232" s="800"/>
      <c r="CX232" s="382"/>
      <c r="CY232" s="382"/>
      <c r="CZ232" s="382"/>
      <c r="DA232" s="382"/>
      <c r="DB232" s="382"/>
      <c r="DC232" s="382"/>
      <c r="DD232" s="382"/>
      <c r="DE232" s="382"/>
      <c r="DF232" s="382"/>
      <c r="DG232" s="382"/>
      <c r="DH232" s="382"/>
      <c r="DI232" s="382"/>
      <c r="DJ232" s="382"/>
      <c r="DK232" s="382"/>
      <c r="DL232" s="382"/>
      <c r="DM232" s="382"/>
      <c r="DN232" s="382"/>
      <c r="DO232" s="382"/>
      <c r="DP232" s="382"/>
      <c r="DQ232" s="382"/>
      <c r="DR232" s="382"/>
      <c r="DS232" s="382"/>
      <c r="DT232" s="382"/>
      <c r="DU232" s="382"/>
      <c r="DV232" s="382"/>
      <c r="DW232" s="382"/>
      <c r="DX232" s="382"/>
      <c r="DY232" s="382"/>
      <c r="DZ232" s="228"/>
    </row>
    <row r="233" spans="2:130" s="180" customFormat="1" ht="14.25" customHeight="1" x14ac:dyDescent="0.2">
      <c r="B233" s="800"/>
      <c r="C233" s="800"/>
      <c r="D233" s="800"/>
      <c r="E233" s="769"/>
      <c r="F233" s="769"/>
      <c r="G233" s="802"/>
      <c r="H233" s="802"/>
      <c r="I233" s="802"/>
      <c r="J233" s="802"/>
      <c r="K233" s="802"/>
      <c r="L233" s="802"/>
      <c r="M233" s="802"/>
      <c r="N233" s="802"/>
      <c r="O233" s="802"/>
      <c r="P233" s="802"/>
      <c r="Q233" s="802"/>
      <c r="R233" s="802"/>
      <c r="S233" s="803"/>
      <c r="T233" s="802"/>
      <c r="U233" s="802"/>
      <c r="V233" s="802"/>
      <c r="W233" s="802"/>
      <c r="X233" s="802"/>
      <c r="Y233" s="802"/>
      <c r="Z233" s="802"/>
      <c r="AA233" s="802"/>
      <c r="AB233" s="802"/>
      <c r="AC233" s="802"/>
      <c r="AD233" s="802"/>
      <c r="AE233" s="802"/>
      <c r="AF233" s="802"/>
      <c r="AG233" s="802"/>
      <c r="AH233" s="382"/>
      <c r="AI233" s="382"/>
      <c r="AJ233" s="382"/>
      <c r="AK233" s="382"/>
      <c r="AL233" s="382"/>
      <c r="AM233" s="382"/>
      <c r="AN233" s="382"/>
      <c r="AO233" s="382"/>
      <c r="AP233" s="382"/>
      <c r="AQ233" s="382"/>
      <c r="AR233" s="382"/>
      <c r="AS233" s="382"/>
      <c r="AT233" s="382"/>
      <c r="AU233" s="382"/>
      <c r="AV233" s="382"/>
      <c r="AW233" s="382"/>
      <c r="AX233" s="382"/>
      <c r="AY233" s="382"/>
      <c r="AZ233" s="382"/>
      <c r="BA233" s="382"/>
      <c r="BB233" s="382"/>
      <c r="BC233" s="382"/>
      <c r="BD233" s="382"/>
      <c r="BE233" s="382"/>
      <c r="BF233" s="382"/>
      <c r="BG233" s="382"/>
      <c r="BH233" s="382"/>
      <c r="BI233" s="382"/>
      <c r="BJ233" s="382"/>
      <c r="BK233" s="382"/>
      <c r="BL233" s="382"/>
      <c r="BM233" s="382"/>
      <c r="BN233" s="382"/>
      <c r="BO233" s="382"/>
      <c r="BP233" s="382"/>
      <c r="BQ233" s="382"/>
      <c r="BR233" s="382"/>
      <c r="BS233" s="382"/>
      <c r="BT233" s="382"/>
      <c r="BU233" s="496"/>
      <c r="BV233" s="382"/>
      <c r="BW233" s="382"/>
      <c r="BX233" s="382"/>
      <c r="BY233" s="382"/>
      <c r="BZ233" s="382"/>
      <c r="CA233" s="382"/>
      <c r="CB233" s="382"/>
      <c r="CC233" s="382"/>
      <c r="CD233" s="382"/>
      <c r="CE233" s="382"/>
      <c r="CF233" s="382"/>
      <c r="CG233" s="382"/>
      <c r="CH233" s="382"/>
      <c r="CI233" s="382"/>
      <c r="CJ233" s="382"/>
      <c r="CK233" s="382"/>
      <c r="CL233" s="382"/>
      <c r="CM233" s="382"/>
      <c r="CN233" s="382"/>
      <c r="CO233" s="382"/>
      <c r="CP233" s="382"/>
      <c r="CQ233" s="382"/>
      <c r="CR233" s="382"/>
      <c r="CS233" s="382"/>
      <c r="CT233" s="382"/>
      <c r="CU233" s="382"/>
      <c r="CV233" s="382"/>
      <c r="CW233" s="800"/>
      <c r="CX233" s="382"/>
      <c r="CY233" s="382"/>
      <c r="CZ233" s="382"/>
      <c r="DA233" s="382"/>
      <c r="DB233" s="382"/>
      <c r="DC233" s="382"/>
      <c r="DD233" s="382"/>
      <c r="DE233" s="382"/>
      <c r="DF233" s="382"/>
      <c r="DG233" s="382"/>
      <c r="DH233" s="382"/>
      <c r="DI233" s="382"/>
      <c r="DJ233" s="382"/>
      <c r="DK233" s="382"/>
      <c r="DL233" s="382"/>
      <c r="DM233" s="382"/>
      <c r="DN233" s="382"/>
      <c r="DO233" s="382"/>
      <c r="DP233" s="382"/>
      <c r="DQ233" s="382"/>
      <c r="DR233" s="382"/>
      <c r="DS233" s="382"/>
      <c r="DT233" s="382"/>
      <c r="DU233" s="382"/>
      <c r="DV233" s="382"/>
      <c r="DW233" s="382"/>
      <c r="DX233" s="382"/>
      <c r="DY233" s="382"/>
      <c r="DZ233" s="228"/>
    </row>
    <row r="234" spans="2:130" s="180" customFormat="1" ht="14.25" customHeight="1" x14ac:dyDescent="0.2">
      <c r="B234" s="800"/>
      <c r="C234" s="800"/>
      <c r="D234" s="800"/>
      <c r="E234" s="769"/>
      <c r="F234" s="769"/>
      <c r="G234" s="802"/>
      <c r="H234" s="802"/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3"/>
      <c r="T234" s="802"/>
      <c r="U234" s="802"/>
      <c r="V234" s="802"/>
      <c r="W234" s="802"/>
      <c r="X234" s="802"/>
      <c r="Y234" s="802"/>
      <c r="Z234" s="802"/>
      <c r="AA234" s="802"/>
      <c r="AB234" s="802"/>
      <c r="AC234" s="802"/>
      <c r="AD234" s="802"/>
      <c r="AE234" s="802"/>
      <c r="AF234" s="802"/>
      <c r="AG234" s="802"/>
      <c r="AH234" s="382"/>
      <c r="AI234" s="382"/>
      <c r="AJ234" s="382"/>
      <c r="AK234" s="382"/>
      <c r="AL234" s="382"/>
      <c r="AM234" s="382"/>
      <c r="AN234" s="382"/>
      <c r="AO234" s="382"/>
      <c r="AP234" s="382"/>
      <c r="AQ234" s="382"/>
      <c r="AR234" s="382"/>
      <c r="AS234" s="382"/>
      <c r="AT234" s="382"/>
      <c r="AU234" s="382"/>
      <c r="AV234" s="382"/>
      <c r="AW234" s="382"/>
      <c r="AX234" s="382"/>
      <c r="AY234" s="382"/>
      <c r="AZ234" s="382"/>
      <c r="BA234" s="382"/>
      <c r="BB234" s="382"/>
      <c r="BC234" s="382"/>
      <c r="BD234" s="382"/>
      <c r="BE234" s="382"/>
      <c r="BF234" s="382"/>
      <c r="BG234" s="382"/>
      <c r="BH234" s="382"/>
      <c r="BI234" s="382"/>
      <c r="BJ234" s="382"/>
      <c r="BK234" s="382"/>
      <c r="BL234" s="382"/>
      <c r="BM234" s="382"/>
      <c r="BN234" s="382"/>
      <c r="BO234" s="382"/>
      <c r="BP234" s="382"/>
      <c r="BQ234" s="382"/>
      <c r="BR234" s="382"/>
      <c r="BS234" s="382"/>
      <c r="BT234" s="382"/>
      <c r="BU234" s="496"/>
      <c r="BV234" s="382"/>
      <c r="BW234" s="382"/>
      <c r="BX234" s="382"/>
      <c r="BY234" s="382"/>
      <c r="BZ234" s="382"/>
      <c r="CA234" s="382"/>
      <c r="CB234" s="382"/>
      <c r="CC234" s="382"/>
      <c r="CD234" s="382"/>
      <c r="CE234" s="382"/>
      <c r="CF234" s="382"/>
      <c r="CG234" s="382"/>
      <c r="CH234" s="382"/>
      <c r="CI234" s="382"/>
      <c r="CJ234" s="382"/>
      <c r="CK234" s="382"/>
      <c r="CL234" s="382"/>
      <c r="CM234" s="382"/>
      <c r="CN234" s="382"/>
      <c r="CO234" s="382"/>
      <c r="CP234" s="382"/>
      <c r="CQ234" s="382"/>
      <c r="CR234" s="382"/>
      <c r="CS234" s="382"/>
      <c r="CT234" s="382"/>
      <c r="CU234" s="382"/>
      <c r="CV234" s="382"/>
      <c r="CW234" s="800"/>
      <c r="CX234" s="382"/>
      <c r="CY234" s="382"/>
      <c r="CZ234" s="382"/>
      <c r="DA234" s="382"/>
      <c r="DB234" s="382"/>
      <c r="DC234" s="382"/>
      <c r="DD234" s="382"/>
      <c r="DE234" s="382"/>
      <c r="DF234" s="382"/>
      <c r="DG234" s="382"/>
      <c r="DH234" s="382"/>
      <c r="DI234" s="382"/>
      <c r="DJ234" s="382"/>
      <c r="DK234" s="382"/>
      <c r="DL234" s="382"/>
      <c r="DM234" s="382"/>
      <c r="DN234" s="382"/>
      <c r="DO234" s="382"/>
      <c r="DP234" s="382"/>
      <c r="DQ234" s="382"/>
      <c r="DR234" s="382"/>
      <c r="DS234" s="382"/>
      <c r="DT234" s="382"/>
      <c r="DU234" s="382"/>
      <c r="DV234" s="382"/>
      <c r="DW234" s="382"/>
      <c r="DX234" s="382"/>
      <c r="DY234" s="382"/>
      <c r="DZ234" s="228"/>
    </row>
    <row r="235" spans="2:130" s="180" customFormat="1" ht="14.25" customHeight="1" x14ac:dyDescent="0.2">
      <c r="B235" s="800"/>
      <c r="C235" s="800"/>
      <c r="D235" s="800"/>
      <c r="E235" s="769"/>
      <c r="F235" s="769"/>
      <c r="G235" s="802"/>
      <c r="H235" s="802"/>
      <c r="I235" s="802"/>
      <c r="J235" s="802"/>
      <c r="K235" s="802"/>
      <c r="L235" s="802"/>
      <c r="M235" s="802"/>
      <c r="N235" s="802"/>
      <c r="O235" s="802"/>
      <c r="P235" s="802"/>
      <c r="Q235" s="802"/>
      <c r="R235" s="802"/>
      <c r="S235" s="803"/>
      <c r="T235" s="802"/>
      <c r="U235" s="802"/>
      <c r="V235" s="802"/>
      <c r="W235" s="802"/>
      <c r="X235" s="802"/>
      <c r="Y235" s="802"/>
      <c r="Z235" s="802"/>
      <c r="AA235" s="802"/>
      <c r="AB235" s="802"/>
      <c r="AC235" s="802"/>
      <c r="AD235" s="802"/>
      <c r="AE235" s="802"/>
      <c r="AF235" s="802"/>
      <c r="AG235" s="802"/>
      <c r="AH235" s="382"/>
      <c r="AI235" s="382"/>
      <c r="AJ235" s="382"/>
      <c r="AK235" s="382"/>
      <c r="AL235" s="382"/>
      <c r="AM235" s="382"/>
      <c r="AN235" s="382"/>
      <c r="AO235" s="382"/>
      <c r="AP235" s="382"/>
      <c r="AQ235" s="382"/>
      <c r="AR235" s="382"/>
      <c r="AS235" s="382"/>
      <c r="AT235" s="382"/>
      <c r="AU235" s="382"/>
      <c r="AV235" s="382"/>
      <c r="AW235" s="382"/>
      <c r="AX235" s="382"/>
      <c r="AY235" s="382"/>
      <c r="AZ235" s="382"/>
      <c r="BA235" s="382"/>
      <c r="BB235" s="382"/>
      <c r="BC235" s="382"/>
      <c r="BD235" s="382"/>
      <c r="BE235" s="382"/>
      <c r="BF235" s="382"/>
      <c r="BG235" s="382"/>
      <c r="BH235" s="382"/>
      <c r="BI235" s="382"/>
      <c r="BJ235" s="382"/>
      <c r="BK235" s="382"/>
      <c r="BL235" s="382"/>
      <c r="BM235" s="382"/>
      <c r="BN235" s="382"/>
      <c r="BO235" s="382"/>
      <c r="BP235" s="382"/>
      <c r="BQ235" s="382"/>
      <c r="BR235" s="382"/>
      <c r="BS235" s="382"/>
      <c r="BT235" s="382"/>
      <c r="BU235" s="496"/>
      <c r="BV235" s="382"/>
      <c r="BW235" s="382"/>
      <c r="BX235" s="382"/>
      <c r="BY235" s="382"/>
      <c r="BZ235" s="382"/>
      <c r="CA235" s="382"/>
      <c r="CB235" s="382"/>
      <c r="CC235" s="382"/>
      <c r="CD235" s="382"/>
      <c r="CE235" s="382"/>
      <c r="CF235" s="382"/>
      <c r="CG235" s="382"/>
      <c r="CH235" s="382"/>
      <c r="CI235" s="382"/>
      <c r="CJ235" s="382"/>
      <c r="CK235" s="382"/>
      <c r="CL235" s="382"/>
      <c r="CM235" s="382"/>
      <c r="CN235" s="382"/>
      <c r="CO235" s="382"/>
      <c r="CP235" s="382"/>
      <c r="CQ235" s="382"/>
      <c r="CR235" s="382"/>
      <c r="CS235" s="382"/>
      <c r="CT235" s="382"/>
      <c r="CU235" s="382"/>
      <c r="CV235" s="382"/>
      <c r="CW235" s="800"/>
      <c r="CX235" s="382"/>
      <c r="CY235" s="382"/>
      <c r="CZ235" s="382"/>
      <c r="DA235" s="382"/>
      <c r="DB235" s="382"/>
      <c r="DC235" s="382"/>
      <c r="DD235" s="382"/>
      <c r="DE235" s="382"/>
      <c r="DF235" s="382"/>
      <c r="DG235" s="382"/>
      <c r="DH235" s="382"/>
      <c r="DI235" s="382"/>
      <c r="DJ235" s="382"/>
      <c r="DK235" s="382"/>
      <c r="DL235" s="382"/>
      <c r="DM235" s="382"/>
      <c r="DN235" s="382"/>
      <c r="DO235" s="382"/>
      <c r="DP235" s="382"/>
      <c r="DQ235" s="382"/>
      <c r="DR235" s="382"/>
      <c r="DS235" s="382"/>
      <c r="DT235" s="382"/>
      <c r="DU235" s="382"/>
      <c r="DV235" s="382"/>
      <c r="DW235" s="382"/>
      <c r="DX235" s="382"/>
      <c r="DY235" s="382"/>
      <c r="DZ235" s="228"/>
    </row>
    <row r="236" spans="2:130" s="180" customFormat="1" ht="14.25" customHeight="1" x14ac:dyDescent="0.2">
      <c r="B236" s="800"/>
      <c r="C236" s="800"/>
      <c r="D236" s="800"/>
      <c r="E236" s="769"/>
      <c r="F236" s="769"/>
      <c r="G236" s="802"/>
      <c r="H236" s="802"/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3"/>
      <c r="T236" s="802"/>
      <c r="U236" s="802"/>
      <c r="V236" s="802"/>
      <c r="W236" s="802"/>
      <c r="X236" s="802"/>
      <c r="Y236" s="802"/>
      <c r="Z236" s="802"/>
      <c r="AA236" s="802"/>
      <c r="AB236" s="802"/>
      <c r="AC236" s="802"/>
      <c r="AD236" s="802"/>
      <c r="AE236" s="802"/>
      <c r="AF236" s="802"/>
      <c r="AG236" s="802"/>
      <c r="AH236" s="382"/>
      <c r="AI236" s="382"/>
      <c r="AJ236" s="382"/>
      <c r="AK236" s="382"/>
      <c r="AL236" s="382"/>
      <c r="AM236" s="382"/>
      <c r="AN236" s="382"/>
      <c r="AO236" s="382"/>
      <c r="AP236" s="382"/>
      <c r="AQ236" s="382"/>
      <c r="AR236" s="382"/>
      <c r="AS236" s="382"/>
      <c r="AT236" s="382"/>
      <c r="AU236" s="382"/>
      <c r="AV236" s="382"/>
      <c r="AW236" s="382"/>
      <c r="AX236" s="382"/>
      <c r="AY236" s="382"/>
      <c r="AZ236" s="382"/>
      <c r="BA236" s="382"/>
      <c r="BB236" s="382"/>
      <c r="BC236" s="382"/>
      <c r="BD236" s="382"/>
      <c r="BE236" s="382"/>
      <c r="BF236" s="382"/>
      <c r="BG236" s="382"/>
      <c r="BH236" s="382"/>
      <c r="BI236" s="382"/>
      <c r="BJ236" s="382"/>
      <c r="BK236" s="382"/>
      <c r="BL236" s="382"/>
      <c r="BM236" s="382"/>
      <c r="BN236" s="382"/>
      <c r="BO236" s="382"/>
      <c r="BP236" s="382"/>
      <c r="BQ236" s="382"/>
      <c r="BR236" s="382"/>
      <c r="BS236" s="382"/>
      <c r="BT236" s="382"/>
      <c r="BU236" s="496"/>
      <c r="BV236" s="382"/>
      <c r="BW236" s="382"/>
      <c r="BX236" s="382"/>
      <c r="BY236" s="382"/>
      <c r="BZ236" s="382"/>
      <c r="CA236" s="382"/>
      <c r="CB236" s="382"/>
      <c r="CC236" s="382"/>
      <c r="CD236" s="382"/>
      <c r="CE236" s="382"/>
      <c r="CF236" s="382"/>
      <c r="CG236" s="382"/>
      <c r="CH236" s="382"/>
      <c r="CI236" s="382"/>
      <c r="CJ236" s="382"/>
      <c r="CK236" s="382"/>
      <c r="CL236" s="382"/>
      <c r="CM236" s="382"/>
      <c r="CN236" s="382"/>
      <c r="CO236" s="382"/>
      <c r="CP236" s="382"/>
      <c r="CQ236" s="382"/>
      <c r="CR236" s="382"/>
      <c r="CS236" s="382"/>
      <c r="CT236" s="382"/>
      <c r="CU236" s="382"/>
      <c r="CV236" s="382"/>
      <c r="CW236" s="800"/>
      <c r="CX236" s="382"/>
      <c r="CY236" s="382"/>
      <c r="CZ236" s="382"/>
      <c r="DA236" s="382"/>
      <c r="DB236" s="382"/>
      <c r="DC236" s="382"/>
      <c r="DD236" s="382"/>
      <c r="DE236" s="382"/>
      <c r="DF236" s="382"/>
      <c r="DG236" s="382"/>
      <c r="DH236" s="382"/>
      <c r="DI236" s="382"/>
      <c r="DJ236" s="382"/>
      <c r="DK236" s="382"/>
      <c r="DL236" s="382"/>
      <c r="DM236" s="382"/>
      <c r="DN236" s="382"/>
      <c r="DO236" s="382"/>
      <c r="DP236" s="382"/>
      <c r="DQ236" s="382"/>
      <c r="DR236" s="382"/>
      <c r="DS236" s="382"/>
      <c r="DT236" s="382"/>
      <c r="DU236" s="382"/>
      <c r="DV236" s="382"/>
      <c r="DW236" s="382"/>
      <c r="DX236" s="382"/>
      <c r="DY236" s="382"/>
      <c r="DZ236" s="228"/>
    </row>
    <row r="237" spans="2:130" s="180" customFormat="1" ht="14.25" customHeight="1" x14ac:dyDescent="0.2">
      <c r="B237" s="800"/>
      <c r="C237" s="800"/>
      <c r="D237" s="800"/>
      <c r="E237" s="769"/>
      <c r="F237" s="769"/>
      <c r="G237" s="802"/>
      <c r="H237" s="802"/>
      <c r="I237" s="802"/>
      <c r="J237" s="802"/>
      <c r="K237" s="802"/>
      <c r="L237" s="802"/>
      <c r="M237" s="802"/>
      <c r="N237" s="802"/>
      <c r="O237" s="802"/>
      <c r="P237" s="802"/>
      <c r="Q237" s="802"/>
      <c r="R237" s="802"/>
      <c r="S237" s="803"/>
      <c r="T237" s="802"/>
      <c r="U237" s="802"/>
      <c r="V237" s="802"/>
      <c r="W237" s="802"/>
      <c r="X237" s="802"/>
      <c r="Y237" s="802"/>
      <c r="Z237" s="802"/>
      <c r="AA237" s="802"/>
      <c r="AB237" s="802"/>
      <c r="AC237" s="802"/>
      <c r="AD237" s="802"/>
      <c r="AE237" s="802"/>
      <c r="AF237" s="802"/>
      <c r="AG237" s="802"/>
      <c r="AH237" s="382"/>
      <c r="AI237" s="382"/>
      <c r="AJ237" s="382"/>
      <c r="AK237" s="382"/>
      <c r="AL237" s="382"/>
      <c r="AM237" s="382"/>
      <c r="AN237" s="382"/>
      <c r="AO237" s="382"/>
      <c r="AP237" s="382"/>
      <c r="AQ237" s="382"/>
      <c r="AR237" s="382"/>
      <c r="AS237" s="382"/>
      <c r="AT237" s="382"/>
      <c r="AU237" s="382"/>
      <c r="AV237" s="382"/>
      <c r="AW237" s="382"/>
      <c r="AX237" s="382"/>
      <c r="AY237" s="382"/>
      <c r="AZ237" s="382"/>
      <c r="BA237" s="382"/>
      <c r="BB237" s="382"/>
      <c r="BC237" s="382"/>
      <c r="BD237" s="382"/>
      <c r="BE237" s="382"/>
      <c r="BF237" s="382"/>
      <c r="BG237" s="382"/>
      <c r="BH237" s="382"/>
      <c r="BI237" s="382"/>
      <c r="BJ237" s="382"/>
      <c r="BK237" s="382"/>
      <c r="BL237" s="382"/>
      <c r="BM237" s="382"/>
      <c r="BN237" s="382"/>
      <c r="BO237" s="382"/>
      <c r="BP237" s="382"/>
      <c r="BQ237" s="382"/>
      <c r="BR237" s="382"/>
      <c r="BS237" s="382"/>
      <c r="BT237" s="382"/>
      <c r="BU237" s="496"/>
      <c r="BV237" s="382"/>
      <c r="BW237" s="382"/>
      <c r="BX237" s="382"/>
      <c r="BY237" s="382"/>
      <c r="BZ237" s="382"/>
      <c r="CA237" s="382"/>
      <c r="CB237" s="382"/>
      <c r="CC237" s="382"/>
      <c r="CD237" s="382"/>
      <c r="CE237" s="382"/>
      <c r="CF237" s="382"/>
      <c r="CG237" s="382"/>
      <c r="CH237" s="382"/>
      <c r="CI237" s="382"/>
      <c r="CJ237" s="382"/>
      <c r="CK237" s="382"/>
      <c r="CL237" s="382"/>
      <c r="CM237" s="382"/>
      <c r="CN237" s="382"/>
      <c r="CO237" s="382"/>
      <c r="CP237" s="382"/>
      <c r="CQ237" s="382"/>
      <c r="CR237" s="382"/>
      <c r="CS237" s="382"/>
      <c r="CT237" s="382"/>
      <c r="CU237" s="382"/>
      <c r="CV237" s="382"/>
      <c r="CW237" s="800"/>
      <c r="CX237" s="382"/>
      <c r="CY237" s="382"/>
      <c r="CZ237" s="382"/>
      <c r="DA237" s="382"/>
      <c r="DB237" s="382"/>
      <c r="DC237" s="382"/>
      <c r="DD237" s="382"/>
      <c r="DE237" s="382"/>
      <c r="DF237" s="382"/>
      <c r="DG237" s="382"/>
      <c r="DH237" s="382"/>
      <c r="DI237" s="382"/>
      <c r="DJ237" s="382"/>
      <c r="DK237" s="382"/>
      <c r="DL237" s="382"/>
      <c r="DM237" s="382"/>
      <c r="DN237" s="382"/>
      <c r="DO237" s="382"/>
      <c r="DP237" s="382"/>
      <c r="DQ237" s="382"/>
      <c r="DR237" s="382"/>
      <c r="DS237" s="382"/>
      <c r="DT237" s="382"/>
      <c r="DU237" s="382"/>
      <c r="DV237" s="382"/>
      <c r="DW237" s="382"/>
      <c r="DX237" s="382"/>
      <c r="DY237" s="382"/>
      <c r="DZ237" s="228"/>
    </row>
    <row r="238" spans="2:130" s="180" customFormat="1" ht="14.25" customHeight="1" x14ac:dyDescent="0.2">
      <c r="B238" s="800"/>
      <c r="C238" s="800"/>
      <c r="D238" s="800"/>
      <c r="E238" s="769"/>
      <c r="F238" s="769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3"/>
      <c r="T238" s="802"/>
      <c r="U238" s="802"/>
      <c r="V238" s="802"/>
      <c r="W238" s="802"/>
      <c r="X238" s="802"/>
      <c r="Y238" s="802"/>
      <c r="Z238" s="802"/>
      <c r="AA238" s="802"/>
      <c r="AB238" s="802"/>
      <c r="AC238" s="802"/>
      <c r="AD238" s="802"/>
      <c r="AE238" s="802"/>
      <c r="AF238" s="802"/>
      <c r="AG238" s="802"/>
      <c r="AH238" s="382"/>
      <c r="AI238" s="382"/>
      <c r="AJ238" s="382"/>
      <c r="AK238" s="382"/>
      <c r="AL238" s="382"/>
      <c r="AM238" s="382"/>
      <c r="AN238" s="382"/>
      <c r="AO238" s="382"/>
      <c r="AP238" s="382"/>
      <c r="AQ238" s="382"/>
      <c r="AR238" s="382"/>
      <c r="AS238" s="382"/>
      <c r="AT238" s="382"/>
      <c r="AU238" s="382"/>
      <c r="AV238" s="382"/>
      <c r="AW238" s="382"/>
      <c r="AX238" s="382"/>
      <c r="AY238" s="382"/>
      <c r="AZ238" s="382"/>
      <c r="BA238" s="382"/>
      <c r="BB238" s="382"/>
      <c r="BC238" s="382"/>
      <c r="BD238" s="382"/>
      <c r="BE238" s="382"/>
      <c r="BF238" s="382"/>
      <c r="BG238" s="382"/>
      <c r="BH238" s="382"/>
      <c r="BI238" s="382"/>
      <c r="BJ238" s="382"/>
      <c r="BK238" s="382"/>
      <c r="BL238" s="382"/>
      <c r="BM238" s="382"/>
      <c r="BN238" s="382"/>
      <c r="BO238" s="382"/>
      <c r="BP238" s="382"/>
      <c r="BQ238" s="382"/>
      <c r="BR238" s="382"/>
      <c r="BS238" s="382"/>
      <c r="BT238" s="382"/>
      <c r="BU238" s="496"/>
      <c r="BV238" s="382"/>
      <c r="BW238" s="382"/>
      <c r="BX238" s="382"/>
      <c r="BY238" s="382"/>
      <c r="BZ238" s="382"/>
      <c r="CA238" s="382"/>
      <c r="CB238" s="382"/>
      <c r="CC238" s="382"/>
      <c r="CD238" s="382"/>
      <c r="CE238" s="382"/>
      <c r="CF238" s="382"/>
      <c r="CG238" s="382"/>
      <c r="CH238" s="382"/>
      <c r="CI238" s="382"/>
      <c r="CJ238" s="382"/>
      <c r="CK238" s="382"/>
      <c r="CL238" s="382"/>
      <c r="CM238" s="382"/>
      <c r="CN238" s="382"/>
      <c r="CO238" s="382"/>
      <c r="CP238" s="382"/>
      <c r="CQ238" s="382"/>
      <c r="CR238" s="382"/>
      <c r="CS238" s="382"/>
      <c r="CT238" s="382"/>
      <c r="CU238" s="382"/>
      <c r="CV238" s="382"/>
      <c r="CW238" s="800"/>
      <c r="CX238" s="382"/>
      <c r="CY238" s="382"/>
      <c r="CZ238" s="382"/>
      <c r="DA238" s="382"/>
      <c r="DB238" s="382"/>
      <c r="DC238" s="382"/>
      <c r="DD238" s="382"/>
      <c r="DE238" s="382"/>
      <c r="DF238" s="382"/>
      <c r="DG238" s="382"/>
      <c r="DH238" s="382"/>
      <c r="DI238" s="382"/>
      <c r="DJ238" s="382"/>
      <c r="DK238" s="382"/>
      <c r="DL238" s="382"/>
      <c r="DM238" s="382"/>
      <c r="DN238" s="382"/>
      <c r="DO238" s="382"/>
      <c r="DP238" s="382"/>
      <c r="DQ238" s="382"/>
      <c r="DR238" s="382"/>
      <c r="DS238" s="382"/>
      <c r="DT238" s="382"/>
      <c r="DU238" s="382"/>
      <c r="DV238" s="382"/>
      <c r="DW238" s="382"/>
      <c r="DX238" s="382"/>
      <c r="DY238" s="382"/>
      <c r="DZ238" s="228"/>
    </row>
    <row r="239" spans="2:130" s="180" customFormat="1" ht="14.25" customHeight="1" x14ac:dyDescent="0.2">
      <c r="B239" s="800"/>
      <c r="C239" s="800"/>
      <c r="D239" s="800"/>
      <c r="E239" s="769"/>
      <c r="F239" s="769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3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802"/>
      <c r="AD239" s="802"/>
      <c r="AE239" s="802"/>
      <c r="AF239" s="802"/>
      <c r="AG239" s="802"/>
      <c r="AH239" s="382"/>
      <c r="AI239" s="382"/>
      <c r="AJ239" s="382"/>
      <c r="AK239" s="382"/>
      <c r="AL239" s="382"/>
      <c r="AM239" s="382"/>
      <c r="AN239" s="382"/>
      <c r="AO239" s="382"/>
      <c r="AP239" s="382"/>
      <c r="AQ239" s="382"/>
      <c r="AR239" s="382"/>
      <c r="AS239" s="382"/>
      <c r="AT239" s="382"/>
      <c r="AU239" s="382"/>
      <c r="AV239" s="382"/>
      <c r="AW239" s="382"/>
      <c r="AX239" s="382"/>
      <c r="AY239" s="382"/>
      <c r="AZ239" s="382"/>
      <c r="BA239" s="382"/>
      <c r="BB239" s="382"/>
      <c r="BC239" s="382"/>
      <c r="BD239" s="382"/>
      <c r="BE239" s="382"/>
      <c r="BF239" s="382"/>
      <c r="BG239" s="382"/>
      <c r="BH239" s="382"/>
      <c r="BI239" s="382"/>
      <c r="BJ239" s="382"/>
      <c r="BK239" s="382"/>
      <c r="BL239" s="382"/>
      <c r="BM239" s="382"/>
      <c r="BN239" s="382"/>
      <c r="BO239" s="382"/>
      <c r="BP239" s="382"/>
      <c r="BQ239" s="382"/>
      <c r="BR239" s="382"/>
      <c r="BS239" s="382"/>
      <c r="BT239" s="382"/>
      <c r="BU239" s="496"/>
      <c r="BV239" s="382"/>
      <c r="BW239" s="382"/>
      <c r="BX239" s="382"/>
      <c r="BY239" s="382"/>
      <c r="BZ239" s="382"/>
      <c r="CA239" s="382"/>
      <c r="CB239" s="382"/>
      <c r="CC239" s="382"/>
      <c r="CD239" s="382"/>
      <c r="CE239" s="382"/>
      <c r="CF239" s="382"/>
      <c r="CG239" s="382"/>
      <c r="CH239" s="382"/>
      <c r="CI239" s="382"/>
      <c r="CJ239" s="382"/>
      <c r="CK239" s="382"/>
      <c r="CL239" s="382"/>
      <c r="CM239" s="382"/>
      <c r="CN239" s="382"/>
      <c r="CO239" s="382"/>
      <c r="CP239" s="382"/>
      <c r="CQ239" s="382"/>
      <c r="CR239" s="382"/>
      <c r="CS239" s="382"/>
      <c r="CT239" s="382"/>
      <c r="CU239" s="382"/>
      <c r="CV239" s="382"/>
      <c r="CW239" s="800"/>
      <c r="CX239" s="382"/>
      <c r="CY239" s="382"/>
      <c r="CZ239" s="382"/>
      <c r="DA239" s="382"/>
      <c r="DB239" s="382"/>
      <c r="DC239" s="382"/>
      <c r="DD239" s="382"/>
      <c r="DE239" s="382"/>
      <c r="DF239" s="382"/>
      <c r="DG239" s="382"/>
      <c r="DH239" s="382"/>
      <c r="DI239" s="382"/>
      <c r="DJ239" s="382"/>
      <c r="DK239" s="382"/>
      <c r="DL239" s="382"/>
      <c r="DM239" s="382"/>
      <c r="DN239" s="382"/>
      <c r="DO239" s="382"/>
      <c r="DP239" s="382"/>
      <c r="DQ239" s="382"/>
      <c r="DR239" s="382"/>
      <c r="DS239" s="382"/>
      <c r="DT239" s="382"/>
      <c r="DU239" s="382"/>
      <c r="DV239" s="382"/>
      <c r="DW239" s="382"/>
      <c r="DX239" s="382"/>
      <c r="DY239" s="382"/>
      <c r="DZ239" s="228"/>
    </row>
    <row r="240" spans="2:130" s="180" customFormat="1" ht="14.25" customHeight="1" x14ac:dyDescent="0.2">
      <c r="B240" s="800"/>
      <c r="C240" s="800"/>
      <c r="D240" s="800"/>
      <c r="E240" s="769"/>
      <c r="F240" s="769"/>
      <c r="G240" s="802"/>
      <c r="H240" s="802"/>
      <c r="I240" s="802"/>
      <c r="J240" s="802"/>
      <c r="K240" s="802"/>
      <c r="L240" s="802"/>
      <c r="M240" s="802"/>
      <c r="N240" s="802"/>
      <c r="O240" s="802"/>
      <c r="P240" s="802"/>
      <c r="Q240" s="802"/>
      <c r="R240" s="802"/>
      <c r="S240" s="803"/>
      <c r="T240" s="802"/>
      <c r="U240" s="802"/>
      <c r="V240" s="802"/>
      <c r="W240" s="802"/>
      <c r="X240" s="802"/>
      <c r="Y240" s="802"/>
      <c r="Z240" s="802"/>
      <c r="AA240" s="802"/>
      <c r="AB240" s="802"/>
      <c r="AC240" s="802"/>
      <c r="AD240" s="802"/>
      <c r="AE240" s="802"/>
      <c r="AF240" s="802"/>
      <c r="AG240" s="802"/>
      <c r="AH240" s="382"/>
      <c r="AI240" s="382"/>
      <c r="AJ240" s="382"/>
      <c r="AK240" s="382"/>
      <c r="AL240" s="382"/>
      <c r="AM240" s="382"/>
      <c r="AN240" s="382"/>
      <c r="AO240" s="382"/>
      <c r="AP240" s="382"/>
      <c r="AQ240" s="382"/>
      <c r="AR240" s="382"/>
      <c r="AS240" s="382"/>
      <c r="AT240" s="382"/>
      <c r="AU240" s="382"/>
      <c r="AV240" s="382"/>
      <c r="AW240" s="382"/>
      <c r="AX240" s="382"/>
      <c r="AY240" s="382"/>
      <c r="AZ240" s="382"/>
      <c r="BA240" s="382"/>
      <c r="BB240" s="382"/>
      <c r="BC240" s="382"/>
      <c r="BD240" s="382"/>
      <c r="BE240" s="382"/>
      <c r="BF240" s="382"/>
      <c r="BG240" s="382"/>
      <c r="BH240" s="382"/>
      <c r="BI240" s="382"/>
      <c r="BJ240" s="382"/>
      <c r="BK240" s="382"/>
      <c r="BL240" s="382"/>
      <c r="BM240" s="382"/>
      <c r="BN240" s="382"/>
      <c r="BO240" s="382"/>
      <c r="BP240" s="382"/>
      <c r="BQ240" s="382"/>
      <c r="BR240" s="382"/>
      <c r="BS240" s="382"/>
      <c r="BT240" s="382"/>
      <c r="BU240" s="496"/>
      <c r="BV240" s="382"/>
      <c r="BW240" s="382"/>
      <c r="BX240" s="382"/>
      <c r="BY240" s="382"/>
      <c r="BZ240" s="382"/>
      <c r="CA240" s="382"/>
      <c r="CB240" s="382"/>
      <c r="CC240" s="382"/>
      <c r="CD240" s="382"/>
      <c r="CE240" s="382"/>
      <c r="CF240" s="382"/>
      <c r="CG240" s="382"/>
      <c r="CH240" s="382"/>
      <c r="CI240" s="382"/>
      <c r="CJ240" s="382"/>
      <c r="CK240" s="382"/>
      <c r="CL240" s="382"/>
      <c r="CM240" s="382"/>
      <c r="CN240" s="382"/>
      <c r="CO240" s="382"/>
      <c r="CP240" s="382"/>
      <c r="CQ240" s="382"/>
      <c r="CR240" s="382"/>
      <c r="CS240" s="382"/>
      <c r="CT240" s="382"/>
      <c r="CU240" s="382"/>
      <c r="CV240" s="382"/>
      <c r="CW240" s="800"/>
      <c r="CX240" s="382"/>
      <c r="CY240" s="382"/>
      <c r="CZ240" s="382"/>
      <c r="DA240" s="382"/>
      <c r="DB240" s="382"/>
      <c r="DC240" s="382"/>
      <c r="DD240" s="382"/>
      <c r="DE240" s="382"/>
      <c r="DF240" s="382"/>
      <c r="DG240" s="382"/>
      <c r="DH240" s="382"/>
      <c r="DI240" s="382"/>
      <c r="DJ240" s="382"/>
      <c r="DK240" s="382"/>
      <c r="DL240" s="382"/>
      <c r="DM240" s="382"/>
      <c r="DN240" s="382"/>
      <c r="DO240" s="382"/>
      <c r="DP240" s="382"/>
      <c r="DQ240" s="382"/>
      <c r="DR240" s="382"/>
      <c r="DS240" s="382"/>
      <c r="DT240" s="382"/>
      <c r="DU240" s="382"/>
      <c r="DV240" s="382"/>
      <c r="DW240" s="382"/>
      <c r="DX240" s="382"/>
      <c r="DY240" s="382"/>
      <c r="DZ240" s="228"/>
    </row>
    <row r="241" spans="2:130" s="180" customFormat="1" ht="14.25" customHeight="1" x14ac:dyDescent="0.2">
      <c r="B241" s="800"/>
      <c r="C241" s="800"/>
      <c r="D241" s="800"/>
      <c r="E241" s="769"/>
      <c r="F241" s="769"/>
      <c r="G241" s="802"/>
      <c r="H241" s="802"/>
      <c r="I241" s="802"/>
      <c r="J241" s="802"/>
      <c r="K241" s="802"/>
      <c r="L241" s="802"/>
      <c r="M241" s="802"/>
      <c r="N241" s="802"/>
      <c r="O241" s="802"/>
      <c r="P241" s="802"/>
      <c r="Q241" s="802"/>
      <c r="R241" s="802"/>
      <c r="S241" s="803"/>
      <c r="T241" s="802"/>
      <c r="U241" s="802"/>
      <c r="V241" s="802"/>
      <c r="W241" s="802"/>
      <c r="X241" s="802"/>
      <c r="Y241" s="802"/>
      <c r="Z241" s="802"/>
      <c r="AA241" s="802"/>
      <c r="AB241" s="802"/>
      <c r="AC241" s="802"/>
      <c r="AD241" s="802"/>
      <c r="AE241" s="802"/>
      <c r="AF241" s="802"/>
      <c r="AG241" s="802"/>
      <c r="AH241" s="382"/>
      <c r="AI241" s="382"/>
      <c r="AJ241" s="382"/>
      <c r="AK241" s="382"/>
      <c r="AL241" s="382"/>
      <c r="AM241" s="382"/>
      <c r="AN241" s="382"/>
      <c r="AO241" s="382"/>
      <c r="AP241" s="382"/>
      <c r="AQ241" s="382"/>
      <c r="AR241" s="382"/>
      <c r="AS241" s="382"/>
      <c r="AT241" s="382"/>
      <c r="AU241" s="382"/>
      <c r="AV241" s="382"/>
      <c r="AW241" s="382"/>
      <c r="AX241" s="382"/>
      <c r="AY241" s="382"/>
      <c r="AZ241" s="382"/>
      <c r="BA241" s="382"/>
      <c r="BB241" s="382"/>
      <c r="BC241" s="382"/>
      <c r="BD241" s="382"/>
      <c r="BE241" s="382"/>
      <c r="BF241" s="382"/>
      <c r="BG241" s="382"/>
      <c r="BH241" s="382"/>
      <c r="BI241" s="382"/>
      <c r="BJ241" s="382"/>
      <c r="BK241" s="382"/>
      <c r="BL241" s="382"/>
      <c r="BM241" s="382"/>
      <c r="BN241" s="382"/>
      <c r="BO241" s="382"/>
      <c r="BP241" s="382"/>
      <c r="BQ241" s="382"/>
      <c r="BR241" s="382"/>
      <c r="BS241" s="382"/>
      <c r="BT241" s="382"/>
      <c r="BU241" s="496"/>
      <c r="BV241" s="382"/>
      <c r="BW241" s="382"/>
      <c r="BX241" s="382"/>
      <c r="BY241" s="382"/>
      <c r="BZ241" s="382"/>
      <c r="CA241" s="382"/>
      <c r="CB241" s="382"/>
      <c r="CC241" s="382"/>
      <c r="CD241" s="382"/>
      <c r="CE241" s="382"/>
      <c r="CF241" s="382"/>
      <c r="CG241" s="382"/>
      <c r="CH241" s="382"/>
      <c r="CI241" s="382"/>
      <c r="CJ241" s="382"/>
      <c r="CK241" s="382"/>
      <c r="CL241" s="382"/>
      <c r="CM241" s="382"/>
      <c r="CN241" s="382"/>
      <c r="CO241" s="382"/>
      <c r="CP241" s="382"/>
      <c r="CQ241" s="382"/>
      <c r="CR241" s="382"/>
      <c r="CS241" s="382"/>
      <c r="CT241" s="382"/>
      <c r="CU241" s="382"/>
      <c r="CV241" s="382"/>
      <c r="CW241" s="800"/>
      <c r="CX241" s="382"/>
      <c r="CY241" s="382"/>
      <c r="CZ241" s="382"/>
      <c r="DA241" s="382"/>
      <c r="DB241" s="382"/>
      <c r="DC241" s="382"/>
      <c r="DD241" s="382"/>
      <c r="DE241" s="382"/>
      <c r="DF241" s="382"/>
      <c r="DG241" s="382"/>
      <c r="DH241" s="382"/>
      <c r="DI241" s="382"/>
      <c r="DJ241" s="382"/>
      <c r="DK241" s="382"/>
      <c r="DL241" s="382"/>
      <c r="DM241" s="382"/>
      <c r="DN241" s="382"/>
      <c r="DO241" s="382"/>
      <c r="DP241" s="382"/>
      <c r="DQ241" s="382"/>
      <c r="DR241" s="382"/>
      <c r="DS241" s="382"/>
      <c r="DT241" s="382"/>
      <c r="DU241" s="382"/>
      <c r="DV241" s="382"/>
      <c r="DW241" s="382"/>
      <c r="DX241" s="382"/>
      <c r="DY241" s="382"/>
      <c r="DZ241" s="228"/>
    </row>
    <row r="242" spans="2:130" s="180" customFormat="1" ht="14.25" customHeight="1" x14ac:dyDescent="0.2">
      <c r="B242" s="800"/>
      <c r="C242" s="800"/>
      <c r="D242" s="800"/>
      <c r="E242" s="769"/>
      <c r="F242" s="769"/>
      <c r="G242" s="802"/>
      <c r="H242" s="802"/>
      <c r="I242" s="802"/>
      <c r="J242" s="802"/>
      <c r="K242" s="802"/>
      <c r="L242" s="802"/>
      <c r="M242" s="802"/>
      <c r="N242" s="802"/>
      <c r="O242" s="802"/>
      <c r="P242" s="802"/>
      <c r="Q242" s="802"/>
      <c r="R242" s="802"/>
      <c r="S242" s="803"/>
      <c r="T242" s="802"/>
      <c r="U242" s="802"/>
      <c r="V242" s="802"/>
      <c r="W242" s="802"/>
      <c r="X242" s="802"/>
      <c r="Y242" s="802"/>
      <c r="Z242" s="802"/>
      <c r="AA242" s="802"/>
      <c r="AB242" s="802"/>
      <c r="AC242" s="802"/>
      <c r="AD242" s="802"/>
      <c r="AE242" s="802"/>
      <c r="AF242" s="802"/>
      <c r="AG242" s="802"/>
      <c r="AH242" s="382"/>
      <c r="AI242" s="382"/>
      <c r="AJ242" s="382"/>
      <c r="AK242" s="382"/>
      <c r="AL242" s="382"/>
      <c r="AM242" s="382"/>
      <c r="AN242" s="382"/>
      <c r="AO242" s="382"/>
      <c r="AP242" s="382"/>
      <c r="AQ242" s="382"/>
      <c r="AR242" s="382"/>
      <c r="AS242" s="382"/>
      <c r="AT242" s="382"/>
      <c r="AU242" s="382"/>
      <c r="AV242" s="382"/>
      <c r="AW242" s="382"/>
      <c r="AX242" s="382"/>
      <c r="AY242" s="382"/>
      <c r="AZ242" s="382"/>
      <c r="BA242" s="382"/>
      <c r="BB242" s="382"/>
      <c r="BC242" s="382"/>
      <c r="BD242" s="382"/>
      <c r="BE242" s="382"/>
      <c r="BF242" s="382"/>
      <c r="BG242" s="382"/>
      <c r="BH242" s="382"/>
      <c r="BI242" s="382"/>
      <c r="BJ242" s="382"/>
      <c r="BK242" s="382"/>
      <c r="BL242" s="382"/>
      <c r="BM242" s="382"/>
      <c r="BN242" s="382"/>
      <c r="BO242" s="382"/>
      <c r="BP242" s="382"/>
      <c r="BQ242" s="382"/>
      <c r="BR242" s="382"/>
      <c r="BS242" s="382"/>
      <c r="BT242" s="382"/>
      <c r="BU242" s="496"/>
      <c r="BV242" s="382"/>
      <c r="BW242" s="382"/>
      <c r="BX242" s="382"/>
      <c r="BY242" s="382"/>
      <c r="BZ242" s="382"/>
      <c r="CA242" s="382"/>
      <c r="CB242" s="382"/>
      <c r="CC242" s="382"/>
      <c r="CD242" s="382"/>
      <c r="CE242" s="382"/>
      <c r="CF242" s="382"/>
      <c r="CG242" s="382"/>
      <c r="CH242" s="382"/>
      <c r="CI242" s="382"/>
      <c r="CJ242" s="382"/>
      <c r="CK242" s="382"/>
      <c r="CL242" s="382"/>
      <c r="CM242" s="382"/>
      <c r="CN242" s="382"/>
      <c r="CO242" s="382"/>
      <c r="CP242" s="382"/>
      <c r="CQ242" s="382"/>
      <c r="CR242" s="382"/>
      <c r="CS242" s="382"/>
      <c r="CT242" s="382"/>
      <c r="CU242" s="382"/>
      <c r="CV242" s="382"/>
      <c r="CW242" s="800"/>
      <c r="CX242" s="382"/>
      <c r="CY242" s="382"/>
      <c r="CZ242" s="382"/>
      <c r="DA242" s="382"/>
      <c r="DB242" s="382"/>
      <c r="DC242" s="382"/>
      <c r="DD242" s="382"/>
      <c r="DE242" s="382"/>
      <c r="DF242" s="382"/>
      <c r="DG242" s="382"/>
      <c r="DH242" s="382"/>
      <c r="DI242" s="382"/>
      <c r="DJ242" s="382"/>
      <c r="DK242" s="382"/>
      <c r="DL242" s="382"/>
      <c r="DM242" s="382"/>
      <c r="DN242" s="382"/>
      <c r="DO242" s="382"/>
      <c r="DP242" s="382"/>
      <c r="DQ242" s="382"/>
      <c r="DR242" s="382"/>
      <c r="DS242" s="382"/>
      <c r="DT242" s="382"/>
      <c r="DU242" s="382"/>
      <c r="DV242" s="382"/>
      <c r="DW242" s="382"/>
      <c r="DX242" s="382"/>
      <c r="DY242" s="382"/>
      <c r="DZ242" s="228"/>
    </row>
    <row r="243" spans="2:130" s="180" customFormat="1" ht="14.25" customHeight="1" x14ac:dyDescent="0.2">
      <c r="B243" s="800"/>
      <c r="C243" s="800"/>
      <c r="D243" s="800"/>
      <c r="E243" s="769"/>
      <c r="F243" s="769"/>
      <c r="G243" s="802"/>
      <c r="H243" s="802"/>
      <c r="I243" s="802"/>
      <c r="J243" s="802"/>
      <c r="K243" s="802"/>
      <c r="L243" s="802"/>
      <c r="M243" s="802"/>
      <c r="N243" s="802"/>
      <c r="O243" s="802"/>
      <c r="P243" s="802"/>
      <c r="Q243" s="802"/>
      <c r="R243" s="802"/>
      <c r="S243" s="803"/>
      <c r="T243" s="802"/>
      <c r="U243" s="802"/>
      <c r="V243" s="802"/>
      <c r="W243" s="802"/>
      <c r="X243" s="802"/>
      <c r="Y243" s="802"/>
      <c r="Z243" s="802"/>
      <c r="AA243" s="802"/>
      <c r="AB243" s="802"/>
      <c r="AC243" s="802"/>
      <c r="AD243" s="802"/>
      <c r="AE243" s="802"/>
      <c r="AF243" s="802"/>
      <c r="AG243" s="802"/>
      <c r="AH243" s="382"/>
      <c r="AI243" s="382"/>
      <c r="AJ243" s="382"/>
      <c r="AK243" s="382"/>
      <c r="AL243" s="382"/>
      <c r="AM243" s="382"/>
      <c r="AN243" s="382"/>
      <c r="AO243" s="382"/>
      <c r="AP243" s="382"/>
      <c r="AQ243" s="382"/>
      <c r="AR243" s="382"/>
      <c r="AS243" s="382"/>
      <c r="AT243" s="382"/>
      <c r="AU243" s="382"/>
      <c r="AV243" s="382"/>
      <c r="AW243" s="382"/>
      <c r="AX243" s="382"/>
      <c r="AY243" s="382"/>
      <c r="AZ243" s="382"/>
      <c r="BA243" s="382"/>
      <c r="BB243" s="382"/>
      <c r="BC243" s="382"/>
      <c r="BD243" s="382"/>
      <c r="BE243" s="382"/>
      <c r="BF243" s="382"/>
      <c r="BG243" s="382"/>
      <c r="BH243" s="382"/>
      <c r="BI243" s="382"/>
      <c r="BJ243" s="382"/>
      <c r="BK243" s="382"/>
      <c r="BL243" s="382"/>
      <c r="BM243" s="382"/>
      <c r="BN243" s="382"/>
      <c r="BO243" s="382"/>
      <c r="BP243" s="382"/>
      <c r="BQ243" s="382"/>
      <c r="BR243" s="382"/>
      <c r="BS243" s="382"/>
      <c r="BT243" s="382"/>
      <c r="BU243" s="496"/>
      <c r="BV243" s="382"/>
      <c r="BW243" s="382"/>
      <c r="BX243" s="382"/>
      <c r="BY243" s="382"/>
      <c r="BZ243" s="382"/>
      <c r="CA243" s="382"/>
      <c r="CB243" s="382"/>
      <c r="CC243" s="382"/>
      <c r="CD243" s="382"/>
      <c r="CE243" s="382"/>
      <c r="CF243" s="382"/>
      <c r="CG243" s="382"/>
      <c r="CH243" s="382"/>
      <c r="CI243" s="382"/>
      <c r="CJ243" s="382"/>
      <c r="CK243" s="382"/>
      <c r="CL243" s="382"/>
      <c r="CM243" s="382"/>
      <c r="CN243" s="382"/>
      <c r="CO243" s="382"/>
      <c r="CP243" s="382"/>
      <c r="CQ243" s="382"/>
      <c r="CR243" s="382"/>
      <c r="CS243" s="382"/>
      <c r="CT243" s="382"/>
      <c r="CU243" s="382"/>
      <c r="CV243" s="382"/>
      <c r="CW243" s="800"/>
      <c r="CX243" s="382"/>
      <c r="CY243" s="382"/>
      <c r="CZ243" s="382"/>
      <c r="DA243" s="382"/>
      <c r="DB243" s="382"/>
      <c r="DC243" s="382"/>
      <c r="DD243" s="382"/>
      <c r="DE243" s="382"/>
      <c r="DF243" s="382"/>
      <c r="DG243" s="382"/>
      <c r="DH243" s="382"/>
      <c r="DI243" s="382"/>
      <c r="DJ243" s="382"/>
      <c r="DK243" s="382"/>
      <c r="DL243" s="382"/>
      <c r="DM243" s="382"/>
      <c r="DN243" s="382"/>
      <c r="DO243" s="382"/>
      <c r="DP243" s="382"/>
      <c r="DQ243" s="382"/>
      <c r="DR243" s="382"/>
      <c r="DS243" s="382"/>
      <c r="DT243" s="382"/>
      <c r="DU243" s="382"/>
      <c r="DV243" s="382"/>
      <c r="DW243" s="382"/>
      <c r="DX243" s="382"/>
      <c r="DY243" s="382"/>
      <c r="DZ243" s="228"/>
    </row>
    <row r="244" spans="2:130" s="180" customFormat="1" ht="14.25" customHeight="1" x14ac:dyDescent="0.2">
      <c r="B244" s="800"/>
      <c r="C244" s="800"/>
      <c r="D244" s="800"/>
      <c r="E244" s="769"/>
      <c r="F244" s="769"/>
      <c r="G244" s="802"/>
      <c r="H244" s="802"/>
      <c r="I244" s="802"/>
      <c r="J244" s="802"/>
      <c r="K244" s="802"/>
      <c r="L244" s="802"/>
      <c r="M244" s="802"/>
      <c r="N244" s="802"/>
      <c r="O244" s="802"/>
      <c r="P244" s="802"/>
      <c r="Q244" s="802"/>
      <c r="R244" s="802"/>
      <c r="S244" s="803"/>
      <c r="T244" s="802"/>
      <c r="U244" s="802"/>
      <c r="V244" s="802"/>
      <c r="W244" s="802"/>
      <c r="X244" s="802"/>
      <c r="Y244" s="802"/>
      <c r="Z244" s="802"/>
      <c r="AA244" s="802"/>
      <c r="AB244" s="802"/>
      <c r="AC244" s="802"/>
      <c r="AD244" s="802"/>
      <c r="AE244" s="802"/>
      <c r="AF244" s="802"/>
      <c r="AG244" s="802"/>
      <c r="AH244" s="382"/>
      <c r="AI244" s="382"/>
      <c r="AJ244" s="382"/>
      <c r="AK244" s="382"/>
      <c r="AL244" s="382"/>
      <c r="AM244" s="382"/>
      <c r="AN244" s="382"/>
      <c r="AO244" s="382"/>
      <c r="AP244" s="382"/>
      <c r="AQ244" s="382"/>
      <c r="AR244" s="382"/>
      <c r="AS244" s="382"/>
      <c r="AT244" s="382"/>
      <c r="AU244" s="382"/>
      <c r="AV244" s="382"/>
      <c r="AW244" s="382"/>
      <c r="AX244" s="382"/>
      <c r="AY244" s="382"/>
      <c r="AZ244" s="382"/>
      <c r="BA244" s="382"/>
      <c r="BB244" s="382"/>
      <c r="BC244" s="382"/>
      <c r="BD244" s="382"/>
      <c r="BE244" s="382"/>
      <c r="BF244" s="382"/>
      <c r="BG244" s="382"/>
      <c r="BH244" s="382"/>
      <c r="BI244" s="382"/>
      <c r="BJ244" s="382"/>
      <c r="BK244" s="382"/>
      <c r="BL244" s="382"/>
      <c r="BM244" s="382"/>
      <c r="BN244" s="382"/>
      <c r="BO244" s="382"/>
      <c r="BP244" s="382"/>
      <c r="BQ244" s="382"/>
      <c r="BR244" s="382"/>
      <c r="BS244" s="382"/>
      <c r="BT244" s="382"/>
      <c r="BU244" s="496"/>
      <c r="BV244" s="382"/>
      <c r="BW244" s="382"/>
      <c r="BX244" s="382"/>
      <c r="BY244" s="382"/>
      <c r="BZ244" s="382"/>
      <c r="CA244" s="382"/>
      <c r="CB244" s="382"/>
      <c r="CC244" s="382"/>
      <c r="CD244" s="382"/>
      <c r="CE244" s="382"/>
      <c r="CF244" s="382"/>
      <c r="CG244" s="382"/>
      <c r="CH244" s="382"/>
      <c r="CI244" s="382"/>
      <c r="CJ244" s="382"/>
      <c r="CK244" s="382"/>
      <c r="CL244" s="382"/>
      <c r="CM244" s="382"/>
      <c r="CN244" s="382"/>
      <c r="CO244" s="382"/>
      <c r="CP244" s="382"/>
      <c r="CQ244" s="382"/>
      <c r="CR244" s="382"/>
      <c r="CS244" s="382"/>
      <c r="CT244" s="382"/>
      <c r="CU244" s="382"/>
      <c r="CV244" s="382"/>
      <c r="CW244" s="800"/>
      <c r="CX244" s="382"/>
      <c r="CY244" s="382"/>
      <c r="CZ244" s="382"/>
      <c r="DA244" s="382"/>
      <c r="DB244" s="382"/>
      <c r="DC244" s="382"/>
      <c r="DD244" s="382"/>
      <c r="DE244" s="382"/>
      <c r="DF244" s="382"/>
      <c r="DG244" s="382"/>
      <c r="DH244" s="382"/>
      <c r="DI244" s="382"/>
      <c r="DJ244" s="382"/>
      <c r="DK244" s="382"/>
      <c r="DL244" s="382"/>
      <c r="DM244" s="382"/>
      <c r="DN244" s="382"/>
      <c r="DO244" s="382"/>
      <c r="DP244" s="382"/>
      <c r="DQ244" s="382"/>
      <c r="DR244" s="382"/>
      <c r="DS244" s="382"/>
      <c r="DT244" s="382"/>
      <c r="DU244" s="382"/>
      <c r="DV244" s="382"/>
      <c r="DW244" s="382"/>
      <c r="DX244" s="382"/>
      <c r="DY244" s="382"/>
      <c r="DZ244" s="228"/>
    </row>
    <row r="245" spans="2:130" s="180" customFormat="1" ht="14.25" customHeight="1" x14ac:dyDescent="0.2">
      <c r="B245" s="800"/>
      <c r="C245" s="800"/>
      <c r="D245" s="800"/>
      <c r="E245" s="769"/>
      <c r="F245" s="769"/>
      <c r="G245" s="802"/>
      <c r="H245" s="802"/>
      <c r="I245" s="802"/>
      <c r="J245" s="802"/>
      <c r="K245" s="802"/>
      <c r="L245" s="802"/>
      <c r="M245" s="802"/>
      <c r="N245" s="802"/>
      <c r="O245" s="802"/>
      <c r="P245" s="802"/>
      <c r="Q245" s="802"/>
      <c r="R245" s="802"/>
      <c r="S245" s="803"/>
      <c r="T245" s="802"/>
      <c r="U245" s="802"/>
      <c r="V245" s="802"/>
      <c r="W245" s="802"/>
      <c r="X245" s="802"/>
      <c r="Y245" s="802"/>
      <c r="Z245" s="802"/>
      <c r="AA245" s="802"/>
      <c r="AB245" s="802"/>
      <c r="AC245" s="802"/>
      <c r="AD245" s="802"/>
      <c r="AE245" s="802"/>
      <c r="AF245" s="802"/>
      <c r="AG245" s="802"/>
      <c r="AH245" s="382"/>
      <c r="AI245" s="382"/>
      <c r="AJ245" s="382"/>
      <c r="AK245" s="382"/>
      <c r="AL245" s="382"/>
      <c r="AM245" s="382"/>
      <c r="AN245" s="382"/>
      <c r="AO245" s="382"/>
      <c r="AP245" s="382"/>
      <c r="AQ245" s="382"/>
      <c r="AR245" s="382"/>
      <c r="AS245" s="382"/>
      <c r="AT245" s="382"/>
      <c r="AU245" s="382"/>
      <c r="AV245" s="382"/>
      <c r="AW245" s="382"/>
      <c r="AX245" s="382"/>
      <c r="AY245" s="382"/>
      <c r="AZ245" s="382"/>
      <c r="BA245" s="382"/>
      <c r="BB245" s="382"/>
      <c r="BC245" s="382"/>
      <c r="BD245" s="382"/>
      <c r="BE245" s="382"/>
      <c r="BF245" s="382"/>
      <c r="BG245" s="382"/>
      <c r="BH245" s="382"/>
      <c r="BI245" s="382"/>
      <c r="BJ245" s="382"/>
      <c r="BK245" s="382"/>
      <c r="BL245" s="382"/>
      <c r="BM245" s="382"/>
      <c r="BN245" s="382"/>
      <c r="BO245" s="382"/>
      <c r="BP245" s="382"/>
      <c r="BQ245" s="382"/>
      <c r="BR245" s="382"/>
      <c r="BS245" s="382"/>
      <c r="BT245" s="382"/>
      <c r="BU245" s="496"/>
      <c r="BV245" s="382"/>
      <c r="BW245" s="382"/>
      <c r="BX245" s="382"/>
      <c r="BY245" s="382"/>
      <c r="BZ245" s="382"/>
      <c r="CA245" s="382"/>
      <c r="CB245" s="382"/>
      <c r="CC245" s="382"/>
      <c r="CD245" s="382"/>
      <c r="CE245" s="382"/>
      <c r="CF245" s="382"/>
      <c r="CG245" s="382"/>
      <c r="CH245" s="382"/>
      <c r="CI245" s="382"/>
      <c r="CJ245" s="382"/>
      <c r="CK245" s="382"/>
      <c r="CL245" s="382"/>
      <c r="CM245" s="382"/>
      <c r="CN245" s="382"/>
      <c r="CO245" s="382"/>
      <c r="CP245" s="382"/>
      <c r="CQ245" s="382"/>
      <c r="CR245" s="382"/>
      <c r="CS245" s="382"/>
      <c r="CT245" s="382"/>
      <c r="CU245" s="382"/>
      <c r="CV245" s="382"/>
      <c r="CW245" s="800"/>
      <c r="CX245" s="382"/>
      <c r="CY245" s="382"/>
      <c r="CZ245" s="382"/>
      <c r="DA245" s="382"/>
      <c r="DB245" s="382"/>
      <c r="DC245" s="382"/>
      <c r="DD245" s="382"/>
      <c r="DE245" s="382"/>
      <c r="DF245" s="382"/>
      <c r="DG245" s="382"/>
      <c r="DH245" s="382"/>
      <c r="DI245" s="382"/>
      <c r="DJ245" s="382"/>
      <c r="DK245" s="382"/>
      <c r="DL245" s="382"/>
      <c r="DM245" s="382"/>
      <c r="DN245" s="382"/>
      <c r="DO245" s="382"/>
      <c r="DP245" s="382"/>
      <c r="DQ245" s="382"/>
      <c r="DR245" s="382"/>
      <c r="DS245" s="382"/>
      <c r="DT245" s="382"/>
      <c r="DU245" s="382"/>
      <c r="DV245" s="382"/>
      <c r="DW245" s="382"/>
      <c r="DX245" s="382"/>
      <c r="DY245" s="382"/>
      <c r="DZ245" s="228"/>
    </row>
    <row r="246" spans="2:130" s="180" customFormat="1" ht="14.25" customHeight="1" x14ac:dyDescent="0.2">
      <c r="B246" s="800"/>
      <c r="C246" s="800"/>
      <c r="D246" s="800"/>
      <c r="E246" s="769"/>
      <c r="F246" s="769"/>
      <c r="G246" s="802"/>
      <c r="H246" s="802"/>
      <c r="I246" s="802"/>
      <c r="J246" s="802"/>
      <c r="K246" s="802"/>
      <c r="L246" s="802"/>
      <c r="M246" s="802"/>
      <c r="N246" s="802"/>
      <c r="O246" s="802"/>
      <c r="P246" s="802"/>
      <c r="Q246" s="802"/>
      <c r="R246" s="802"/>
      <c r="S246" s="803"/>
      <c r="T246" s="802"/>
      <c r="U246" s="802"/>
      <c r="V246" s="802"/>
      <c r="W246" s="802"/>
      <c r="X246" s="802"/>
      <c r="Y246" s="802"/>
      <c r="Z246" s="802"/>
      <c r="AA246" s="802"/>
      <c r="AB246" s="802"/>
      <c r="AC246" s="802"/>
      <c r="AD246" s="802"/>
      <c r="AE246" s="802"/>
      <c r="AF246" s="802"/>
      <c r="AG246" s="802"/>
      <c r="AH246" s="382"/>
      <c r="AI246" s="382"/>
      <c r="AJ246" s="382"/>
      <c r="AK246" s="382"/>
      <c r="AL246" s="382"/>
      <c r="AM246" s="382"/>
      <c r="AN246" s="382"/>
      <c r="AO246" s="382"/>
      <c r="AP246" s="382"/>
      <c r="AQ246" s="382"/>
      <c r="AR246" s="382"/>
      <c r="AS246" s="382"/>
      <c r="AT246" s="382"/>
      <c r="AU246" s="382"/>
      <c r="AV246" s="382"/>
      <c r="AW246" s="382"/>
      <c r="AX246" s="382"/>
      <c r="AY246" s="382"/>
      <c r="AZ246" s="382"/>
      <c r="BA246" s="382"/>
      <c r="BB246" s="382"/>
      <c r="BC246" s="382"/>
      <c r="BD246" s="382"/>
      <c r="BE246" s="382"/>
      <c r="BF246" s="382"/>
      <c r="BG246" s="382"/>
      <c r="BH246" s="382"/>
      <c r="BI246" s="382"/>
      <c r="BJ246" s="382"/>
      <c r="BK246" s="382"/>
      <c r="BL246" s="382"/>
      <c r="BM246" s="382"/>
      <c r="BN246" s="382"/>
      <c r="BO246" s="382"/>
      <c r="BP246" s="382"/>
      <c r="BQ246" s="382"/>
      <c r="BR246" s="382"/>
      <c r="BS246" s="382"/>
      <c r="BT246" s="382"/>
      <c r="BU246" s="496"/>
      <c r="BV246" s="382"/>
      <c r="BW246" s="382"/>
      <c r="BX246" s="382"/>
      <c r="BY246" s="382"/>
      <c r="BZ246" s="382"/>
      <c r="CA246" s="382"/>
      <c r="CB246" s="382"/>
      <c r="CC246" s="382"/>
      <c r="CD246" s="382"/>
      <c r="CE246" s="382"/>
      <c r="CF246" s="382"/>
      <c r="CG246" s="382"/>
      <c r="CH246" s="382"/>
      <c r="CI246" s="382"/>
      <c r="CJ246" s="382"/>
      <c r="CK246" s="382"/>
      <c r="CL246" s="382"/>
      <c r="CM246" s="382"/>
      <c r="CN246" s="382"/>
      <c r="CO246" s="382"/>
      <c r="CP246" s="382"/>
      <c r="CQ246" s="382"/>
      <c r="CR246" s="382"/>
      <c r="CS246" s="382"/>
      <c r="CT246" s="382"/>
      <c r="CU246" s="382"/>
      <c r="CV246" s="382"/>
      <c r="CW246" s="800"/>
      <c r="CX246" s="382"/>
      <c r="CY246" s="382"/>
      <c r="CZ246" s="382"/>
      <c r="DA246" s="382"/>
      <c r="DB246" s="382"/>
      <c r="DC246" s="382"/>
      <c r="DD246" s="382"/>
      <c r="DE246" s="382"/>
      <c r="DF246" s="382"/>
      <c r="DG246" s="382"/>
      <c r="DH246" s="382"/>
      <c r="DI246" s="382"/>
      <c r="DJ246" s="382"/>
      <c r="DK246" s="382"/>
      <c r="DL246" s="382"/>
      <c r="DM246" s="382"/>
      <c r="DN246" s="382"/>
      <c r="DO246" s="382"/>
      <c r="DP246" s="382"/>
      <c r="DQ246" s="382"/>
      <c r="DR246" s="382"/>
      <c r="DS246" s="382"/>
      <c r="DT246" s="382"/>
      <c r="DU246" s="382"/>
      <c r="DV246" s="382"/>
      <c r="DW246" s="382"/>
      <c r="DX246" s="382"/>
      <c r="DY246" s="382"/>
      <c r="DZ246" s="228"/>
    </row>
    <row r="247" spans="2:130" s="180" customFormat="1" ht="14.25" customHeight="1" x14ac:dyDescent="0.2">
      <c r="B247" s="800"/>
      <c r="C247" s="800"/>
      <c r="D247" s="800"/>
      <c r="E247" s="769"/>
      <c r="F247" s="769"/>
      <c r="G247" s="802"/>
      <c r="H247" s="802"/>
      <c r="I247" s="802"/>
      <c r="J247" s="802"/>
      <c r="K247" s="802"/>
      <c r="L247" s="802"/>
      <c r="M247" s="802"/>
      <c r="N247" s="802"/>
      <c r="O247" s="802"/>
      <c r="P247" s="802"/>
      <c r="Q247" s="802"/>
      <c r="R247" s="802"/>
      <c r="S247" s="803"/>
      <c r="T247" s="802"/>
      <c r="U247" s="802"/>
      <c r="V247" s="802"/>
      <c r="W247" s="802"/>
      <c r="X247" s="802"/>
      <c r="Y247" s="802"/>
      <c r="Z247" s="802"/>
      <c r="AA247" s="802"/>
      <c r="AB247" s="802"/>
      <c r="AC247" s="802"/>
      <c r="AD247" s="802"/>
      <c r="AE247" s="802"/>
      <c r="AF247" s="802"/>
      <c r="AG247" s="802"/>
      <c r="AH247" s="382"/>
      <c r="AI247" s="382"/>
      <c r="AJ247" s="382"/>
      <c r="AK247" s="382"/>
      <c r="AL247" s="382"/>
      <c r="AM247" s="382"/>
      <c r="AN247" s="382"/>
      <c r="AO247" s="382"/>
      <c r="AP247" s="382"/>
      <c r="AQ247" s="382"/>
      <c r="AR247" s="382"/>
      <c r="AS247" s="382"/>
      <c r="AT247" s="382"/>
      <c r="AU247" s="382"/>
      <c r="AV247" s="382"/>
      <c r="AW247" s="382"/>
      <c r="AX247" s="382"/>
      <c r="AY247" s="382"/>
      <c r="AZ247" s="382"/>
      <c r="BA247" s="382"/>
      <c r="BB247" s="382"/>
      <c r="BC247" s="382"/>
      <c r="BD247" s="382"/>
      <c r="BE247" s="382"/>
      <c r="BF247" s="382"/>
      <c r="BG247" s="382"/>
      <c r="BH247" s="382"/>
      <c r="BI247" s="382"/>
      <c r="BJ247" s="382"/>
      <c r="BK247" s="382"/>
      <c r="BL247" s="382"/>
      <c r="BM247" s="382"/>
      <c r="BN247" s="382"/>
      <c r="BO247" s="382"/>
      <c r="BP247" s="382"/>
      <c r="BQ247" s="382"/>
      <c r="BR247" s="382"/>
      <c r="BS247" s="382"/>
      <c r="BT247" s="382"/>
      <c r="BU247" s="496"/>
      <c r="BV247" s="382"/>
      <c r="BW247" s="382"/>
      <c r="BX247" s="382"/>
      <c r="BY247" s="382"/>
      <c r="BZ247" s="382"/>
      <c r="CA247" s="382"/>
      <c r="CB247" s="382"/>
      <c r="CC247" s="382"/>
      <c r="CD247" s="382"/>
      <c r="CE247" s="382"/>
      <c r="CF247" s="382"/>
      <c r="CG247" s="382"/>
      <c r="CH247" s="382"/>
      <c r="CI247" s="382"/>
      <c r="CJ247" s="382"/>
      <c r="CK247" s="382"/>
      <c r="CL247" s="382"/>
      <c r="CM247" s="382"/>
      <c r="CN247" s="382"/>
      <c r="CO247" s="382"/>
      <c r="CP247" s="382"/>
      <c r="CQ247" s="382"/>
      <c r="CR247" s="382"/>
      <c r="CS247" s="382"/>
      <c r="CT247" s="382"/>
      <c r="CU247" s="382"/>
      <c r="CV247" s="382"/>
      <c r="CW247" s="800"/>
      <c r="CX247" s="382"/>
      <c r="CY247" s="382"/>
      <c r="CZ247" s="382"/>
      <c r="DA247" s="382"/>
      <c r="DB247" s="382"/>
      <c r="DC247" s="382"/>
      <c r="DD247" s="382"/>
      <c r="DE247" s="382"/>
      <c r="DF247" s="382"/>
      <c r="DG247" s="382"/>
      <c r="DH247" s="382"/>
      <c r="DI247" s="382"/>
      <c r="DJ247" s="382"/>
      <c r="DK247" s="382"/>
      <c r="DL247" s="382"/>
      <c r="DM247" s="382"/>
      <c r="DN247" s="382"/>
      <c r="DO247" s="382"/>
      <c r="DP247" s="382"/>
      <c r="DQ247" s="382"/>
      <c r="DR247" s="382"/>
      <c r="DS247" s="382"/>
      <c r="DT247" s="382"/>
      <c r="DU247" s="382"/>
      <c r="DV247" s="382"/>
      <c r="DW247" s="382"/>
      <c r="DX247" s="382"/>
      <c r="DY247" s="382"/>
      <c r="DZ247" s="228"/>
    </row>
    <row r="248" spans="2:130" s="180" customFormat="1" ht="14.25" customHeight="1" x14ac:dyDescent="0.2">
      <c r="B248" s="800"/>
      <c r="C248" s="800"/>
      <c r="D248" s="800"/>
      <c r="E248" s="769"/>
      <c r="F248" s="769"/>
      <c r="G248" s="802"/>
      <c r="H248" s="802"/>
      <c r="I248" s="802"/>
      <c r="J248" s="802"/>
      <c r="K248" s="802"/>
      <c r="L248" s="802"/>
      <c r="M248" s="802"/>
      <c r="N248" s="802"/>
      <c r="O248" s="802"/>
      <c r="P248" s="802"/>
      <c r="Q248" s="802"/>
      <c r="R248" s="802"/>
      <c r="S248" s="803"/>
      <c r="T248" s="802"/>
      <c r="U248" s="802"/>
      <c r="V248" s="802"/>
      <c r="W248" s="802"/>
      <c r="X248" s="802"/>
      <c r="Y248" s="802"/>
      <c r="Z248" s="802"/>
      <c r="AA248" s="802"/>
      <c r="AB248" s="802"/>
      <c r="AC248" s="802"/>
      <c r="AD248" s="802"/>
      <c r="AE248" s="802"/>
      <c r="AF248" s="802"/>
      <c r="AG248" s="802"/>
      <c r="AH248" s="382"/>
      <c r="AI248" s="382"/>
      <c r="AJ248" s="382"/>
      <c r="AK248" s="382"/>
      <c r="AL248" s="382"/>
      <c r="AM248" s="382"/>
      <c r="AN248" s="382"/>
      <c r="AO248" s="382"/>
      <c r="AP248" s="382"/>
      <c r="AQ248" s="382"/>
      <c r="AR248" s="382"/>
      <c r="AS248" s="382"/>
      <c r="AT248" s="382"/>
      <c r="AU248" s="382"/>
      <c r="AV248" s="382"/>
      <c r="AW248" s="382"/>
      <c r="AX248" s="382"/>
      <c r="AY248" s="382"/>
      <c r="AZ248" s="382"/>
      <c r="BA248" s="382"/>
      <c r="BB248" s="382"/>
      <c r="BC248" s="382"/>
      <c r="BD248" s="382"/>
      <c r="BE248" s="382"/>
      <c r="BF248" s="382"/>
      <c r="BG248" s="382"/>
      <c r="BH248" s="382"/>
      <c r="BI248" s="382"/>
      <c r="BJ248" s="382"/>
      <c r="BK248" s="382"/>
      <c r="BL248" s="382"/>
      <c r="BM248" s="382"/>
      <c r="BN248" s="382"/>
      <c r="BO248" s="382"/>
      <c r="BP248" s="382"/>
      <c r="BQ248" s="382"/>
      <c r="BR248" s="382"/>
      <c r="BS248" s="382"/>
      <c r="BT248" s="382"/>
      <c r="BU248" s="496"/>
      <c r="BV248" s="382"/>
      <c r="BW248" s="382"/>
      <c r="BX248" s="382"/>
      <c r="BY248" s="382"/>
      <c r="BZ248" s="382"/>
      <c r="CA248" s="382"/>
      <c r="CB248" s="382"/>
      <c r="CC248" s="382"/>
      <c r="CD248" s="382"/>
      <c r="CE248" s="382"/>
      <c r="CF248" s="382"/>
      <c r="CG248" s="382"/>
      <c r="CH248" s="382"/>
      <c r="CI248" s="382"/>
      <c r="CJ248" s="382"/>
      <c r="CK248" s="382"/>
      <c r="CL248" s="382"/>
      <c r="CM248" s="382"/>
      <c r="CN248" s="382"/>
      <c r="CO248" s="382"/>
      <c r="CP248" s="382"/>
      <c r="CQ248" s="382"/>
      <c r="CR248" s="382"/>
      <c r="CS248" s="382"/>
      <c r="CT248" s="382"/>
      <c r="CU248" s="382"/>
      <c r="CV248" s="382"/>
      <c r="CW248" s="800"/>
      <c r="CX248" s="382"/>
      <c r="CY248" s="382"/>
      <c r="CZ248" s="382"/>
      <c r="DA248" s="382"/>
      <c r="DB248" s="382"/>
      <c r="DC248" s="382"/>
      <c r="DD248" s="382"/>
      <c r="DE248" s="382"/>
      <c r="DF248" s="382"/>
      <c r="DG248" s="382"/>
      <c r="DH248" s="382"/>
      <c r="DI248" s="382"/>
      <c r="DJ248" s="382"/>
      <c r="DK248" s="382"/>
      <c r="DL248" s="382"/>
      <c r="DM248" s="382"/>
      <c r="DN248" s="382"/>
      <c r="DO248" s="382"/>
      <c r="DP248" s="382"/>
      <c r="DQ248" s="382"/>
      <c r="DR248" s="382"/>
      <c r="DS248" s="382"/>
      <c r="DT248" s="382"/>
      <c r="DU248" s="382"/>
      <c r="DV248" s="382"/>
      <c r="DW248" s="382"/>
      <c r="DX248" s="382"/>
      <c r="DY248" s="382"/>
      <c r="DZ248" s="228"/>
    </row>
    <row r="249" spans="2:130" s="180" customFormat="1" ht="14.25" customHeight="1" x14ac:dyDescent="0.2">
      <c r="B249" s="800"/>
      <c r="C249" s="800"/>
      <c r="D249" s="800"/>
      <c r="E249" s="769"/>
      <c r="F249" s="769"/>
      <c r="G249" s="802"/>
      <c r="H249" s="802"/>
      <c r="I249" s="802"/>
      <c r="J249" s="802"/>
      <c r="K249" s="802"/>
      <c r="L249" s="802"/>
      <c r="M249" s="802"/>
      <c r="N249" s="802"/>
      <c r="O249" s="802"/>
      <c r="P249" s="802"/>
      <c r="Q249" s="802"/>
      <c r="R249" s="802"/>
      <c r="S249" s="803"/>
      <c r="T249" s="802"/>
      <c r="U249" s="802"/>
      <c r="V249" s="802"/>
      <c r="W249" s="802"/>
      <c r="X249" s="802"/>
      <c r="Y249" s="802"/>
      <c r="Z249" s="802"/>
      <c r="AA249" s="802"/>
      <c r="AB249" s="802"/>
      <c r="AC249" s="802"/>
      <c r="AD249" s="802"/>
      <c r="AE249" s="802"/>
      <c r="AF249" s="802"/>
      <c r="AG249" s="802"/>
      <c r="AH249" s="382"/>
      <c r="AI249" s="382"/>
      <c r="AJ249" s="382"/>
      <c r="AK249" s="382"/>
      <c r="AL249" s="382"/>
      <c r="AM249" s="382"/>
      <c r="AN249" s="382"/>
      <c r="AO249" s="382"/>
      <c r="AP249" s="382"/>
      <c r="AQ249" s="382"/>
      <c r="AR249" s="382"/>
      <c r="AS249" s="382"/>
      <c r="AT249" s="382"/>
      <c r="AU249" s="382"/>
      <c r="AV249" s="382"/>
      <c r="AW249" s="382"/>
      <c r="AX249" s="382"/>
      <c r="AY249" s="382"/>
      <c r="AZ249" s="382"/>
      <c r="BA249" s="382"/>
      <c r="BB249" s="382"/>
      <c r="BC249" s="382"/>
      <c r="BD249" s="382"/>
      <c r="BE249" s="382"/>
      <c r="BF249" s="382"/>
      <c r="BG249" s="382"/>
      <c r="BH249" s="382"/>
      <c r="BI249" s="382"/>
      <c r="BJ249" s="382"/>
      <c r="BK249" s="382"/>
      <c r="BL249" s="382"/>
      <c r="BM249" s="382"/>
      <c r="BN249" s="382"/>
      <c r="BO249" s="382"/>
      <c r="BP249" s="382"/>
      <c r="BQ249" s="382"/>
      <c r="BR249" s="382"/>
      <c r="BS249" s="382"/>
      <c r="BT249" s="382"/>
      <c r="BU249" s="496"/>
      <c r="BV249" s="382"/>
      <c r="BW249" s="382"/>
      <c r="BX249" s="382"/>
      <c r="BY249" s="382"/>
      <c r="BZ249" s="382"/>
      <c r="CA249" s="382"/>
      <c r="CB249" s="382"/>
      <c r="CC249" s="382"/>
      <c r="CD249" s="382"/>
      <c r="CE249" s="382"/>
      <c r="CF249" s="382"/>
      <c r="CG249" s="382"/>
      <c r="CH249" s="382"/>
      <c r="CI249" s="382"/>
      <c r="CJ249" s="382"/>
      <c r="CK249" s="382"/>
      <c r="CL249" s="382"/>
      <c r="CM249" s="382"/>
      <c r="CN249" s="382"/>
      <c r="CO249" s="382"/>
      <c r="CP249" s="382"/>
      <c r="CQ249" s="382"/>
      <c r="CR249" s="382"/>
      <c r="CS249" s="382"/>
      <c r="CT249" s="382"/>
      <c r="CU249" s="382"/>
      <c r="CV249" s="382"/>
      <c r="CW249" s="800"/>
      <c r="CX249" s="382"/>
      <c r="CY249" s="382"/>
      <c r="CZ249" s="382"/>
      <c r="DA249" s="382"/>
      <c r="DB249" s="382"/>
      <c r="DC249" s="382"/>
      <c r="DD249" s="382"/>
      <c r="DE249" s="382"/>
      <c r="DF249" s="382"/>
      <c r="DG249" s="382"/>
      <c r="DH249" s="382"/>
      <c r="DI249" s="382"/>
      <c r="DJ249" s="382"/>
      <c r="DK249" s="382"/>
      <c r="DL249" s="382"/>
      <c r="DM249" s="382"/>
      <c r="DN249" s="382"/>
      <c r="DO249" s="382"/>
      <c r="DP249" s="382"/>
      <c r="DQ249" s="382"/>
      <c r="DR249" s="382"/>
      <c r="DS249" s="382"/>
      <c r="DT249" s="382"/>
      <c r="DU249" s="382"/>
      <c r="DV249" s="382"/>
      <c r="DW249" s="382"/>
      <c r="DX249" s="382"/>
      <c r="DY249" s="382"/>
      <c r="DZ249" s="228"/>
    </row>
    <row r="250" spans="2:130" s="180" customFormat="1" ht="14.25" customHeight="1" x14ac:dyDescent="0.2">
      <c r="B250" s="800"/>
      <c r="C250" s="800"/>
      <c r="D250" s="800"/>
      <c r="E250" s="769"/>
      <c r="F250" s="769"/>
      <c r="G250" s="802"/>
      <c r="H250" s="802"/>
      <c r="I250" s="802"/>
      <c r="J250" s="802"/>
      <c r="K250" s="802"/>
      <c r="L250" s="802"/>
      <c r="M250" s="802"/>
      <c r="N250" s="802"/>
      <c r="O250" s="802"/>
      <c r="P250" s="802"/>
      <c r="Q250" s="802"/>
      <c r="R250" s="802"/>
      <c r="S250" s="803"/>
      <c r="T250" s="802"/>
      <c r="U250" s="802"/>
      <c r="V250" s="802"/>
      <c r="W250" s="802"/>
      <c r="X250" s="802"/>
      <c r="Y250" s="802"/>
      <c r="Z250" s="802"/>
      <c r="AA250" s="802"/>
      <c r="AB250" s="802"/>
      <c r="AC250" s="802"/>
      <c r="AD250" s="802"/>
      <c r="AE250" s="802"/>
      <c r="AF250" s="802"/>
      <c r="AG250" s="802"/>
      <c r="AH250" s="382"/>
      <c r="AI250" s="382"/>
      <c r="AJ250" s="382"/>
      <c r="AK250" s="382"/>
      <c r="AL250" s="382"/>
      <c r="AM250" s="382"/>
      <c r="AN250" s="382"/>
      <c r="AO250" s="382"/>
      <c r="AP250" s="382"/>
      <c r="AQ250" s="382"/>
      <c r="AR250" s="382"/>
      <c r="AS250" s="382"/>
      <c r="AT250" s="382"/>
      <c r="AU250" s="382"/>
      <c r="AV250" s="382"/>
      <c r="AW250" s="382"/>
      <c r="AX250" s="382"/>
      <c r="AY250" s="382"/>
      <c r="AZ250" s="382"/>
      <c r="BA250" s="382"/>
      <c r="BB250" s="382"/>
      <c r="BC250" s="382"/>
      <c r="BD250" s="382"/>
      <c r="BE250" s="382"/>
      <c r="BF250" s="382"/>
      <c r="BG250" s="382"/>
      <c r="BH250" s="382"/>
      <c r="BI250" s="382"/>
      <c r="BJ250" s="382"/>
      <c r="BK250" s="382"/>
      <c r="BL250" s="382"/>
      <c r="BM250" s="382"/>
      <c r="BN250" s="382"/>
      <c r="BO250" s="382"/>
      <c r="BP250" s="382"/>
      <c r="BQ250" s="382"/>
      <c r="BR250" s="382"/>
      <c r="BS250" s="382"/>
      <c r="BT250" s="382"/>
      <c r="BU250" s="496"/>
      <c r="BV250" s="382"/>
      <c r="BW250" s="382"/>
      <c r="BX250" s="382"/>
      <c r="BY250" s="382"/>
      <c r="BZ250" s="382"/>
      <c r="CA250" s="382"/>
      <c r="CB250" s="382"/>
      <c r="CC250" s="382"/>
      <c r="CD250" s="382"/>
      <c r="CE250" s="382"/>
      <c r="CF250" s="382"/>
      <c r="CG250" s="382"/>
      <c r="CH250" s="382"/>
      <c r="CI250" s="382"/>
      <c r="CJ250" s="382"/>
      <c r="CK250" s="382"/>
      <c r="CL250" s="382"/>
      <c r="CM250" s="382"/>
      <c r="CN250" s="382"/>
      <c r="CO250" s="382"/>
      <c r="CP250" s="382"/>
      <c r="CQ250" s="382"/>
      <c r="CR250" s="382"/>
      <c r="CS250" s="382"/>
      <c r="CT250" s="382"/>
      <c r="CU250" s="382"/>
      <c r="CV250" s="382"/>
      <c r="CW250" s="800"/>
      <c r="CX250" s="382"/>
      <c r="CY250" s="382"/>
      <c r="CZ250" s="382"/>
      <c r="DA250" s="382"/>
      <c r="DB250" s="382"/>
      <c r="DC250" s="382"/>
      <c r="DD250" s="382"/>
      <c r="DE250" s="382"/>
      <c r="DF250" s="382"/>
      <c r="DG250" s="382"/>
      <c r="DH250" s="382"/>
      <c r="DI250" s="382"/>
      <c r="DJ250" s="382"/>
      <c r="DK250" s="382"/>
      <c r="DL250" s="382"/>
      <c r="DM250" s="382"/>
      <c r="DN250" s="382"/>
      <c r="DO250" s="382"/>
      <c r="DP250" s="382"/>
      <c r="DQ250" s="382"/>
      <c r="DR250" s="382"/>
      <c r="DS250" s="382"/>
      <c r="DT250" s="382"/>
      <c r="DU250" s="382"/>
      <c r="DV250" s="382"/>
      <c r="DW250" s="382"/>
      <c r="DX250" s="382"/>
      <c r="DY250" s="382"/>
      <c r="DZ250" s="228"/>
    </row>
    <row r="251" spans="2:130" s="180" customFormat="1" ht="14.25" customHeight="1" x14ac:dyDescent="0.2">
      <c r="B251" s="800"/>
      <c r="C251" s="800"/>
      <c r="D251" s="800"/>
      <c r="E251" s="769"/>
      <c r="F251" s="769"/>
      <c r="G251" s="802"/>
      <c r="H251" s="802"/>
      <c r="I251" s="802"/>
      <c r="J251" s="802"/>
      <c r="K251" s="802"/>
      <c r="L251" s="802"/>
      <c r="M251" s="802"/>
      <c r="N251" s="802"/>
      <c r="O251" s="802"/>
      <c r="P251" s="802"/>
      <c r="Q251" s="802"/>
      <c r="R251" s="802"/>
      <c r="S251" s="803"/>
      <c r="T251" s="802"/>
      <c r="U251" s="802"/>
      <c r="V251" s="802"/>
      <c r="W251" s="802"/>
      <c r="X251" s="802"/>
      <c r="Y251" s="802"/>
      <c r="Z251" s="802"/>
      <c r="AA251" s="802"/>
      <c r="AB251" s="802"/>
      <c r="AC251" s="802"/>
      <c r="AD251" s="802"/>
      <c r="AE251" s="802"/>
      <c r="AF251" s="802"/>
      <c r="AG251" s="802"/>
      <c r="AH251" s="382"/>
      <c r="AI251" s="382"/>
      <c r="AJ251" s="382"/>
      <c r="AK251" s="382"/>
      <c r="AL251" s="382"/>
      <c r="AM251" s="382"/>
      <c r="AN251" s="382"/>
      <c r="AO251" s="382"/>
      <c r="AP251" s="382"/>
      <c r="AQ251" s="382"/>
      <c r="AR251" s="382"/>
      <c r="AS251" s="382"/>
      <c r="AT251" s="382"/>
      <c r="AU251" s="382"/>
      <c r="AV251" s="382"/>
      <c r="AW251" s="382"/>
      <c r="AX251" s="382"/>
      <c r="AY251" s="382"/>
      <c r="AZ251" s="382"/>
      <c r="BA251" s="382"/>
      <c r="BB251" s="382"/>
      <c r="BC251" s="382"/>
      <c r="BD251" s="382"/>
      <c r="BE251" s="382"/>
      <c r="BF251" s="382"/>
      <c r="BG251" s="382"/>
      <c r="BH251" s="382"/>
      <c r="BI251" s="382"/>
      <c r="BJ251" s="382"/>
      <c r="BK251" s="382"/>
      <c r="BL251" s="382"/>
      <c r="BM251" s="382"/>
      <c r="BN251" s="382"/>
      <c r="BO251" s="382"/>
      <c r="BP251" s="382"/>
      <c r="BQ251" s="382"/>
      <c r="BR251" s="382"/>
      <c r="BS251" s="382"/>
      <c r="BT251" s="382"/>
      <c r="BU251" s="496"/>
      <c r="BV251" s="382"/>
      <c r="BW251" s="382"/>
      <c r="BX251" s="382"/>
      <c r="BY251" s="382"/>
      <c r="BZ251" s="382"/>
      <c r="CA251" s="382"/>
      <c r="CB251" s="382"/>
      <c r="CC251" s="382"/>
      <c r="CD251" s="382"/>
      <c r="CE251" s="382"/>
      <c r="CF251" s="382"/>
      <c r="CG251" s="382"/>
      <c r="CH251" s="382"/>
      <c r="CI251" s="382"/>
      <c r="CJ251" s="382"/>
      <c r="CK251" s="382"/>
      <c r="CL251" s="382"/>
      <c r="CM251" s="382"/>
      <c r="CN251" s="382"/>
      <c r="CO251" s="382"/>
      <c r="CP251" s="382"/>
      <c r="CQ251" s="382"/>
      <c r="CR251" s="382"/>
      <c r="CS251" s="382"/>
      <c r="CT251" s="382"/>
      <c r="CU251" s="382"/>
      <c r="CV251" s="382"/>
      <c r="CW251" s="800"/>
      <c r="CX251" s="382"/>
      <c r="CY251" s="382"/>
      <c r="CZ251" s="382"/>
      <c r="DA251" s="382"/>
      <c r="DB251" s="382"/>
      <c r="DC251" s="382"/>
      <c r="DD251" s="382"/>
      <c r="DE251" s="382"/>
      <c r="DF251" s="382"/>
      <c r="DG251" s="382"/>
      <c r="DH251" s="382"/>
      <c r="DI251" s="382"/>
      <c r="DJ251" s="382"/>
      <c r="DK251" s="382"/>
      <c r="DL251" s="382"/>
      <c r="DM251" s="382"/>
      <c r="DN251" s="382"/>
      <c r="DO251" s="382"/>
      <c r="DP251" s="382"/>
      <c r="DQ251" s="382"/>
      <c r="DR251" s="382"/>
      <c r="DS251" s="382"/>
      <c r="DT251" s="382"/>
      <c r="DU251" s="382"/>
      <c r="DV251" s="382"/>
      <c r="DW251" s="382"/>
      <c r="DX251" s="382"/>
      <c r="DY251" s="382"/>
      <c r="DZ251" s="228"/>
    </row>
    <row r="252" spans="2:130" s="180" customFormat="1" ht="14.25" customHeight="1" x14ac:dyDescent="0.2">
      <c r="B252" s="800"/>
      <c r="C252" s="800"/>
      <c r="D252" s="800"/>
      <c r="E252" s="769"/>
      <c r="F252" s="769"/>
      <c r="G252" s="802"/>
      <c r="H252" s="802"/>
      <c r="I252" s="802"/>
      <c r="J252" s="802"/>
      <c r="K252" s="802"/>
      <c r="L252" s="802"/>
      <c r="M252" s="802"/>
      <c r="N252" s="802"/>
      <c r="O252" s="802"/>
      <c r="P252" s="802"/>
      <c r="Q252" s="802"/>
      <c r="R252" s="802"/>
      <c r="S252" s="803"/>
      <c r="T252" s="802"/>
      <c r="U252" s="802"/>
      <c r="V252" s="802"/>
      <c r="W252" s="802"/>
      <c r="X252" s="802"/>
      <c r="Y252" s="802"/>
      <c r="Z252" s="802"/>
      <c r="AA252" s="802"/>
      <c r="AB252" s="802"/>
      <c r="AC252" s="802"/>
      <c r="AD252" s="802"/>
      <c r="AE252" s="802"/>
      <c r="AF252" s="802"/>
      <c r="AG252" s="802"/>
      <c r="AH252" s="382"/>
      <c r="AI252" s="382"/>
      <c r="AJ252" s="382"/>
      <c r="AK252" s="382"/>
      <c r="AL252" s="382"/>
      <c r="AM252" s="382"/>
      <c r="AN252" s="382"/>
      <c r="AO252" s="382"/>
      <c r="AP252" s="382"/>
      <c r="AQ252" s="382"/>
      <c r="AR252" s="382"/>
      <c r="AS252" s="382"/>
      <c r="AT252" s="382"/>
      <c r="AU252" s="382"/>
      <c r="AV252" s="382"/>
      <c r="AW252" s="382"/>
      <c r="AX252" s="382"/>
      <c r="AY252" s="382"/>
      <c r="AZ252" s="382"/>
      <c r="BA252" s="382"/>
      <c r="BB252" s="382"/>
      <c r="BC252" s="382"/>
      <c r="BD252" s="382"/>
      <c r="BE252" s="382"/>
      <c r="BF252" s="382"/>
      <c r="BG252" s="382"/>
      <c r="BH252" s="382"/>
      <c r="BI252" s="382"/>
      <c r="BJ252" s="382"/>
      <c r="BK252" s="382"/>
      <c r="BL252" s="382"/>
      <c r="BM252" s="382"/>
      <c r="BN252" s="382"/>
      <c r="BO252" s="382"/>
      <c r="BP252" s="382"/>
      <c r="BQ252" s="382"/>
      <c r="BR252" s="382"/>
      <c r="BS252" s="382"/>
      <c r="BT252" s="382"/>
      <c r="BU252" s="496"/>
      <c r="BV252" s="382"/>
      <c r="BW252" s="382"/>
      <c r="BX252" s="382"/>
      <c r="BY252" s="382"/>
      <c r="BZ252" s="382"/>
      <c r="CA252" s="382"/>
      <c r="CB252" s="382"/>
      <c r="CC252" s="382"/>
      <c r="CD252" s="382"/>
      <c r="CE252" s="382"/>
      <c r="CF252" s="382"/>
      <c r="CG252" s="382"/>
      <c r="CH252" s="382"/>
      <c r="CI252" s="382"/>
      <c r="CJ252" s="382"/>
      <c r="CK252" s="382"/>
      <c r="CL252" s="382"/>
      <c r="CM252" s="382"/>
      <c r="CN252" s="382"/>
      <c r="CO252" s="382"/>
      <c r="CP252" s="382"/>
      <c r="CQ252" s="382"/>
      <c r="CR252" s="382"/>
      <c r="CS252" s="382"/>
      <c r="CT252" s="382"/>
      <c r="CU252" s="382"/>
      <c r="CV252" s="382"/>
      <c r="CW252" s="800"/>
      <c r="CX252" s="382"/>
      <c r="CY252" s="382"/>
      <c r="CZ252" s="382"/>
      <c r="DA252" s="382"/>
      <c r="DB252" s="382"/>
      <c r="DC252" s="382"/>
      <c r="DD252" s="382"/>
      <c r="DE252" s="382"/>
      <c r="DF252" s="382"/>
      <c r="DG252" s="382"/>
      <c r="DH252" s="382"/>
      <c r="DI252" s="382"/>
      <c r="DJ252" s="382"/>
      <c r="DK252" s="382"/>
      <c r="DL252" s="382"/>
      <c r="DM252" s="382"/>
      <c r="DN252" s="382"/>
      <c r="DO252" s="382"/>
      <c r="DP252" s="382"/>
      <c r="DQ252" s="382"/>
      <c r="DR252" s="382"/>
      <c r="DS252" s="382"/>
      <c r="DT252" s="382"/>
      <c r="DU252" s="382"/>
      <c r="DV252" s="382"/>
      <c r="DW252" s="382"/>
      <c r="DX252" s="382"/>
      <c r="DY252" s="382"/>
      <c r="DZ252" s="228"/>
    </row>
    <row r="253" spans="2:130" s="180" customFormat="1" ht="14.25" customHeight="1" x14ac:dyDescent="0.2">
      <c r="B253" s="800"/>
      <c r="C253" s="800"/>
      <c r="D253" s="800"/>
      <c r="E253" s="769"/>
      <c r="F253" s="769"/>
      <c r="G253" s="802"/>
      <c r="H253" s="802"/>
      <c r="I253" s="802"/>
      <c r="J253" s="802"/>
      <c r="K253" s="802"/>
      <c r="L253" s="802"/>
      <c r="M253" s="802"/>
      <c r="N253" s="802"/>
      <c r="O253" s="802"/>
      <c r="P253" s="802"/>
      <c r="Q253" s="802"/>
      <c r="R253" s="802"/>
      <c r="S253" s="803"/>
      <c r="T253" s="802"/>
      <c r="U253" s="802"/>
      <c r="V253" s="802"/>
      <c r="W253" s="802"/>
      <c r="X253" s="802"/>
      <c r="Y253" s="802"/>
      <c r="Z253" s="802"/>
      <c r="AA253" s="802"/>
      <c r="AB253" s="802"/>
      <c r="AC253" s="802"/>
      <c r="AD253" s="802"/>
      <c r="AE253" s="802"/>
      <c r="AF253" s="802"/>
      <c r="AG253" s="802"/>
      <c r="AH253" s="382"/>
      <c r="AI253" s="382"/>
      <c r="AJ253" s="382"/>
      <c r="AK253" s="382"/>
      <c r="AL253" s="382"/>
      <c r="AM253" s="382"/>
      <c r="AN253" s="382"/>
      <c r="AO253" s="382"/>
      <c r="AP253" s="382"/>
      <c r="AQ253" s="382"/>
      <c r="AR253" s="382"/>
      <c r="AS253" s="382"/>
      <c r="AT253" s="382"/>
      <c r="AU253" s="382"/>
      <c r="AV253" s="382"/>
      <c r="AW253" s="382"/>
      <c r="AX253" s="382"/>
      <c r="AY253" s="382"/>
      <c r="AZ253" s="382"/>
      <c r="BA253" s="382"/>
      <c r="BB253" s="382"/>
      <c r="BC253" s="382"/>
      <c r="BD253" s="382"/>
      <c r="BE253" s="382"/>
      <c r="BF253" s="382"/>
      <c r="BG253" s="382"/>
      <c r="BH253" s="382"/>
      <c r="BI253" s="382"/>
      <c r="BJ253" s="382"/>
      <c r="BK253" s="382"/>
      <c r="BL253" s="382"/>
      <c r="BM253" s="382"/>
      <c r="BN253" s="382"/>
      <c r="BO253" s="382"/>
      <c r="BP253" s="382"/>
      <c r="BQ253" s="382"/>
      <c r="BR253" s="382"/>
      <c r="BS253" s="382"/>
      <c r="BT253" s="382"/>
      <c r="BU253" s="496"/>
      <c r="BV253" s="382"/>
      <c r="BW253" s="382"/>
      <c r="BX253" s="382"/>
      <c r="BY253" s="382"/>
      <c r="BZ253" s="382"/>
      <c r="CA253" s="382"/>
      <c r="CB253" s="382"/>
      <c r="CC253" s="382"/>
      <c r="CD253" s="382"/>
      <c r="CE253" s="382"/>
      <c r="CF253" s="382"/>
      <c r="CG253" s="382"/>
      <c r="CH253" s="382"/>
      <c r="CI253" s="382"/>
      <c r="CJ253" s="382"/>
      <c r="CK253" s="382"/>
      <c r="CL253" s="382"/>
      <c r="CM253" s="382"/>
      <c r="CN253" s="382"/>
      <c r="CO253" s="382"/>
      <c r="CP253" s="382"/>
      <c r="CQ253" s="382"/>
      <c r="CR253" s="382"/>
      <c r="CS253" s="382"/>
      <c r="CT253" s="382"/>
      <c r="CU253" s="382"/>
      <c r="CV253" s="382"/>
      <c r="CW253" s="800"/>
      <c r="CX253" s="382"/>
      <c r="CY253" s="382"/>
      <c r="CZ253" s="382"/>
      <c r="DA253" s="382"/>
      <c r="DB253" s="382"/>
      <c r="DC253" s="382"/>
      <c r="DD253" s="382"/>
      <c r="DE253" s="382"/>
      <c r="DF253" s="382"/>
      <c r="DG253" s="382"/>
      <c r="DH253" s="382"/>
      <c r="DI253" s="382"/>
      <c r="DJ253" s="382"/>
      <c r="DK253" s="382"/>
      <c r="DL253" s="382"/>
      <c r="DM253" s="382"/>
      <c r="DN253" s="382"/>
      <c r="DO253" s="382"/>
      <c r="DP253" s="382"/>
      <c r="DQ253" s="382"/>
      <c r="DR253" s="382"/>
      <c r="DS253" s="382"/>
      <c r="DT253" s="382"/>
      <c r="DU253" s="382"/>
      <c r="DV253" s="382"/>
      <c r="DW253" s="382"/>
      <c r="DX253" s="382"/>
      <c r="DY253" s="382"/>
      <c r="DZ253" s="228"/>
    </row>
    <row r="254" spans="2:130" s="180" customFormat="1" ht="14.25" customHeight="1" x14ac:dyDescent="0.2">
      <c r="B254" s="800"/>
      <c r="C254" s="800"/>
      <c r="D254" s="800"/>
      <c r="E254" s="769"/>
      <c r="F254" s="769"/>
      <c r="G254" s="802"/>
      <c r="H254" s="802"/>
      <c r="I254" s="802"/>
      <c r="J254" s="802"/>
      <c r="K254" s="802"/>
      <c r="L254" s="802"/>
      <c r="M254" s="802"/>
      <c r="N254" s="802"/>
      <c r="O254" s="802"/>
      <c r="P254" s="802"/>
      <c r="Q254" s="802"/>
      <c r="R254" s="802"/>
      <c r="S254" s="803"/>
      <c r="T254" s="802"/>
      <c r="U254" s="802"/>
      <c r="V254" s="802"/>
      <c r="W254" s="802"/>
      <c r="X254" s="802"/>
      <c r="Y254" s="802"/>
      <c r="Z254" s="802"/>
      <c r="AA254" s="802"/>
      <c r="AB254" s="802"/>
      <c r="AC254" s="802"/>
      <c r="AD254" s="802"/>
      <c r="AE254" s="802"/>
      <c r="AF254" s="802"/>
      <c r="AG254" s="802"/>
      <c r="AH254" s="382"/>
      <c r="AI254" s="382"/>
      <c r="AJ254" s="382"/>
      <c r="AK254" s="382"/>
      <c r="AL254" s="382"/>
      <c r="AM254" s="382"/>
      <c r="AN254" s="382"/>
      <c r="AO254" s="382"/>
      <c r="AP254" s="382"/>
      <c r="AQ254" s="382"/>
      <c r="AR254" s="382"/>
      <c r="AS254" s="382"/>
      <c r="AT254" s="382"/>
      <c r="AU254" s="382"/>
      <c r="AV254" s="382"/>
      <c r="AW254" s="382"/>
      <c r="AX254" s="382"/>
      <c r="AY254" s="382"/>
      <c r="AZ254" s="382"/>
      <c r="BA254" s="382"/>
      <c r="BB254" s="382"/>
      <c r="BC254" s="382"/>
      <c r="BD254" s="382"/>
      <c r="BE254" s="382"/>
      <c r="BF254" s="382"/>
      <c r="BG254" s="382"/>
      <c r="BH254" s="382"/>
      <c r="BI254" s="382"/>
      <c r="BJ254" s="382"/>
      <c r="BK254" s="382"/>
      <c r="BL254" s="382"/>
      <c r="BM254" s="382"/>
      <c r="BN254" s="382"/>
      <c r="BO254" s="382"/>
      <c r="BP254" s="382"/>
      <c r="BQ254" s="382"/>
      <c r="BR254" s="382"/>
      <c r="BS254" s="382"/>
      <c r="BT254" s="382"/>
      <c r="BU254" s="496"/>
      <c r="BV254" s="382"/>
      <c r="BW254" s="382"/>
      <c r="BX254" s="382"/>
      <c r="BY254" s="382"/>
      <c r="BZ254" s="382"/>
      <c r="CA254" s="382"/>
      <c r="CB254" s="382"/>
      <c r="CC254" s="382"/>
      <c r="CD254" s="382"/>
      <c r="CE254" s="382"/>
      <c r="CF254" s="382"/>
      <c r="CG254" s="382"/>
      <c r="CH254" s="382"/>
      <c r="CI254" s="382"/>
      <c r="CJ254" s="382"/>
      <c r="CK254" s="382"/>
      <c r="CL254" s="382"/>
      <c r="CM254" s="382"/>
      <c r="CN254" s="382"/>
      <c r="CO254" s="382"/>
      <c r="CP254" s="382"/>
      <c r="CQ254" s="382"/>
      <c r="CR254" s="382"/>
      <c r="CS254" s="382"/>
      <c r="CT254" s="382"/>
      <c r="CU254" s="382"/>
      <c r="CV254" s="382"/>
      <c r="CW254" s="800"/>
      <c r="CX254" s="382"/>
      <c r="CY254" s="382"/>
      <c r="CZ254" s="382"/>
      <c r="DA254" s="382"/>
      <c r="DB254" s="382"/>
      <c r="DC254" s="382"/>
      <c r="DD254" s="382"/>
      <c r="DE254" s="382"/>
      <c r="DF254" s="382"/>
      <c r="DG254" s="382"/>
      <c r="DH254" s="382"/>
      <c r="DI254" s="382"/>
      <c r="DJ254" s="382"/>
      <c r="DK254" s="382"/>
      <c r="DL254" s="382"/>
      <c r="DM254" s="382"/>
      <c r="DN254" s="382"/>
      <c r="DO254" s="382"/>
      <c r="DP254" s="382"/>
      <c r="DQ254" s="382"/>
      <c r="DR254" s="382"/>
      <c r="DS254" s="382"/>
      <c r="DT254" s="382"/>
      <c r="DU254" s="382"/>
      <c r="DV254" s="382"/>
      <c r="DW254" s="382"/>
      <c r="DX254" s="382"/>
      <c r="DY254" s="382"/>
      <c r="DZ254" s="228"/>
    </row>
    <row r="255" spans="2:130" s="180" customFormat="1" ht="14.25" customHeight="1" x14ac:dyDescent="0.2">
      <c r="B255" s="800"/>
      <c r="C255" s="800"/>
      <c r="D255" s="800"/>
      <c r="E255" s="769"/>
      <c r="F255" s="769"/>
      <c r="G255" s="802"/>
      <c r="H255" s="802"/>
      <c r="I255" s="802"/>
      <c r="J255" s="802"/>
      <c r="K255" s="802"/>
      <c r="L255" s="802"/>
      <c r="M255" s="802"/>
      <c r="N255" s="802"/>
      <c r="O255" s="802"/>
      <c r="P255" s="802"/>
      <c r="Q255" s="802"/>
      <c r="R255" s="802"/>
      <c r="S255" s="803"/>
      <c r="T255" s="802"/>
      <c r="U255" s="802"/>
      <c r="V255" s="802"/>
      <c r="W255" s="802"/>
      <c r="X255" s="802"/>
      <c r="Y255" s="802"/>
      <c r="Z255" s="802"/>
      <c r="AA255" s="802"/>
      <c r="AB255" s="802"/>
      <c r="AC255" s="802"/>
      <c r="AD255" s="802"/>
      <c r="AE255" s="802"/>
      <c r="AF255" s="802"/>
      <c r="AG255" s="802"/>
      <c r="AH255" s="382"/>
      <c r="AI255" s="382"/>
      <c r="AJ255" s="382"/>
      <c r="AK255" s="382"/>
      <c r="AL255" s="382"/>
      <c r="AM255" s="382"/>
      <c r="AN255" s="382"/>
      <c r="AO255" s="382"/>
      <c r="AP255" s="382"/>
      <c r="AQ255" s="382"/>
      <c r="AR255" s="382"/>
      <c r="AS255" s="382"/>
      <c r="AT255" s="382"/>
      <c r="AU255" s="382"/>
      <c r="AV255" s="382"/>
      <c r="AW255" s="382"/>
      <c r="AX255" s="382"/>
      <c r="AY255" s="382"/>
      <c r="AZ255" s="382"/>
      <c r="BA255" s="382"/>
      <c r="BB255" s="382"/>
      <c r="BC255" s="382"/>
      <c r="BD255" s="382"/>
      <c r="BE255" s="382"/>
      <c r="BF255" s="382"/>
      <c r="BG255" s="382"/>
      <c r="BH255" s="382"/>
      <c r="BI255" s="382"/>
      <c r="BJ255" s="382"/>
      <c r="BK255" s="382"/>
      <c r="BL255" s="382"/>
      <c r="BM255" s="382"/>
      <c r="BN255" s="382"/>
      <c r="BO255" s="382"/>
      <c r="BP255" s="382"/>
      <c r="BQ255" s="382"/>
      <c r="BR255" s="382"/>
      <c r="BS255" s="382"/>
      <c r="BT255" s="382"/>
      <c r="BU255" s="496"/>
      <c r="BV255" s="382"/>
      <c r="BW255" s="382"/>
      <c r="BX255" s="382"/>
      <c r="BY255" s="382"/>
      <c r="BZ255" s="382"/>
      <c r="CA255" s="382"/>
      <c r="CB255" s="382"/>
      <c r="CC255" s="382"/>
      <c r="CD255" s="382"/>
      <c r="CE255" s="382"/>
      <c r="CF255" s="382"/>
      <c r="CG255" s="382"/>
      <c r="CH255" s="382"/>
      <c r="CI255" s="382"/>
      <c r="CJ255" s="382"/>
      <c r="CK255" s="382"/>
      <c r="CL255" s="382"/>
      <c r="CM255" s="382"/>
      <c r="CN255" s="382"/>
      <c r="CO255" s="382"/>
      <c r="CP255" s="382"/>
      <c r="CQ255" s="382"/>
      <c r="CR255" s="382"/>
      <c r="CS255" s="382"/>
      <c r="CT255" s="382"/>
      <c r="CU255" s="382"/>
      <c r="CV255" s="382"/>
      <c r="CW255" s="800"/>
      <c r="CX255" s="382"/>
      <c r="CY255" s="382"/>
      <c r="CZ255" s="382"/>
      <c r="DA255" s="382"/>
      <c r="DB255" s="382"/>
      <c r="DC255" s="382"/>
      <c r="DD255" s="382"/>
      <c r="DE255" s="382"/>
      <c r="DF255" s="382"/>
      <c r="DG255" s="382"/>
      <c r="DH255" s="382"/>
      <c r="DI255" s="382"/>
      <c r="DJ255" s="382"/>
      <c r="DK255" s="382"/>
      <c r="DL255" s="382"/>
      <c r="DM255" s="382"/>
      <c r="DN255" s="382"/>
      <c r="DO255" s="382"/>
      <c r="DP255" s="382"/>
      <c r="DQ255" s="382"/>
      <c r="DR255" s="382"/>
      <c r="DS255" s="382"/>
      <c r="DT255" s="382"/>
      <c r="DU255" s="382"/>
      <c r="DV255" s="382"/>
      <c r="DW255" s="382"/>
      <c r="DX255" s="382"/>
      <c r="DY255" s="382"/>
      <c r="DZ255" s="228"/>
    </row>
    <row r="256" spans="2:130" s="180" customFormat="1" ht="14.25" customHeight="1" x14ac:dyDescent="0.2">
      <c r="B256" s="800"/>
      <c r="C256" s="800"/>
      <c r="D256" s="800"/>
      <c r="E256" s="769"/>
      <c r="F256" s="769"/>
      <c r="G256" s="802"/>
      <c r="H256" s="802"/>
      <c r="I256" s="802"/>
      <c r="J256" s="802"/>
      <c r="K256" s="802"/>
      <c r="L256" s="802"/>
      <c r="M256" s="802"/>
      <c r="N256" s="802"/>
      <c r="O256" s="802"/>
      <c r="P256" s="802"/>
      <c r="Q256" s="802"/>
      <c r="R256" s="802"/>
      <c r="S256" s="803"/>
      <c r="T256" s="802"/>
      <c r="U256" s="802"/>
      <c r="V256" s="802"/>
      <c r="W256" s="802"/>
      <c r="X256" s="802"/>
      <c r="Y256" s="802"/>
      <c r="Z256" s="802"/>
      <c r="AA256" s="802"/>
      <c r="AB256" s="802"/>
      <c r="AC256" s="802"/>
      <c r="AD256" s="802"/>
      <c r="AE256" s="802"/>
      <c r="AF256" s="802"/>
      <c r="AG256" s="802"/>
      <c r="AH256" s="382"/>
      <c r="AI256" s="382"/>
      <c r="AJ256" s="382"/>
      <c r="AK256" s="382"/>
      <c r="AL256" s="382"/>
      <c r="AM256" s="382"/>
      <c r="AN256" s="382"/>
      <c r="AO256" s="382"/>
      <c r="AP256" s="382"/>
      <c r="AQ256" s="382"/>
      <c r="AR256" s="382"/>
      <c r="AS256" s="382"/>
      <c r="AT256" s="382"/>
      <c r="AU256" s="382"/>
      <c r="AV256" s="382"/>
      <c r="AW256" s="382"/>
      <c r="AX256" s="382"/>
      <c r="AY256" s="382"/>
      <c r="AZ256" s="382"/>
      <c r="BA256" s="382"/>
      <c r="BB256" s="382"/>
      <c r="BC256" s="382"/>
      <c r="BD256" s="382"/>
      <c r="BE256" s="382"/>
      <c r="BF256" s="382"/>
      <c r="BG256" s="382"/>
      <c r="BH256" s="382"/>
      <c r="BI256" s="382"/>
      <c r="BJ256" s="382"/>
      <c r="BK256" s="382"/>
      <c r="BL256" s="382"/>
      <c r="BM256" s="382"/>
      <c r="BN256" s="382"/>
      <c r="BO256" s="382"/>
      <c r="BP256" s="382"/>
      <c r="BQ256" s="382"/>
      <c r="BR256" s="382"/>
      <c r="BS256" s="382"/>
      <c r="BT256" s="382"/>
      <c r="BU256" s="496"/>
      <c r="BV256" s="382"/>
      <c r="BW256" s="382"/>
      <c r="BX256" s="382"/>
      <c r="BY256" s="382"/>
      <c r="BZ256" s="382"/>
      <c r="CA256" s="382"/>
      <c r="CB256" s="382"/>
      <c r="CC256" s="382"/>
      <c r="CD256" s="382"/>
      <c r="CE256" s="382"/>
      <c r="CF256" s="382"/>
      <c r="CG256" s="382"/>
      <c r="CH256" s="382"/>
      <c r="CI256" s="382"/>
      <c r="CJ256" s="382"/>
      <c r="CK256" s="382"/>
      <c r="CL256" s="382"/>
      <c r="CM256" s="382"/>
      <c r="CN256" s="382"/>
      <c r="CO256" s="382"/>
      <c r="CP256" s="382"/>
      <c r="CQ256" s="382"/>
      <c r="CR256" s="382"/>
      <c r="CS256" s="382"/>
      <c r="CT256" s="382"/>
      <c r="CU256" s="382"/>
      <c r="CV256" s="382"/>
      <c r="CW256" s="800"/>
      <c r="CX256" s="382"/>
      <c r="CY256" s="382"/>
      <c r="CZ256" s="382"/>
      <c r="DA256" s="382"/>
      <c r="DB256" s="382"/>
      <c r="DC256" s="382"/>
      <c r="DD256" s="382"/>
      <c r="DE256" s="382"/>
      <c r="DF256" s="382"/>
      <c r="DG256" s="382"/>
      <c r="DH256" s="382"/>
      <c r="DI256" s="382"/>
      <c r="DJ256" s="382"/>
      <c r="DK256" s="382"/>
      <c r="DL256" s="382"/>
      <c r="DM256" s="382"/>
      <c r="DN256" s="382"/>
      <c r="DO256" s="382"/>
      <c r="DP256" s="382"/>
      <c r="DQ256" s="382"/>
      <c r="DR256" s="382"/>
      <c r="DS256" s="382"/>
      <c r="DT256" s="382"/>
      <c r="DU256" s="382"/>
      <c r="DV256" s="382"/>
      <c r="DW256" s="382"/>
      <c r="DX256" s="382"/>
      <c r="DY256" s="382"/>
      <c r="DZ256" s="228"/>
    </row>
    <row r="257" spans="2:130" s="180" customFormat="1" ht="14.25" customHeight="1" x14ac:dyDescent="0.2">
      <c r="B257" s="800"/>
      <c r="C257" s="800"/>
      <c r="D257" s="800"/>
      <c r="E257" s="769"/>
      <c r="F257" s="769"/>
      <c r="G257" s="802"/>
      <c r="H257" s="802"/>
      <c r="I257" s="802"/>
      <c r="J257" s="802"/>
      <c r="K257" s="802"/>
      <c r="L257" s="802"/>
      <c r="M257" s="802"/>
      <c r="N257" s="802"/>
      <c r="O257" s="802"/>
      <c r="P257" s="802"/>
      <c r="Q257" s="802"/>
      <c r="R257" s="802"/>
      <c r="S257" s="803"/>
      <c r="T257" s="802"/>
      <c r="U257" s="802"/>
      <c r="V257" s="802"/>
      <c r="W257" s="802"/>
      <c r="X257" s="802"/>
      <c r="Y257" s="802"/>
      <c r="Z257" s="802"/>
      <c r="AA257" s="802"/>
      <c r="AB257" s="802"/>
      <c r="AC257" s="802"/>
      <c r="AD257" s="802"/>
      <c r="AE257" s="802"/>
      <c r="AF257" s="802"/>
      <c r="AG257" s="802"/>
      <c r="AH257" s="382"/>
      <c r="AI257" s="382"/>
      <c r="AJ257" s="382"/>
      <c r="AK257" s="382"/>
      <c r="AL257" s="382"/>
      <c r="AM257" s="382"/>
      <c r="AN257" s="382"/>
      <c r="AO257" s="382"/>
      <c r="AP257" s="382"/>
      <c r="AQ257" s="382"/>
      <c r="AR257" s="382"/>
      <c r="AS257" s="382"/>
      <c r="AT257" s="382"/>
      <c r="AU257" s="382"/>
      <c r="AV257" s="382"/>
      <c r="AW257" s="382"/>
      <c r="AX257" s="382"/>
      <c r="AY257" s="382"/>
      <c r="AZ257" s="382"/>
      <c r="BA257" s="382"/>
      <c r="BB257" s="382"/>
      <c r="BC257" s="382"/>
      <c r="BD257" s="382"/>
      <c r="BE257" s="382"/>
      <c r="BF257" s="382"/>
      <c r="BG257" s="382"/>
      <c r="BH257" s="382"/>
      <c r="BI257" s="382"/>
      <c r="BJ257" s="382"/>
      <c r="BK257" s="382"/>
      <c r="BL257" s="382"/>
      <c r="BM257" s="382"/>
      <c r="BN257" s="382"/>
      <c r="BO257" s="382"/>
      <c r="BP257" s="382"/>
      <c r="BQ257" s="382"/>
      <c r="BR257" s="382"/>
      <c r="BS257" s="382"/>
      <c r="BT257" s="382"/>
      <c r="BU257" s="496"/>
      <c r="BV257" s="382"/>
      <c r="BW257" s="382"/>
      <c r="BX257" s="382"/>
      <c r="BY257" s="382"/>
      <c r="BZ257" s="382"/>
      <c r="CA257" s="382"/>
      <c r="CB257" s="382"/>
      <c r="CC257" s="382"/>
      <c r="CD257" s="382"/>
      <c r="CE257" s="382"/>
      <c r="CF257" s="382"/>
      <c r="CG257" s="382"/>
      <c r="CH257" s="382"/>
      <c r="CI257" s="382"/>
      <c r="CJ257" s="382"/>
      <c r="CK257" s="382"/>
      <c r="CL257" s="382"/>
      <c r="CM257" s="382"/>
      <c r="CN257" s="382"/>
      <c r="CO257" s="382"/>
      <c r="CP257" s="382"/>
      <c r="CQ257" s="382"/>
      <c r="CR257" s="382"/>
      <c r="CS257" s="382"/>
      <c r="CT257" s="382"/>
      <c r="CU257" s="382"/>
      <c r="CV257" s="382"/>
      <c r="CW257" s="800"/>
      <c r="CX257" s="382"/>
      <c r="CY257" s="382"/>
      <c r="CZ257" s="382"/>
      <c r="DA257" s="382"/>
      <c r="DB257" s="382"/>
      <c r="DC257" s="382"/>
      <c r="DD257" s="382"/>
      <c r="DE257" s="382"/>
      <c r="DF257" s="382"/>
      <c r="DG257" s="382"/>
      <c r="DH257" s="382"/>
      <c r="DI257" s="382"/>
      <c r="DJ257" s="382"/>
      <c r="DK257" s="382"/>
      <c r="DL257" s="382"/>
      <c r="DM257" s="382"/>
      <c r="DN257" s="382"/>
      <c r="DO257" s="382"/>
      <c r="DP257" s="382"/>
      <c r="DQ257" s="382"/>
      <c r="DR257" s="382"/>
      <c r="DS257" s="382"/>
      <c r="DT257" s="382"/>
      <c r="DU257" s="382"/>
      <c r="DV257" s="382"/>
      <c r="DW257" s="382"/>
      <c r="DX257" s="382"/>
      <c r="DY257" s="382"/>
      <c r="DZ257" s="228"/>
    </row>
    <row r="258" spans="2:130" s="180" customFormat="1" ht="14.25" customHeight="1" x14ac:dyDescent="0.2">
      <c r="B258" s="800"/>
      <c r="C258" s="800"/>
      <c r="D258" s="800"/>
      <c r="E258" s="769"/>
      <c r="F258" s="769"/>
      <c r="G258" s="802"/>
      <c r="H258" s="802"/>
      <c r="I258" s="802"/>
      <c r="J258" s="802"/>
      <c r="K258" s="802"/>
      <c r="L258" s="802"/>
      <c r="M258" s="802"/>
      <c r="N258" s="802"/>
      <c r="O258" s="802"/>
      <c r="P258" s="802"/>
      <c r="Q258" s="802"/>
      <c r="R258" s="802"/>
      <c r="S258" s="803"/>
      <c r="T258" s="802"/>
      <c r="U258" s="802"/>
      <c r="V258" s="802"/>
      <c r="W258" s="802"/>
      <c r="X258" s="802"/>
      <c r="Y258" s="802"/>
      <c r="Z258" s="802"/>
      <c r="AA258" s="802"/>
      <c r="AB258" s="802"/>
      <c r="AC258" s="802"/>
      <c r="AD258" s="802"/>
      <c r="AE258" s="802"/>
      <c r="AF258" s="802"/>
      <c r="AG258" s="802"/>
      <c r="AH258" s="382"/>
      <c r="AI258" s="382"/>
      <c r="AJ258" s="382"/>
      <c r="AK258" s="382"/>
      <c r="AL258" s="382"/>
      <c r="AM258" s="382"/>
      <c r="AN258" s="382"/>
      <c r="AO258" s="382"/>
      <c r="AP258" s="382"/>
      <c r="AQ258" s="382"/>
      <c r="AR258" s="382"/>
      <c r="AS258" s="382"/>
      <c r="AT258" s="382"/>
      <c r="AU258" s="382"/>
      <c r="AV258" s="382"/>
      <c r="AW258" s="382"/>
      <c r="AX258" s="382"/>
      <c r="AY258" s="382"/>
      <c r="AZ258" s="382"/>
      <c r="BA258" s="382"/>
      <c r="BB258" s="382"/>
      <c r="BC258" s="382"/>
      <c r="BD258" s="382"/>
      <c r="BE258" s="382"/>
      <c r="BF258" s="382"/>
      <c r="BG258" s="382"/>
      <c r="BH258" s="382"/>
      <c r="BI258" s="382"/>
      <c r="BJ258" s="382"/>
      <c r="BK258" s="382"/>
      <c r="BL258" s="382"/>
      <c r="BM258" s="382"/>
      <c r="BN258" s="382"/>
      <c r="BO258" s="382"/>
      <c r="BP258" s="382"/>
      <c r="BQ258" s="382"/>
      <c r="BR258" s="382"/>
      <c r="BS258" s="382"/>
      <c r="BT258" s="382"/>
      <c r="BU258" s="496"/>
      <c r="BV258" s="382"/>
      <c r="BW258" s="382"/>
      <c r="BX258" s="382"/>
      <c r="BY258" s="382"/>
      <c r="BZ258" s="382"/>
      <c r="CA258" s="382"/>
      <c r="CB258" s="382"/>
      <c r="CC258" s="382"/>
      <c r="CD258" s="382"/>
      <c r="CE258" s="382"/>
      <c r="CF258" s="382"/>
      <c r="CG258" s="382"/>
      <c r="CH258" s="382"/>
      <c r="CI258" s="382"/>
      <c r="CJ258" s="382"/>
      <c r="CK258" s="382"/>
      <c r="CL258" s="382"/>
      <c r="CM258" s="382"/>
      <c r="CN258" s="382"/>
      <c r="CO258" s="382"/>
      <c r="CP258" s="382"/>
      <c r="CQ258" s="382"/>
      <c r="CR258" s="382"/>
      <c r="CS258" s="382"/>
      <c r="CT258" s="382"/>
      <c r="CU258" s="382"/>
      <c r="CV258" s="382"/>
      <c r="CW258" s="800"/>
      <c r="CX258" s="382"/>
      <c r="CY258" s="382"/>
      <c r="CZ258" s="382"/>
      <c r="DA258" s="382"/>
      <c r="DB258" s="382"/>
      <c r="DC258" s="382"/>
      <c r="DD258" s="382"/>
      <c r="DE258" s="382"/>
      <c r="DF258" s="382"/>
      <c r="DG258" s="382"/>
      <c r="DH258" s="382"/>
      <c r="DI258" s="382"/>
      <c r="DJ258" s="382"/>
      <c r="DK258" s="382"/>
      <c r="DL258" s="382"/>
      <c r="DM258" s="382"/>
      <c r="DN258" s="382"/>
      <c r="DO258" s="382"/>
      <c r="DP258" s="382"/>
      <c r="DQ258" s="382"/>
      <c r="DR258" s="382"/>
      <c r="DS258" s="382"/>
      <c r="DT258" s="382"/>
      <c r="DU258" s="382"/>
      <c r="DV258" s="382"/>
      <c r="DW258" s="382"/>
      <c r="DX258" s="382"/>
      <c r="DY258" s="382"/>
      <c r="DZ258" s="228"/>
    </row>
    <row r="259" spans="2:130" s="180" customFormat="1" ht="14.25" customHeight="1" x14ac:dyDescent="0.2">
      <c r="B259" s="800"/>
      <c r="C259" s="800"/>
      <c r="D259" s="800"/>
      <c r="E259" s="769"/>
      <c r="F259" s="769"/>
      <c r="G259" s="802"/>
      <c r="H259" s="802"/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3"/>
      <c r="T259" s="802"/>
      <c r="U259" s="802"/>
      <c r="V259" s="802"/>
      <c r="W259" s="802"/>
      <c r="X259" s="802"/>
      <c r="Y259" s="802"/>
      <c r="Z259" s="802"/>
      <c r="AA259" s="802"/>
      <c r="AB259" s="802"/>
      <c r="AC259" s="802"/>
      <c r="AD259" s="802"/>
      <c r="AE259" s="802"/>
      <c r="AF259" s="802"/>
      <c r="AG259" s="802"/>
      <c r="AH259" s="382"/>
      <c r="AI259" s="382"/>
      <c r="AJ259" s="382"/>
      <c r="AK259" s="382"/>
      <c r="AL259" s="382"/>
      <c r="AM259" s="382"/>
      <c r="AN259" s="382"/>
      <c r="AO259" s="382"/>
      <c r="AP259" s="382"/>
      <c r="AQ259" s="382"/>
      <c r="AR259" s="382"/>
      <c r="AS259" s="382"/>
      <c r="AT259" s="382"/>
      <c r="AU259" s="382"/>
      <c r="AV259" s="382"/>
      <c r="AW259" s="382"/>
      <c r="AX259" s="382"/>
      <c r="AY259" s="382"/>
      <c r="AZ259" s="382"/>
      <c r="BA259" s="382"/>
      <c r="BB259" s="382"/>
      <c r="BC259" s="382"/>
      <c r="BD259" s="382"/>
      <c r="BE259" s="382"/>
      <c r="BF259" s="382"/>
      <c r="BG259" s="382"/>
      <c r="BH259" s="382"/>
      <c r="BI259" s="382"/>
      <c r="BJ259" s="382"/>
      <c r="BK259" s="382"/>
      <c r="BL259" s="382"/>
      <c r="BM259" s="382"/>
      <c r="BN259" s="382"/>
      <c r="BO259" s="382"/>
      <c r="BP259" s="382"/>
      <c r="BQ259" s="382"/>
      <c r="BR259" s="382"/>
      <c r="BS259" s="382"/>
      <c r="BT259" s="382"/>
      <c r="BU259" s="496"/>
      <c r="BV259" s="382"/>
      <c r="BW259" s="382"/>
      <c r="BX259" s="382"/>
      <c r="BY259" s="382"/>
      <c r="BZ259" s="382"/>
      <c r="CA259" s="382"/>
      <c r="CB259" s="382"/>
      <c r="CC259" s="382"/>
      <c r="CD259" s="382"/>
      <c r="CE259" s="382"/>
      <c r="CF259" s="382"/>
      <c r="CG259" s="382"/>
      <c r="CH259" s="382"/>
      <c r="CI259" s="382"/>
      <c r="CJ259" s="382"/>
      <c r="CK259" s="382"/>
      <c r="CL259" s="382"/>
      <c r="CM259" s="382"/>
      <c r="CN259" s="382"/>
      <c r="CO259" s="382"/>
      <c r="CP259" s="382"/>
      <c r="CQ259" s="382"/>
      <c r="CR259" s="382"/>
      <c r="CS259" s="382"/>
      <c r="CT259" s="382"/>
      <c r="CU259" s="382"/>
      <c r="CV259" s="382"/>
      <c r="CW259" s="800"/>
      <c r="CX259" s="382"/>
      <c r="CY259" s="382"/>
      <c r="CZ259" s="382"/>
      <c r="DA259" s="382"/>
      <c r="DB259" s="382"/>
      <c r="DC259" s="382"/>
      <c r="DD259" s="382"/>
      <c r="DE259" s="382"/>
      <c r="DF259" s="382"/>
      <c r="DG259" s="382"/>
      <c r="DH259" s="382"/>
      <c r="DI259" s="382"/>
      <c r="DJ259" s="382"/>
      <c r="DK259" s="382"/>
      <c r="DL259" s="382"/>
      <c r="DM259" s="382"/>
      <c r="DN259" s="382"/>
      <c r="DO259" s="382"/>
      <c r="DP259" s="382"/>
      <c r="DQ259" s="382"/>
      <c r="DR259" s="382"/>
      <c r="DS259" s="382"/>
      <c r="DT259" s="382"/>
      <c r="DU259" s="382"/>
      <c r="DV259" s="382"/>
      <c r="DW259" s="382"/>
      <c r="DX259" s="382"/>
      <c r="DY259" s="382"/>
      <c r="DZ259" s="228"/>
    </row>
    <row r="260" spans="2:130" s="180" customFormat="1" ht="14.25" customHeight="1" x14ac:dyDescent="0.2">
      <c r="B260" s="800"/>
      <c r="C260" s="800"/>
      <c r="D260" s="800"/>
      <c r="E260" s="769"/>
      <c r="F260" s="769"/>
      <c r="G260" s="802"/>
      <c r="H260" s="802"/>
      <c r="I260" s="802"/>
      <c r="J260" s="802"/>
      <c r="K260" s="802"/>
      <c r="L260" s="802"/>
      <c r="M260" s="802"/>
      <c r="N260" s="802"/>
      <c r="O260" s="802"/>
      <c r="P260" s="802"/>
      <c r="Q260" s="802"/>
      <c r="R260" s="802"/>
      <c r="S260" s="803"/>
      <c r="T260" s="802"/>
      <c r="U260" s="802"/>
      <c r="V260" s="802"/>
      <c r="W260" s="802"/>
      <c r="X260" s="802"/>
      <c r="Y260" s="802"/>
      <c r="Z260" s="802"/>
      <c r="AA260" s="802"/>
      <c r="AB260" s="802"/>
      <c r="AC260" s="802"/>
      <c r="AD260" s="802"/>
      <c r="AE260" s="802"/>
      <c r="AF260" s="802"/>
      <c r="AG260" s="802"/>
      <c r="AH260" s="382"/>
      <c r="AI260" s="382"/>
      <c r="AJ260" s="382"/>
      <c r="AK260" s="382"/>
      <c r="AL260" s="382"/>
      <c r="AM260" s="382"/>
      <c r="AN260" s="382"/>
      <c r="AO260" s="382"/>
      <c r="AP260" s="382"/>
      <c r="AQ260" s="382"/>
      <c r="AR260" s="382"/>
      <c r="AS260" s="382"/>
      <c r="AT260" s="382"/>
      <c r="AU260" s="382"/>
      <c r="AV260" s="382"/>
      <c r="AW260" s="382"/>
      <c r="AX260" s="382"/>
      <c r="AY260" s="382"/>
      <c r="AZ260" s="382"/>
      <c r="BA260" s="382"/>
      <c r="BB260" s="382"/>
      <c r="BC260" s="382"/>
      <c r="BD260" s="382"/>
      <c r="BE260" s="382"/>
      <c r="BF260" s="382"/>
      <c r="BG260" s="382"/>
      <c r="BH260" s="382"/>
      <c r="BI260" s="382"/>
      <c r="BJ260" s="382"/>
      <c r="BK260" s="382"/>
      <c r="BL260" s="382"/>
      <c r="BM260" s="382"/>
      <c r="BN260" s="382"/>
      <c r="BO260" s="382"/>
      <c r="BP260" s="382"/>
      <c r="BQ260" s="382"/>
      <c r="BR260" s="382"/>
      <c r="BS260" s="382"/>
      <c r="BT260" s="382"/>
      <c r="BU260" s="496"/>
      <c r="BV260" s="382"/>
      <c r="BW260" s="382"/>
      <c r="BX260" s="382"/>
      <c r="BY260" s="382"/>
      <c r="BZ260" s="382"/>
      <c r="CA260" s="382"/>
      <c r="CB260" s="382"/>
      <c r="CC260" s="382"/>
      <c r="CD260" s="382"/>
      <c r="CE260" s="382"/>
      <c r="CF260" s="382"/>
      <c r="CG260" s="382"/>
      <c r="CH260" s="382"/>
      <c r="CI260" s="382"/>
      <c r="CJ260" s="382"/>
      <c r="CK260" s="382"/>
      <c r="CL260" s="382"/>
      <c r="CM260" s="382"/>
      <c r="CN260" s="382"/>
      <c r="CO260" s="382"/>
      <c r="CP260" s="382"/>
      <c r="CQ260" s="382"/>
      <c r="CR260" s="382"/>
      <c r="CS260" s="382"/>
      <c r="CT260" s="382"/>
      <c r="CU260" s="382"/>
      <c r="CV260" s="382"/>
      <c r="CW260" s="800"/>
      <c r="CX260" s="382"/>
      <c r="CY260" s="382"/>
      <c r="CZ260" s="382"/>
      <c r="DA260" s="382"/>
      <c r="DB260" s="382"/>
      <c r="DC260" s="382"/>
      <c r="DD260" s="382"/>
      <c r="DE260" s="382"/>
      <c r="DF260" s="382"/>
      <c r="DG260" s="382"/>
      <c r="DH260" s="382"/>
      <c r="DI260" s="382"/>
      <c r="DJ260" s="382"/>
      <c r="DK260" s="382"/>
      <c r="DL260" s="382"/>
      <c r="DM260" s="382"/>
      <c r="DN260" s="382"/>
      <c r="DO260" s="382"/>
      <c r="DP260" s="382"/>
      <c r="DQ260" s="382"/>
      <c r="DR260" s="382"/>
      <c r="DS260" s="382"/>
      <c r="DT260" s="382"/>
      <c r="DU260" s="382"/>
      <c r="DV260" s="382"/>
      <c r="DW260" s="382"/>
      <c r="DX260" s="382"/>
      <c r="DY260" s="382"/>
      <c r="DZ260" s="228"/>
    </row>
    <row r="261" spans="2:130" s="180" customFormat="1" ht="14.25" customHeight="1" x14ac:dyDescent="0.2">
      <c r="B261" s="800"/>
      <c r="C261" s="800"/>
      <c r="D261" s="800"/>
      <c r="E261" s="769"/>
      <c r="F261" s="769"/>
      <c r="G261" s="802"/>
      <c r="H261" s="802"/>
      <c r="I261" s="802"/>
      <c r="J261" s="802"/>
      <c r="K261" s="802"/>
      <c r="L261" s="802"/>
      <c r="M261" s="802"/>
      <c r="N261" s="802"/>
      <c r="O261" s="802"/>
      <c r="P261" s="802"/>
      <c r="Q261" s="802"/>
      <c r="R261" s="802"/>
      <c r="S261" s="803"/>
      <c r="T261" s="802"/>
      <c r="U261" s="802"/>
      <c r="V261" s="802"/>
      <c r="W261" s="802"/>
      <c r="X261" s="802"/>
      <c r="Y261" s="802"/>
      <c r="Z261" s="802"/>
      <c r="AA261" s="802"/>
      <c r="AB261" s="802"/>
      <c r="AC261" s="802"/>
      <c r="AD261" s="802"/>
      <c r="AE261" s="802"/>
      <c r="AF261" s="802"/>
      <c r="AG261" s="802"/>
      <c r="AH261" s="382"/>
      <c r="AI261" s="382"/>
      <c r="AJ261" s="382"/>
      <c r="AK261" s="382"/>
      <c r="AL261" s="382"/>
      <c r="AM261" s="382"/>
      <c r="AN261" s="382"/>
      <c r="AO261" s="382"/>
      <c r="AP261" s="382"/>
      <c r="AQ261" s="382"/>
      <c r="AR261" s="382"/>
      <c r="AS261" s="382"/>
      <c r="AT261" s="382"/>
      <c r="AU261" s="382"/>
      <c r="AV261" s="382"/>
      <c r="AW261" s="382"/>
      <c r="AX261" s="382"/>
      <c r="AY261" s="382"/>
      <c r="AZ261" s="382"/>
      <c r="BA261" s="382"/>
      <c r="BB261" s="382"/>
      <c r="BC261" s="382"/>
      <c r="BD261" s="382"/>
      <c r="BE261" s="382"/>
      <c r="BF261" s="382"/>
      <c r="BG261" s="382"/>
      <c r="BH261" s="382"/>
      <c r="BI261" s="382"/>
      <c r="BJ261" s="382"/>
      <c r="BK261" s="382"/>
      <c r="BL261" s="382"/>
      <c r="BM261" s="382"/>
      <c r="BN261" s="382"/>
      <c r="BO261" s="382"/>
      <c r="BP261" s="382"/>
      <c r="BQ261" s="382"/>
      <c r="BR261" s="382"/>
      <c r="BS261" s="382"/>
      <c r="BT261" s="382"/>
      <c r="BU261" s="496"/>
      <c r="BV261" s="382"/>
      <c r="BW261" s="382"/>
      <c r="BX261" s="382"/>
      <c r="BY261" s="382"/>
      <c r="BZ261" s="382"/>
      <c r="CA261" s="382"/>
      <c r="CB261" s="382"/>
      <c r="CC261" s="382"/>
      <c r="CD261" s="382"/>
      <c r="CE261" s="382"/>
      <c r="CF261" s="382"/>
      <c r="CG261" s="382"/>
      <c r="CH261" s="382"/>
      <c r="CI261" s="382"/>
      <c r="CJ261" s="382"/>
      <c r="CK261" s="382"/>
      <c r="CL261" s="382"/>
      <c r="CM261" s="382"/>
      <c r="CN261" s="382"/>
      <c r="CO261" s="382"/>
      <c r="CP261" s="382"/>
      <c r="CQ261" s="382"/>
      <c r="CR261" s="382"/>
      <c r="CS261" s="382"/>
      <c r="CT261" s="382"/>
      <c r="CU261" s="382"/>
      <c r="CV261" s="382"/>
      <c r="CW261" s="800"/>
      <c r="CX261" s="382"/>
      <c r="CY261" s="382"/>
      <c r="CZ261" s="382"/>
      <c r="DA261" s="382"/>
      <c r="DB261" s="382"/>
      <c r="DC261" s="382"/>
      <c r="DD261" s="382"/>
      <c r="DE261" s="382"/>
      <c r="DF261" s="382"/>
      <c r="DG261" s="382"/>
      <c r="DH261" s="382"/>
      <c r="DI261" s="382"/>
      <c r="DJ261" s="382"/>
      <c r="DK261" s="382"/>
      <c r="DL261" s="382"/>
      <c r="DM261" s="382"/>
      <c r="DN261" s="382"/>
      <c r="DO261" s="382"/>
      <c r="DP261" s="382"/>
      <c r="DQ261" s="382"/>
      <c r="DR261" s="382"/>
      <c r="DS261" s="382"/>
      <c r="DT261" s="382"/>
      <c r="DU261" s="382"/>
      <c r="DV261" s="382"/>
      <c r="DW261" s="382"/>
      <c r="DX261" s="382"/>
      <c r="DY261" s="382"/>
      <c r="DZ261" s="228"/>
    </row>
    <row r="262" spans="2:130" s="180" customFormat="1" ht="14.25" customHeight="1" x14ac:dyDescent="0.2">
      <c r="B262" s="800"/>
      <c r="C262" s="800"/>
      <c r="D262" s="800"/>
      <c r="E262" s="769"/>
      <c r="F262" s="769"/>
      <c r="G262" s="802"/>
      <c r="H262" s="802"/>
      <c r="I262" s="802"/>
      <c r="J262" s="802"/>
      <c r="K262" s="802"/>
      <c r="L262" s="802"/>
      <c r="M262" s="802"/>
      <c r="N262" s="802"/>
      <c r="O262" s="802"/>
      <c r="P262" s="802"/>
      <c r="Q262" s="802"/>
      <c r="R262" s="802"/>
      <c r="S262" s="803"/>
      <c r="T262" s="802"/>
      <c r="U262" s="802"/>
      <c r="V262" s="802"/>
      <c r="W262" s="802"/>
      <c r="X262" s="802"/>
      <c r="Y262" s="802"/>
      <c r="Z262" s="802"/>
      <c r="AA262" s="802"/>
      <c r="AB262" s="802"/>
      <c r="AC262" s="802"/>
      <c r="AD262" s="802"/>
      <c r="AE262" s="802"/>
      <c r="AF262" s="802"/>
      <c r="AG262" s="802"/>
      <c r="AH262" s="382"/>
      <c r="AI262" s="382"/>
      <c r="AJ262" s="382"/>
      <c r="AK262" s="382"/>
      <c r="AL262" s="382"/>
      <c r="AM262" s="382"/>
      <c r="AN262" s="382"/>
      <c r="AO262" s="382"/>
      <c r="AP262" s="382"/>
      <c r="AQ262" s="382"/>
      <c r="AR262" s="382"/>
      <c r="AS262" s="382"/>
      <c r="AT262" s="382"/>
      <c r="AU262" s="382"/>
      <c r="AV262" s="382"/>
      <c r="AW262" s="382"/>
      <c r="AX262" s="382"/>
      <c r="AY262" s="382"/>
      <c r="AZ262" s="382"/>
      <c r="BA262" s="382"/>
      <c r="BB262" s="382"/>
      <c r="BC262" s="382"/>
      <c r="BD262" s="382"/>
      <c r="BE262" s="382"/>
      <c r="BF262" s="382"/>
      <c r="BG262" s="382"/>
      <c r="BH262" s="382"/>
      <c r="BI262" s="382"/>
      <c r="BJ262" s="382"/>
      <c r="BK262" s="382"/>
      <c r="BL262" s="382"/>
      <c r="BM262" s="382"/>
      <c r="BN262" s="382"/>
      <c r="BO262" s="382"/>
      <c r="BP262" s="382"/>
      <c r="BQ262" s="382"/>
      <c r="BR262" s="382"/>
      <c r="BS262" s="382"/>
      <c r="BT262" s="382"/>
      <c r="BU262" s="496"/>
      <c r="BV262" s="382"/>
      <c r="BW262" s="382"/>
      <c r="BX262" s="382"/>
      <c r="BY262" s="382"/>
      <c r="BZ262" s="382"/>
      <c r="CA262" s="382"/>
      <c r="CB262" s="382"/>
      <c r="CC262" s="382"/>
      <c r="CD262" s="382"/>
      <c r="CE262" s="382"/>
      <c r="CF262" s="382"/>
      <c r="CG262" s="382"/>
      <c r="CH262" s="382"/>
      <c r="CI262" s="382"/>
      <c r="CJ262" s="382"/>
      <c r="CK262" s="382"/>
      <c r="CL262" s="382"/>
      <c r="CM262" s="382"/>
      <c r="CN262" s="382"/>
      <c r="CO262" s="382"/>
      <c r="CP262" s="382"/>
      <c r="CQ262" s="382"/>
      <c r="CR262" s="382"/>
      <c r="CS262" s="382"/>
      <c r="CT262" s="382"/>
      <c r="CU262" s="382"/>
      <c r="CV262" s="382"/>
      <c r="CW262" s="800"/>
      <c r="CX262" s="382"/>
      <c r="CY262" s="382"/>
      <c r="CZ262" s="382"/>
      <c r="DA262" s="382"/>
      <c r="DB262" s="382"/>
      <c r="DC262" s="382"/>
      <c r="DD262" s="382"/>
      <c r="DE262" s="382"/>
      <c r="DF262" s="382"/>
      <c r="DG262" s="382"/>
      <c r="DH262" s="382"/>
      <c r="DI262" s="382"/>
      <c r="DJ262" s="382"/>
      <c r="DK262" s="382"/>
      <c r="DL262" s="382"/>
      <c r="DM262" s="382"/>
      <c r="DN262" s="382"/>
      <c r="DO262" s="382"/>
      <c r="DP262" s="382"/>
      <c r="DQ262" s="382"/>
      <c r="DR262" s="382"/>
      <c r="DS262" s="382"/>
      <c r="DT262" s="382"/>
      <c r="DU262" s="382"/>
      <c r="DV262" s="382"/>
      <c r="DW262" s="382"/>
      <c r="DX262" s="382"/>
      <c r="DY262" s="382"/>
      <c r="DZ262" s="228"/>
    </row>
    <row r="263" spans="2:130" s="180" customFormat="1" ht="14.25" customHeight="1" x14ac:dyDescent="0.2">
      <c r="B263" s="800"/>
      <c r="C263" s="800"/>
      <c r="D263" s="800"/>
      <c r="E263" s="769"/>
      <c r="F263" s="769"/>
      <c r="G263" s="802"/>
      <c r="H263" s="802"/>
      <c r="I263" s="802"/>
      <c r="J263" s="802"/>
      <c r="K263" s="802"/>
      <c r="L263" s="802"/>
      <c r="M263" s="802"/>
      <c r="N263" s="802"/>
      <c r="O263" s="802"/>
      <c r="P263" s="802"/>
      <c r="Q263" s="802"/>
      <c r="R263" s="802"/>
      <c r="S263" s="803"/>
      <c r="T263" s="802"/>
      <c r="U263" s="802"/>
      <c r="V263" s="802"/>
      <c r="W263" s="802"/>
      <c r="X263" s="802"/>
      <c r="Y263" s="802"/>
      <c r="Z263" s="802"/>
      <c r="AA263" s="802"/>
      <c r="AB263" s="802"/>
      <c r="AC263" s="802"/>
      <c r="AD263" s="802"/>
      <c r="AE263" s="802"/>
      <c r="AF263" s="802"/>
      <c r="AG263" s="802"/>
      <c r="AH263" s="382"/>
      <c r="AI263" s="382"/>
      <c r="AJ263" s="382"/>
      <c r="AK263" s="382"/>
      <c r="AL263" s="382"/>
      <c r="AM263" s="382"/>
      <c r="AN263" s="382"/>
      <c r="AO263" s="382"/>
      <c r="AP263" s="382"/>
      <c r="AQ263" s="382"/>
      <c r="AR263" s="382"/>
      <c r="AS263" s="382"/>
      <c r="AT263" s="382"/>
      <c r="AU263" s="382"/>
      <c r="AV263" s="382"/>
      <c r="AW263" s="382"/>
      <c r="AX263" s="382"/>
      <c r="AY263" s="382"/>
      <c r="AZ263" s="382"/>
      <c r="BA263" s="382"/>
      <c r="BB263" s="382"/>
      <c r="BC263" s="382"/>
      <c r="BD263" s="382"/>
      <c r="BE263" s="382"/>
      <c r="BF263" s="382"/>
      <c r="BG263" s="382"/>
      <c r="BH263" s="382"/>
      <c r="BI263" s="382"/>
      <c r="BJ263" s="382"/>
      <c r="BK263" s="382"/>
      <c r="BL263" s="382"/>
      <c r="BM263" s="382"/>
      <c r="BN263" s="382"/>
      <c r="BO263" s="382"/>
      <c r="BP263" s="382"/>
      <c r="BQ263" s="382"/>
      <c r="BR263" s="382"/>
      <c r="BS263" s="382"/>
      <c r="BT263" s="382"/>
      <c r="BU263" s="496"/>
      <c r="BV263" s="382"/>
      <c r="BW263" s="382"/>
      <c r="BX263" s="382"/>
      <c r="BY263" s="382"/>
      <c r="BZ263" s="382"/>
      <c r="CA263" s="382"/>
      <c r="CB263" s="382"/>
      <c r="CC263" s="382"/>
      <c r="CD263" s="382"/>
      <c r="CE263" s="382"/>
      <c r="CF263" s="382"/>
      <c r="CG263" s="382"/>
      <c r="CH263" s="382"/>
      <c r="CI263" s="382"/>
      <c r="CJ263" s="382"/>
      <c r="CK263" s="382"/>
      <c r="CL263" s="382"/>
      <c r="CM263" s="382"/>
      <c r="CN263" s="382"/>
      <c r="CO263" s="382"/>
      <c r="CP263" s="382"/>
      <c r="CQ263" s="382"/>
      <c r="CR263" s="382"/>
      <c r="CS263" s="382"/>
      <c r="CT263" s="382"/>
      <c r="CU263" s="382"/>
      <c r="CV263" s="382"/>
      <c r="CW263" s="800"/>
      <c r="CX263" s="382"/>
      <c r="CY263" s="382"/>
      <c r="CZ263" s="382"/>
      <c r="DA263" s="382"/>
      <c r="DB263" s="382"/>
      <c r="DC263" s="382"/>
      <c r="DD263" s="382"/>
      <c r="DE263" s="382"/>
      <c r="DF263" s="382"/>
      <c r="DG263" s="382"/>
      <c r="DH263" s="382"/>
      <c r="DI263" s="382"/>
      <c r="DJ263" s="382"/>
      <c r="DK263" s="382"/>
      <c r="DL263" s="382"/>
      <c r="DM263" s="382"/>
      <c r="DN263" s="382"/>
      <c r="DO263" s="382"/>
      <c r="DP263" s="382"/>
      <c r="DQ263" s="382"/>
      <c r="DR263" s="382"/>
      <c r="DS263" s="382"/>
      <c r="DT263" s="382"/>
      <c r="DU263" s="382"/>
      <c r="DV263" s="382"/>
      <c r="DW263" s="382"/>
      <c r="DX263" s="382"/>
      <c r="DY263" s="382"/>
      <c r="DZ263" s="228"/>
    </row>
    <row r="264" spans="2:130" s="180" customFormat="1" ht="14.25" customHeight="1" x14ac:dyDescent="0.2">
      <c r="B264" s="800"/>
      <c r="C264" s="800"/>
      <c r="D264" s="800"/>
      <c r="E264" s="769"/>
      <c r="F264" s="769"/>
      <c r="G264" s="802"/>
      <c r="H264" s="802"/>
      <c r="I264" s="802"/>
      <c r="J264" s="802"/>
      <c r="K264" s="802"/>
      <c r="L264" s="802"/>
      <c r="M264" s="802"/>
      <c r="N264" s="802"/>
      <c r="O264" s="802"/>
      <c r="P264" s="802"/>
      <c r="Q264" s="802"/>
      <c r="R264" s="802"/>
      <c r="S264" s="803"/>
      <c r="T264" s="802"/>
      <c r="U264" s="802"/>
      <c r="V264" s="802"/>
      <c r="W264" s="802"/>
      <c r="X264" s="802"/>
      <c r="Y264" s="802"/>
      <c r="Z264" s="802"/>
      <c r="AA264" s="802"/>
      <c r="AB264" s="802"/>
      <c r="AC264" s="802"/>
      <c r="AD264" s="802"/>
      <c r="AE264" s="802"/>
      <c r="AF264" s="802"/>
      <c r="AG264" s="802"/>
      <c r="AH264" s="382"/>
      <c r="AI264" s="382"/>
      <c r="AJ264" s="382"/>
      <c r="AK264" s="382"/>
      <c r="AL264" s="382"/>
      <c r="AM264" s="382"/>
      <c r="AN264" s="382"/>
      <c r="AO264" s="382"/>
      <c r="AP264" s="382"/>
      <c r="AQ264" s="382"/>
      <c r="AR264" s="382"/>
      <c r="AS264" s="382"/>
      <c r="AT264" s="382"/>
      <c r="AU264" s="382"/>
      <c r="AV264" s="382"/>
      <c r="AW264" s="382"/>
      <c r="AX264" s="382"/>
      <c r="AY264" s="382"/>
      <c r="AZ264" s="382"/>
      <c r="BA264" s="382"/>
      <c r="BB264" s="382"/>
      <c r="BC264" s="382"/>
      <c r="BD264" s="382"/>
      <c r="BE264" s="382"/>
      <c r="BF264" s="382"/>
      <c r="BG264" s="382"/>
      <c r="BH264" s="382"/>
      <c r="BI264" s="382"/>
      <c r="BJ264" s="382"/>
      <c r="BK264" s="382"/>
      <c r="BL264" s="382"/>
      <c r="BM264" s="382"/>
      <c r="BN264" s="382"/>
      <c r="BO264" s="382"/>
      <c r="BP264" s="382"/>
      <c r="BQ264" s="382"/>
      <c r="BR264" s="382"/>
      <c r="BS264" s="382"/>
      <c r="BT264" s="382"/>
      <c r="BU264" s="496"/>
      <c r="BV264" s="382"/>
      <c r="BW264" s="382"/>
      <c r="BX264" s="382"/>
      <c r="BY264" s="382"/>
      <c r="BZ264" s="382"/>
      <c r="CA264" s="382"/>
      <c r="CB264" s="382"/>
      <c r="CC264" s="382"/>
      <c r="CD264" s="382"/>
      <c r="CE264" s="382"/>
      <c r="CF264" s="382"/>
      <c r="CG264" s="382"/>
      <c r="CH264" s="382"/>
      <c r="CI264" s="382"/>
      <c r="CJ264" s="382"/>
      <c r="CK264" s="382"/>
      <c r="CL264" s="382"/>
      <c r="CM264" s="382"/>
      <c r="CN264" s="382"/>
      <c r="CO264" s="382"/>
      <c r="CP264" s="382"/>
      <c r="CQ264" s="382"/>
      <c r="CR264" s="382"/>
      <c r="CS264" s="382"/>
      <c r="CT264" s="382"/>
      <c r="CU264" s="382"/>
      <c r="CV264" s="382"/>
      <c r="CW264" s="800"/>
      <c r="CX264" s="382"/>
      <c r="CY264" s="382"/>
      <c r="CZ264" s="382"/>
      <c r="DA264" s="382"/>
      <c r="DB264" s="382"/>
      <c r="DC264" s="382"/>
      <c r="DD264" s="382"/>
      <c r="DE264" s="382"/>
      <c r="DF264" s="382"/>
      <c r="DG264" s="382"/>
      <c r="DH264" s="382"/>
      <c r="DI264" s="382"/>
      <c r="DJ264" s="382"/>
      <c r="DK264" s="382"/>
      <c r="DL264" s="382"/>
      <c r="DM264" s="382"/>
      <c r="DN264" s="382"/>
      <c r="DO264" s="382"/>
      <c r="DP264" s="382"/>
      <c r="DQ264" s="382"/>
      <c r="DR264" s="382"/>
      <c r="DS264" s="382"/>
      <c r="DT264" s="382"/>
      <c r="DU264" s="382"/>
      <c r="DV264" s="382"/>
      <c r="DW264" s="382"/>
      <c r="DX264" s="382"/>
      <c r="DY264" s="382"/>
      <c r="DZ264" s="228"/>
    </row>
    <row r="265" spans="2:130" s="180" customFormat="1" ht="14.25" customHeight="1" x14ac:dyDescent="0.2">
      <c r="B265" s="800"/>
      <c r="C265" s="800"/>
      <c r="D265" s="800"/>
      <c r="E265" s="769"/>
      <c r="F265" s="769"/>
      <c r="G265" s="802"/>
      <c r="H265" s="802"/>
      <c r="I265" s="802"/>
      <c r="J265" s="802"/>
      <c r="K265" s="802"/>
      <c r="L265" s="802"/>
      <c r="M265" s="802"/>
      <c r="N265" s="802"/>
      <c r="O265" s="802"/>
      <c r="P265" s="802"/>
      <c r="Q265" s="802"/>
      <c r="R265" s="802"/>
      <c r="S265" s="803"/>
      <c r="T265" s="802"/>
      <c r="U265" s="802"/>
      <c r="V265" s="802"/>
      <c r="W265" s="802"/>
      <c r="X265" s="802"/>
      <c r="Y265" s="802"/>
      <c r="Z265" s="802"/>
      <c r="AA265" s="802"/>
      <c r="AB265" s="802"/>
      <c r="AC265" s="802"/>
      <c r="AD265" s="802"/>
      <c r="AE265" s="802"/>
      <c r="AF265" s="802"/>
      <c r="AG265" s="802"/>
      <c r="AH265" s="382"/>
      <c r="AI265" s="382"/>
      <c r="AJ265" s="382"/>
      <c r="AK265" s="382"/>
      <c r="AL265" s="382"/>
      <c r="AM265" s="382"/>
      <c r="AN265" s="382"/>
      <c r="AO265" s="382"/>
      <c r="AP265" s="382"/>
      <c r="AQ265" s="382"/>
      <c r="AR265" s="382"/>
      <c r="AS265" s="382"/>
      <c r="AT265" s="382"/>
      <c r="AU265" s="382"/>
      <c r="AV265" s="382"/>
      <c r="AW265" s="382"/>
      <c r="AX265" s="382"/>
      <c r="AY265" s="382"/>
      <c r="AZ265" s="382"/>
      <c r="BA265" s="382"/>
      <c r="BB265" s="382"/>
      <c r="BC265" s="382"/>
      <c r="BD265" s="382"/>
      <c r="BE265" s="382"/>
      <c r="BF265" s="382"/>
      <c r="BG265" s="382"/>
      <c r="BH265" s="382"/>
      <c r="BI265" s="382"/>
      <c r="BJ265" s="382"/>
      <c r="BK265" s="382"/>
      <c r="BL265" s="382"/>
      <c r="BM265" s="382"/>
      <c r="BN265" s="382"/>
      <c r="BO265" s="382"/>
      <c r="BP265" s="382"/>
      <c r="BQ265" s="382"/>
      <c r="BR265" s="382"/>
      <c r="BS265" s="382"/>
      <c r="BT265" s="382"/>
      <c r="BU265" s="496"/>
      <c r="BV265" s="382"/>
      <c r="BW265" s="382"/>
      <c r="BX265" s="382"/>
      <c r="BY265" s="382"/>
      <c r="BZ265" s="382"/>
      <c r="CA265" s="382"/>
      <c r="CB265" s="382"/>
      <c r="CC265" s="382"/>
      <c r="CD265" s="382"/>
      <c r="CE265" s="382"/>
      <c r="CF265" s="382"/>
      <c r="CG265" s="382"/>
      <c r="CH265" s="382"/>
      <c r="CI265" s="382"/>
      <c r="CJ265" s="382"/>
      <c r="CK265" s="382"/>
      <c r="CL265" s="382"/>
      <c r="CM265" s="382"/>
      <c r="CN265" s="382"/>
      <c r="CO265" s="382"/>
      <c r="CP265" s="382"/>
      <c r="CQ265" s="382"/>
      <c r="CR265" s="382"/>
      <c r="CS265" s="382"/>
      <c r="CT265" s="382"/>
      <c r="CU265" s="382"/>
      <c r="CV265" s="382"/>
      <c r="CW265" s="800"/>
      <c r="CX265" s="382"/>
      <c r="CY265" s="382"/>
      <c r="CZ265" s="382"/>
      <c r="DA265" s="382"/>
      <c r="DB265" s="382"/>
      <c r="DC265" s="382"/>
      <c r="DD265" s="382"/>
      <c r="DE265" s="382"/>
      <c r="DF265" s="382"/>
      <c r="DG265" s="382"/>
      <c r="DH265" s="382"/>
      <c r="DI265" s="382"/>
      <c r="DJ265" s="382"/>
      <c r="DK265" s="382"/>
      <c r="DL265" s="382"/>
      <c r="DM265" s="382"/>
      <c r="DN265" s="382"/>
      <c r="DO265" s="382"/>
      <c r="DP265" s="382"/>
      <c r="DQ265" s="382"/>
      <c r="DR265" s="382"/>
      <c r="DS265" s="382"/>
      <c r="DT265" s="382"/>
      <c r="DU265" s="382"/>
      <c r="DV265" s="382"/>
      <c r="DW265" s="382"/>
      <c r="DX265" s="382"/>
      <c r="DY265" s="382"/>
      <c r="DZ265" s="228"/>
    </row>
    <row r="266" spans="2:130" s="180" customFormat="1" ht="14.25" customHeight="1" x14ac:dyDescent="0.2">
      <c r="B266" s="804"/>
      <c r="C266" s="800"/>
      <c r="D266" s="800"/>
      <c r="E266" s="769"/>
      <c r="F266" s="769"/>
      <c r="G266" s="802"/>
      <c r="H266" s="802"/>
      <c r="I266" s="802"/>
      <c r="J266" s="802"/>
      <c r="K266" s="802"/>
      <c r="L266" s="802"/>
      <c r="M266" s="802"/>
      <c r="N266" s="802"/>
      <c r="O266" s="802"/>
      <c r="P266" s="802"/>
      <c r="Q266" s="802"/>
      <c r="R266" s="802"/>
      <c r="S266" s="803"/>
      <c r="T266" s="802"/>
      <c r="U266" s="802"/>
      <c r="V266" s="802"/>
      <c r="W266" s="802"/>
      <c r="X266" s="802"/>
      <c r="Y266" s="802"/>
      <c r="Z266" s="802"/>
      <c r="AA266" s="802"/>
      <c r="AB266" s="802"/>
      <c r="AC266" s="802"/>
      <c r="AD266" s="802"/>
      <c r="AE266" s="802"/>
      <c r="AF266" s="802"/>
      <c r="AG266" s="802"/>
      <c r="AH266" s="382"/>
      <c r="AI266" s="382"/>
      <c r="AJ266" s="382"/>
      <c r="AK266" s="382"/>
      <c r="AL266" s="382"/>
      <c r="AM266" s="382"/>
      <c r="AN266" s="382"/>
      <c r="AO266" s="382"/>
      <c r="AP266" s="382"/>
      <c r="AQ266" s="382"/>
      <c r="AR266" s="382"/>
      <c r="AS266" s="382"/>
      <c r="AT266" s="382"/>
      <c r="AU266" s="382"/>
      <c r="AV266" s="382"/>
      <c r="AW266" s="382"/>
      <c r="AX266" s="382"/>
      <c r="AY266" s="382"/>
      <c r="AZ266" s="382"/>
      <c r="BA266" s="382"/>
      <c r="BB266" s="382"/>
      <c r="BC266" s="382"/>
      <c r="BD266" s="382"/>
      <c r="BE266" s="382"/>
      <c r="BF266" s="382"/>
      <c r="BG266" s="382"/>
      <c r="BH266" s="382"/>
      <c r="BI266" s="382"/>
      <c r="BJ266" s="382"/>
      <c r="BK266" s="382"/>
      <c r="BL266" s="382"/>
      <c r="BM266" s="382"/>
      <c r="BN266" s="382"/>
      <c r="BO266" s="382"/>
      <c r="BP266" s="382"/>
      <c r="BQ266" s="382"/>
      <c r="BR266" s="382"/>
      <c r="BS266" s="382"/>
      <c r="BT266" s="382"/>
      <c r="BU266" s="496"/>
      <c r="BV266" s="382"/>
      <c r="BW266" s="382"/>
      <c r="BX266" s="382"/>
      <c r="BY266" s="382"/>
      <c r="BZ266" s="382"/>
      <c r="CA266" s="382"/>
      <c r="CB266" s="382"/>
      <c r="CC266" s="382"/>
      <c r="CD266" s="382"/>
      <c r="CE266" s="382"/>
      <c r="CF266" s="382"/>
      <c r="CG266" s="382"/>
      <c r="CH266" s="382"/>
      <c r="CI266" s="382"/>
      <c r="CJ266" s="382"/>
      <c r="CK266" s="382"/>
      <c r="CL266" s="382"/>
      <c r="CM266" s="382"/>
      <c r="CN266" s="382"/>
      <c r="CO266" s="382"/>
      <c r="CP266" s="382"/>
      <c r="CQ266" s="382"/>
      <c r="CR266" s="382"/>
      <c r="CS266" s="382"/>
      <c r="CT266" s="382"/>
      <c r="CU266" s="382"/>
      <c r="CV266" s="382"/>
      <c r="CW266" s="800"/>
      <c r="CX266" s="382"/>
      <c r="CY266" s="382"/>
      <c r="CZ266" s="382"/>
      <c r="DA266" s="382"/>
      <c r="DB266" s="382"/>
      <c r="DC266" s="382"/>
      <c r="DD266" s="382"/>
      <c r="DE266" s="382"/>
      <c r="DF266" s="382"/>
      <c r="DG266" s="382"/>
      <c r="DH266" s="382"/>
      <c r="DI266" s="382"/>
      <c r="DJ266" s="382"/>
      <c r="DK266" s="382"/>
      <c r="DL266" s="382"/>
      <c r="DM266" s="382"/>
      <c r="DN266" s="382"/>
      <c r="DO266" s="382"/>
      <c r="DP266" s="382"/>
      <c r="DQ266" s="382"/>
      <c r="DR266" s="382"/>
      <c r="DS266" s="382"/>
      <c r="DT266" s="382"/>
      <c r="DU266" s="382"/>
      <c r="DV266" s="382"/>
      <c r="DW266" s="382"/>
      <c r="DX266" s="382"/>
      <c r="DY266" s="382"/>
      <c r="DZ266" s="228"/>
    </row>
    <row r="267" spans="2:130" s="180" customFormat="1" ht="14.25" customHeight="1" x14ac:dyDescent="0.2">
      <c r="B267" s="800"/>
      <c r="C267" s="800"/>
      <c r="D267" s="800"/>
      <c r="E267" s="769"/>
      <c r="F267" s="769"/>
      <c r="G267" s="802"/>
      <c r="H267" s="802"/>
      <c r="I267" s="802"/>
      <c r="J267" s="802"/>
      <c r="K267" s="802"/>
      <c r="L267" s="802"/>
      <c r="M267" s="802"/>
      <c r="N267" s="802"/>
      <c r="O267" s="802"/>
      <c r="P267" s="802"/>
      <c r="Q267" s="802"/>
      <c r="R267" s="802"/>
      <c r="S267" s="803"/>
      <c r="T267" s="802"/>
      <c r="U267" s="802"/>
      <c r="V267" s="802"/>
      <c r="W267" s="802"/>
      <c r="X267" s="802"/>
      <c r="Y267" s="802"/>
      <c r="Z267" s="802"/>
      <c r="AA267" s="802"/>
      <c r="AB267" s="802"/>
      <c r="AC267" s="802"/>
      <c r="AD267" s="802"/>
      <c r="AE267" s="802"/>
      <c r="AF267" s="802"/>
      <c r="AG267" s="802"/>
      <c r="AH267" s="382"/>
      <c r="AI267" s="382"/>
      <c r="AJ267" s="382"/>
      <c r="AK267" s="382"/>
      <c r="AL267" s="382"/>
      <c r="AM267" s="382"/>
      <c r="AN267" s="382"/>
      <c r="AO267" s="382"/>
      <c r="AP267" s="382"/>
      <c r="AQ267" s="382"/>
      <c r="AR267" s="382"/>
      <c r="AS267" s="382"/>
      <c r="AT267" s="382"/>
      <c r="AU267" s="382"/>
      <c r="AV267" s="382"/>
      <c r="AW267" s="382"/>
      <c r="AX267" s="382"/>
      <c r="AY267" s="382"/>
      <c r="AZ267" s="382"/>
      <c r="BA267" s="382"/>
      <c r="BB267" s="382"/>
      <c r="BC267" s="382"/>
      <c r="BD267" s="382"/>
      <c r="BE267" s="382"/>
      <c r="BF267" s="382"/>
      <c r="BG267" s="382"/>
      <c r="BH267" s="382"/>
      <c r="BI267" s="382"/>
      <c r="BJ267" s="382"/>
      <c r="BK267" s="382"/>
      <c r="BL267" s="382"/>
      <c r="BM267" s="382"/>
      <c r="BN267" s="382"/>
      <c r="BO267" s="382"/>
      <c r="BP267" s="382"/>
      <c r="BQ267" s="382"/>
      <c r="BR267" s="382"/>
      <c r="BS267" s="382"/>
      <c r="BT267" s="382"/>
      <c r="BU267" s="496"/>
      <c r="BV267" s="382"/>
      <c r="BW267" s="382"/>
      <c r="BX267" s="382"/>
      <c r="BY267" s="382"/>
      <c r="BZ267" s="382"/>
      <c r="CA267" s="382"/>
      <c r="CB267" s="382"/>
      <c r="CC267" s="382"/>
      <c r="CD267" s="382"/>
      <c r="CE267" s="382"/>
      <c r="CF267" s="382"/>
      <c r="CG267" s="382"/>
      <c r="CH267" s="382"/>
      <c r="CI267" s="382"/>
      <c r="CJ267" s="382"/>
      <c r="CK267" s="382"/>
      <c r="CL267" s="382"/>
      <c r="CM267" s="382"/>
      <c r="CN267" s="382"/>
      <c r="CO267" s="382"/>
      <c r="CP267" s="382"/>
      <c r="CQ267" s="382"/>
      <c r="CR267" s="382"/>
      <c r="CS267" s="382"/>
      <c r="CT267" s="382"/>
      <c r="CU267" s="382"/>
      <c r="CV267" s="382"/>
      <c r="CW267" s="800"/>
      <c r="CX267" s="382"/>
      <c r="CY267" s="382"/>
      <c r="CZ267" s="382"/>
      <c r="DA267" s="382"/>
      <c r="DB267" s="382"/>
      <c r="DC267" s="382"/>
      <c r="DD267" s="382"/>
      <c r="DE267" s="382"/>
      <c r="DF267" s="382"/>
      <c r="DG267" s="382"/>
      <c r="DH267" s="382"/>
      <c r="DI267" s="382"/>
      <c r="DJ267" s="382"/>
      <c r="DK267" s="382"/>
      <c r="DL267" s="382"/>
      <c r="DM267" s="382"/>
      <c r="DN267" s="382"/>
      <c r="DO267" s="382"/>
      <c r="DP267" s="382"/>
      <c r="DQ267" s="382"/>
      <c r="DR267" s="382"/>
      <c r="DS267" s="382"/>
      <c r="DT267" s="382"/>
      <c r="DU267" s="382"/>
      <c r="DV267" s="382"/>
      <c r="DW267" s="382"/>
      <c r="DX267" s="382"/>
      <c r="DY267" s="382"/>
      <c r="DZ267" s="228"/>
    </row>
    <row r="268" spans="2:130" s="180" customFormat="1" ht="14.25" customHeight="1" x14ac:dyDescent="0.2">
      <c r="B268" s="800"/>
      <c r="C268" s="800"/>
      <c r="D268" s="800"/>
      <c r="E268" s="769"/>
      <c r="F268" s="769"/>
      <c r="G268" s="802"/>
      <c r="H268" s="802"/>
      <c r="I268" s="802"/>
      <c r="J268" s="802"/>
      <c r="K268" s="802"/>
      <c r="L268" s="802"/>
      <c r="M268" s="802"/>
      <c r="N268" s="802"/>
      <c r="O268" s="802"/>
      <c r="P268" s="802"/>
      <c r="Q268" s="802"/>
      <c r="R268" s="802"/>
      <c r="S268" s="803"/>
      <c r="T268" s="802"/>
      <c r="U268" s="802"/>
      <c r="V268" s="802"/>
      <c r="W268" s="802"/>
      <c r="X268" s="802"/>
      <c r="Y268" s="802"/>
      <c r="Z268" s="802"/>
      <c r="AA268" s="802"/>
      <c r="AB268" s="802"/>
      <c r="AC268" s="802"/>
      <c r="AD268" s="802"/>
      <c r="AE268" s="802"/>
      <c r="AF268" s="802"/>
      <c r="AG268" s="802"/>
      <c r="AH268" s="382"/>
      <c r="AI268" s="382"/>
      <c r="AJ268" s="382"/>
      <c r="AK268" s="382"/>
      <c r="AL268" s="382"/>
      <c r="AM268" s="382"/>
      <c r="AN268" s="382"/>
      <c r="AO268" s="382"/>
      <c r="AP268" s="382"/>
      <c r="AQ268" s="382"/>
      <c r="AR268" s="382"/>
      <c r="AS268" s="382"/>
      <c r="AT268" s="382"/>
      <c r="AU268" s="382"/>
      <c r="AV268" s="382"/>
      <c r="AW268" s="382"/>
      <c r="AX268" s="382"/>
      <c r="AY268" s="382"/>
      <c r="AZ268" s="382"/>
      <c r="BA268" s="382"/>
      <c r="BB268" s="382"/>
      <c r="BC268" s="382"/>
      <c r="BD268" s="382"/>
      <c r="BE268" s="382"/>
      <c r="BF268" s="382"/>
      <c r="BG268" s="382"/>
      <c r="BH268" s="382"/>
      <c r="BI268" s="382"/>
      <c r="BJ268" s="382"/>
      <c r="BK268" s="382"/>
      <c r="BL268" s="382"/>
      <c r="BM268" s="382"/>
      <c r="BN268" s="382"/>
      <c r="BO268" s="382"/>
      <c r="BP268" s="382"/>
      <c r="BQ268" s="382"/>
      <c r="BR268" s="382"/>
      <c r="BS268" s="382"/>
      <c r="BT268" s="382"/>
      <c r="BU268" s="496"/>
      <c r="BV268" s="382"/>
      <c r="BW268" s="382"/>
      <c r="BX268" s="382"/>
      <c r="BY268" s="382"/>
      <c r="BZ268" s="382"/>
      <c r="CA268" s="382"/>
      <c r="CB268" s="382"/>
      <c r="CC268" s="382"/>
      <c r="CD268" s="382"/>
      <c r="CE268" s="382"/>
      <c r="CF268" s="382"/>
      <c r="CG268" s="382"/>
      <c r="CH268" s="382"/>
      <c r="CI268" s="382"/>
      <c r="CJ268" s="382"/>
      <c r="CK268" s="382"/>
      <c r="CL268" s="382"/>
      <c r="CM268" s="382"/>
      <c r="CN268" s="382"/>
      <c r="CO268" s="382"/>
      <c r="CP268" s="382"/>
      <c r="CQ268" s="382"/>
      <c r="CR268" s="382"/>
      <c r="CS268" s="382"/>
      <c r="CT268" s="382"/>
      <c r="CU268" s="382"/>
      <c r="CV268" s="382"/>
      <c r="CW268" s="800"/>
      <c r="CX268" s="382"/>
      <c r="CY268" s="382"/>
      <c r="CZ268" s="382"/>
      <c r="DA268" s="382"/>
      <c r="DB268" s="382"/>
      <c r="DC268" s="382"/>
      <c r="DD268" s="382"/>
      <c r="DE268" s="382"/>
      <c r="DF268" s="382"/>
      <c r="DG268" s="382"/>
      <c r="DH268" s="382"/>
      <c r="DI268" s="382"/>
      <c r="DJ268" s="382"/>
      <c r="DK268" s="382"/>
      <c r="DL268" s="382"/>
      <c r="DM268" s="382"/>
      <c r="DN268" s="382"/>
      <c r="DO268" s="382"/>
      <c r="DP268" s="382"/>
      <c r="DQ268" s="382"/>
      <c r="DR268" s="382"/>
      <c r="DS268" s="382"/>
      <c r="DT268" s="382"/>
      <c r="DU268" s="382"/>
      <c r="DV268" s="382"/>
      <c r="DW268" s="382"/>
      <c r="DX268" s="382"/>
      <c r="DY268" s="382"/>
      <c r="DZ268" s="228"/>
    </row>
    <row r="269" spans="2:130" s="180" customFormat="1" ht="14.25" customHeight="1" x14ac:dyDescent="0.2">
      <c r="B269" s="800"/>
      <c r="C269" s="800"/>
      <c r="D269" s="800"/>
      <c r="E269" s="769"/>
      <c r="F269" s="769"/>
      <c r="G269" s="802"/>
      <c r="H269" s="802"/>
      <c r="I269" s="802"/>
      <c r="J269" s="802"/>
      <c r="K269" s="802"/>
      <c r="L269" s="802"/>
      <c r="M269" s="802"/>
      <c r="N269" s="802"/>
      <c r="O269" s="802"/>
      <c r="P269" s="802"/>
      <c r="Q269" s="802"/>
      <c r="R269" s="802"/>
      <c r="S269" s="803"/>
      <c r="T269" s="802"/>
      <c r="U269" s="802"/>
      <c r="V269" s="802"/>
      <c r="W269" s="802"/>
      <c r="X269" s="802"/>
      <c r="Y269" s="802"/>
      <c r="Z269" s="802"/>
      <c r="AA269" s="802"/>
      <c r="AB269" s="802"/>
      <c r="AC269" s="802"/>
      <c r="AD269" s="802"/>
      <c r="AE269" s="802"/>
      <c r="AF269" s="802"/>
      <c r="AG269" s="802"/>
      <c r="AH269" s="382"/>
      <c r="AI269" s="382"/>
      <c r="AJ269" s="382"/>
      <c r="AK269" s="382"/>
      <c r="AL269" s="382"/>
      <c r="AM269" s="382"/>
      <c r="AN269" s="382"/>
      <c r="AO269" s="382"/>
      <c r="AP269" s="382"/>
      <c r="AQ269" s="382"/>
      <c r="AR269" s="382"/>
      <c r="AS269" s="382"/>
      <c r="AT269" s="382"/>
      <c r="AU269" s="382"/>
      <c r="AV269" s="382"/>
      <c r="AW269" s="382"/>
      <c r="AX269" s="382"/>
      <c r="AY269" s="382"/>
      <c r="AZ269" s="382"/>
      <c r="BA269" s="382"/>
      <c r="BB269" s="382"/>
      <c r="BC269" s="382"/>
      <c r="BD269" s="382"/>
      <c r="BE269" s="382"/>
      <c r="BF269" s="382"/>
      <c r="BG269" s="382"/>
      <c r="BH269" s="382"/>
      <c r="BI269" s="382"/>
      <c r="BJ269" s="382"/>
      <c r="BK269" s="382"/>
      <c r="BL269" s="382"/>
      <c r="BM269" s="382"/>
      <c r="BN269" s="382"/>
      <c r="BO269" s="382"/>
      <c r="BP269" s="382"/>
      <c r="BQ269" s="382"/>
      <c r="BR269" s="382"/>
      <c r="BS269" s="382"/>
      <c r="BT269" s="382"/>
      <c r="BU269" s="496"/>
      <c r="BV269" s="382"/>
      <c r="BW269" s="382"/>
      <c r="BX269" s="382"/>
      <c r="BY269" s="382"/>
      <c r="BZ269" s="382"/>
      <c r="CA269" s="382"/>
      <c r="CB269" s="382"/>
      <c r="CC269" s="382"/>
      <c r="CD269" s="382"/>
      <c r="CE269" s="382"/>
      <c r="CF269" s="382"/>
      <c r="CG269" s="382"/>
      <c r="CH269" s="382"/>
      <c r="CI269" s="382"/>
      <c r="CJ269" s="382"/>
      <c r="CK269" s="382"/>
      <c r="CL269" s="382"/>
      <c r="CM269" s="382"/>
      <c r="CN269" s="382"/>
      <c r="CO269" s="382"/>
      <c r="CP269" s="382"/>
      <c r="CQ269" s="382"/>
      <c r="CR269" s="382"/>
      <c r="CS269" s="382"/>
      <c r="CT269" s="382"/>
      <c r="CU269" s="382"/>
      <c r="CV269" s="382"/>
      <c r="CW269" s="800"/>
      <c r="CX269" s="382"/>
      <c r="CY269" s="382"/>
      <c r="CZ269" s="382"/>
      <c r="DA269" s="382"/>
      <c r="DB269" s="382"/>
      <c r="DC269" s="382"/>
      <c r="DD269" s="382"/>
      <c r="DE269" s="382"/>
      <c r="DF269" s="382"/>
      <c r="DG269" s="382"/>
      <c r="DH269" s="382"/>
      <c r="DI269" s="382"/>
      <c r="DJ269" s="382"/>
      <c r="DK269" s="382"/>
      <c r="DL269" s="382"/>
      <c r="DM269" s="382"/>
      <c r="DN269" s="382"/>
      <c r="DO269" s="382"/>
      <c r="DP269" s="382"/>
      <c r="DQ269" s="382"/>
      <c r="DR269" s="382"/>
      <c r="DS269" s="382"/>
      <c r="DT269" s="382"/>
      <c r="DU269" s="382"/>
      <c r="DV269" s="382"/>
      <c r="DW269" s="382"/>
      <c r="DX269" s="382"/>
      <c r="DY269" s="382"/>
      <c r="DZ269" s="228"/>
    </row>
    <row r="270" spans="2:130" s="180" customFormat="1" ht="14.25" customHeight="1" x14ac:dyDescent="0.2">
      <c r="B270" s="800"/>
      <c r="C270" s="800"/>
      <c r="D270" s="800"/>
      <c r="E270" s="769"/>
      <c r="F270" s="769"/>
      <c r="G270" s="802"/>
      <c r="H270" s="802"/>
      <c r="I270" s="802"/>
      <c r="J270" s="802"/>
      <c r="K270" s="802"/>
      <c r="L270" s="802"/>
      <c r="M270" s="802"/>
      <c r="N270" s="802"/>
      <c r="O270" s="802"/>
      <c r="P270" s="802"/>
      <c r="Q270" s="802"/>
      <c r="R270" s="802"/>
      <c r="S270" s="803"/>
      <c r="T270" s="802"/>
      <c r="U270" s="802"/>
      <c r="V270" s="802"/>
      <c r="W270" s="802"/>
      <c r="X270" s="802"/>
      <c r="Y270" s="802"/>
      <c r="Z270" s="802"/>
      <c r="AA270" s="802"/>
      <c r="AB270" s="802"/>
      <c r="AC270" s="802"/>
      <c r="AD270" s="802"/>
      <c r="AE270" s="802"/>
      <c r="AF270" s="802"/>
      <c r="AG270" s="802"/>
      <c r="AH270" s="382"/>
      <c r="AI270" s="382"/>
      <c r="AJ270" s="382"/>
      <c r="AK270" s="382"/>
      <c r="AL270" s="382"/>
      <c r="AM270" s="382"/>
      <c r="AN270" s="382"/>
      <c r="AO270" s="382"/>
      <c r="AP270" s="382"/>
      <c r="AQ270" s="382"/>
      <c r="AR270" s="382"/>
      <c r="AS270" s="382"/>
      <c r="AT270" s="382"/>
      <c r="AU270" s="382"/>
      <c r="AV270" s="382"/>
      <c r="AW270" s="382"/>
      <c r="AX270" s="382"/>
      <c r="AY270" s="382"/>
      <c r="AZ270" s="382"/>
      <c r="BA270" s="382"/>
      <c r="BB270" s="382"/>
      <c r="BC270" s="382"/>
      <c r="BD270" s="382"/>
      <c r="BE270" s="382"/>
      <c r="BF270" s="382"/>
      <c r="BG270" s="382"/>
      <c r="BH270" s="382"/>
      <c r="BI270" s="382"/>
      <c r="BJ270" s="382"/>
      <c r="BK270" s="382"/>
      <c r="BL270" s="382"/>
      <c r="BM270" s="382"/>
      <c r="BN270" s="382"/>
      <c r="BO270" s="382"/>
      <c r="BP270" s="382"/>
      <c r="BQ270" s="382"/>
      <c r="BR270" s="382"/>
      <c r="BS270" s="382"/>
      <c r="BT270" s="382"/>
      <c r="BU270" s="496"/>
      <c r="BV270" s="382"/>
      <c r="BW270" s="382"/>
      <c r="BX270" s="382"/>
      <c r="BY270" s="382"/>
      <c r="BZ270" s="382"/>
      <c r="CA270" s="382"/>
      <c r="CB270" s="382"/>
      <c r="CC270" s="382"/>
      <c r="CD270" s="382"/>
      <c r="CE270" s="382"/>
      <c r="CF270" s="382"/>
      <c r="CG270" s="382"/>
      <c r="CH270" s="382"/>
      <c r="CI270" s="382"/>
      <c r="CJ270" s="382"/>
      <c r="CK270" s="382"/>
      <c r="CL270" s="382"/>
      <c r="CM270" s="382"/>
      <c r="CN270" s="382"/>
      <c r="CO270" s="382"/>
      <c r="CP270" s="382"/>
      <c r="CQ270" s="382"/>
      <c r="CR270" s="382"/>
      <c r="CS270" s="382"/>
      <c r="CT270" s="382"/>
      <c r="CU270" s="382"/>
      <c r="CV270" s="382"/>
      <c r="CW270" s="800"/>
      <c r="CX270" s="382"/>
      <c r="CY270" s="382"/>
      <c r="CZ270" s="382"/>
      <c r="DA270" s="382"/>
      <c r="DB270" s="382"/>
      <c r="DC270" s="382"/>
      <c r="DD270" s="382"/>
      <c r="DE270" s="382"/>
      <c r="DF270" s="382"/>
      <c r="DG270" s="382"/>
      <c r="DH270" s="382"/>
      <c r="DI270" s="382"/>
      <c r="DJ270" s="382"/>
      <c r="DK270" s="382"/>
      <c r="DL270" s="382"/>
      <c r="DM270" s="382"/>
      <c r="DN270" s="382"/>
      <c r="DO270" s="382"/>
      <c r="DP270" s="382"/>
      <c r="DQ270" s="382"/>
      <c r="DR270" s="382"/>
      <c r="DS270" s="382"/>
      <c r="DT270" s="382"/>
      <c r="DU270" s="382"/>
      <c r="DV270" s="382"/>
      <c r="DW270" s="382"/>
      <c r="DX270" s="382"/>
      <c r="DY270" s="382"/>
      <c r="DZ270" s="228"/>
    </row>
    <row r="271" spans="2:130" s="180" customFormat="1" ht="14.25" customHeight="1" x14ac:dyDescent="0.2">
      <c r="B271" s="800"/>
      <c r="C271" s="800"/>
      <c r="D271" s="800"/>
      <c r="E271" s="769"/>
      <c r="F271" s="769"/>
      <c r="G271" s="802"/>
      <c r="H271" s="802"/>
      <c r="I271" s="802"/>
      <c r="J271" s="802"/>
      <c r="K271" s="802"/>
      <c r="L271" s="802"/>
      <c r="M271" s="802"/>
      <c r="N271" s="802"/>
      <c r="O271" s="802"/>
      <c r="P271" s="802"/>
      <c r="Q271" s="802"/>
      <c r="R271" s="802"/>
      <c r="S271" s="803"/>
      <c r="T271" s="802"/>
      <c r="U271" s="802"/>
      <c r="V271" s="802"/>
      <c r="W271" s="802"/>
      <c r="X271" s="802"/>
      <c r="Y271" s="802"/>
      <c r="Z271" s="802"/>
      <c r="AA271" s="802"/>
      <c r="AB271" s="802"/>
      <c r="AC271" s="802"/>
      <c r="AD271" s="802"/>
      <c r="AE271" s="802"/>
      <c r="AF271" s="802"/>
      <c r="AG271" s="802"/>
      <c r="AH271" s="382"/>
      <c r="AI271" s="382"/>
      <c r="AJ271" s="382"/>
      <c r="AK271" s="382"/>
      <c r="AL271" s="382"/>
      <c r="AM271" s="382"/>
      <c r="AN271" s="382"/>
      <c r="AO271" s="382"/>
      <c r="AP271" s="382"/>
      <c r="AQ271" s="382"/>
      <c r="AR271" s="382"/>
      <c r="AS271" s="382"/>
      <c r="AT271" s="382"/>
      <c r="AU271" s="382"/>
      <c r="AV271" s="382"/>
      <c r="AW271" s="382"/>
      <c r="AX271" s="382"/>
      <c r="AY271" s="382"/>
      <c r="AZ271" s="382"/>
      <c r="BA271" s="382"/>
      <c r="BB271" s="382"/>
      <c r="BC271" s="382"/>
      <c r="BD271" s="382"/>
      <c r="BE271" s="382"/>
      <c r="BF271" s="382"/>
      <c r="BG271" s="382"/>
      <c r="BH271" s="382"/>
      <c r="BI271" s="382"/>
      <c r="BJ271" s="382"/>
      <c r="BK271" s="382"/>
      <c r="BL271" s="382"/>
      <c r="BM271" s="382"/>
      <c r="BN271" s="382"/>
      <c r="BO271" s="382"/>
      <c r="BP271" s="382"/>
      <c r="BQ271" s="382"/>
      <c r="BR271" s="382"/>
      <c r="BS271" s="382"/>
      <c r="BT271" s="382"/>
      <c r="BU271" s="496"/>
      <c r="BV271" s="382"/>
      <c r="BW271" s="382"/>
      <c r="BX271" s="382"/>
      <c r="BY271" s="382"/>
      <c r="BZ271" s="382"/>
      <c r="CA271" s="382"/>
      <c r="CB271" s="382"/>
      <c r="CC271" s="382"/>
      <c r="CD271" s="382"/>
      <c r="CE271" s="382"/>
      <c r="CF271" s="382"/>
      <c r="CG271" s="382"/>
      <c r="CH271" s="382"/>
      <c r="CI271" s="382"/>
      <c r="CJ271" s="382"/>
      <c r="CK271" s="382"/>
      <c r="CL271" s="382"/>
      <c r="CM271" s="382"/>
      <c r="CN271" s="382"/>
      <c r="CO271" s="382"/>
      <c r="CP271" s="382"/>
      <c r="CQ271" s="382"/>
      <c r="CR271" s="382"/>
      <c r="CS271" s="382"/>
      <c r="CT271" s="382"/>
      <c r="CU271" s="382"/>
      <c r="CV271" s="382"/>
      <c r="CW271" s="800"/>
      <c r="CX271" s="382"/>
      <c r="CY271" s="382"/>
      <c r="CZ271" s="382"/>
      <c r="DA271" s="382"/>
      <c r="DB271" s="382"/>
      <c r="DC271" s="382"/>
      <c r="DD271" s="382"/>
      <c r="DE271" s="382"/>
      <c r="DF271" s="382"/>
      <c r="DG271" s="382"/>
      <c r="DH271" s="382"/>
      <c r="DI271" s="382"/>
      <c r="DJ271" s="382"/>
      <c r="DK271" s="382"/>
      <c r="DL271" s="382"/>
      <c r="DM271" s="382"/>
      <c r="DN271" s="382"/>
      <c r="DO271" s="382"/>
      <c r="DP271" s="382"/>
      <c r="DQ271" s="382"/>
      <c r="DR271" s="382"/>
      <c r="DS271" s="382"/>
      <c r="DT271" s="382"/>
      <c r="DU271" s="382"/>
      <c r="DV271" s="382"/>
      <c r="DW271" s="382"/>
      <c r="DX271" s="382"/>
      <c r="DY271" s="382"/>
      <c r="DZ271" s="228"/>
    </row>
    <row r="272" spans="2:130" s="180" customFormat="1" ht="14.25" customHeight="1" x14ac:dyDescent="0.2">
      <c r="B272" s="800"/>
      <c r="C272" s="800"/>
      <c r="D272" s="800"/>
      <c r="E272" s="769"/>
      <c r="F272" s="769"/>
      <c r="G272" s="802"/>
      <c r="H272" s="802"/>
      <c r="I272" s="802"/>
      <c r="J272" s="802"/>
      <c r="K272" s="802"/>
      <c r="L272" s="802"/>
      <c r="M272" s="802"/>
      <c r="N272" s="802"/>
      <c r="O272" s="802"/>
      <c r="P272" s="802"/>
      <c r="Q272" s="802"/>
      <c r="R272" s="802"/>
      <c r="S272" s="803"/>
      <c r="T272" s="802"/>
      <c r="U272" s="802"/>
      <c r="V272" s="802"/>
      <c r="W272" s="802"/>
      <c r="X272" s="802"/>
      <c r="Y272" s="802"/>
      <c r="Z272" s="802"/>
      <c r="AA272" s="802"/>
      <c r="AB272" s="802"/>
      <c r="AC272" s="802"/>
      <c r="AD272" s="802"/>
      <c r="AE272" s="802"/>
      <c r="AF272" s="802"/>
      <c r="AG272" s="802"/>
      <c r="AH272" s="382"/>
      <c r="AI272" s="382"/>
      <c r="AJ272" s="382"/>
      <c r="AK272" s="382"/>
      <c r="AL272" s="382"/>
      <c r="AM272" s="382"/>
      <c r="AN272" s="382"/>
      <c r="AO272" s="382"/>
      <c r="AP272" s="382"/>
      <c r="AQ272" s="382"/>
      <c r="AR272" s="382"/>
      <c r="AS272" s="382"/>
      <c r="AT272" s="382"/>
      <c r="AU272" s="382"/>
      <c r="AV272" s="382"/>
      <c r="AW272" s="382"/>
      <c r="AX272" s="382"/>
      <c r="AY272" s="382"/>
      <c r="AZ272" s="382"/>
      <c r="BA272" s="382"/>
      <c r="BB272" s="382"/>
      <c r="BC272" s="382"/>
      <c r="BD272" s="382"/>
      <c r="BE272" s="382"/>
      <c r="BF272" s="382"/>
      <c r="BG272" s="382"/>
      <c r="BH272" s="382"/>
      <c r="BI272" s="382"/>
      <c r="BJ272" s="382"/>
      <c r="BK272" s="382"/>
      <c r="BL272" s="382"/>
      <c r="BM272" s="382"/>
      <c r="BN272" s="382"/>
      <c r="BO272" s="382"/>
      <c r="BP272" s="382"/>
      <c r="BQ272" s="382"/>
      <c r="BR272" s="382"/>
      <c r="BS272" s="382"/>
      <c r="BT272" s="382"/>
      <c r="BU272" s="496"/>
      <c r="BV272" s="382"/>
      <c r="BW272" s="382"/>
      <c r="BX272" s="382"/>
      <c r="BY272" s="382"/>
      <c r="BZ272" s="382"/>
      <c r="CA272" s="382"/>
      <c r="CB272" s="382"/>
      <c r="CC272" s="382"/>
      <c r="CD272" s="382"/>
      <c r="CE272" s="382"/>
      <c r="CF272" s="382"/>
      <c r="CG272" s="382"/>
      <c r="CH272" s="382"/>
      <c r="CI272" s="382"/>
      <c r="CJ272" s="382"/>
      <c r="CK272" s="382"/>
      <c r="CL272" s="382"/>
      <c r="CM272" s="382"/>
      <c r="CN272" s="382"/>
      <c r="CO272" s="382"/>
      <c r="CP272" s="382"/>
      <c r="CQ272" s="382"/>
      <c r="CR272" s="382"/>
      <c r="CS272" s="382"/>
      <c r="CT272" s="382"/>
      <c r="CU272" s="382"/>
      <c r="CV272" s="382"/>
      <c r="CW272" s="800"/>
      <c r="CX272" s="382"/>
      <c r="CY272" s="382"/>
      <c r="CZ272" s="382"/>
      <c r="DA272" s="382"/>
      <c r="DB272" s="382"/>
      <c r="DC272" s="382"/>
      <c r="DD272" s="382"/>
      <c r="DE272" s="382"/>
      <c r="DF272" s="382"/>
      <c r="DG272" s="382"/>
      <c r="DH272" s="382"/>
      <c r="DI272" s="382"/>
      <c r="DJ272" s="382"/>
      <c r="DK272" s="382"/>
      <c r="DL272" s="382"/>
      <c r="DM272" s="382"/>
      <c r="DN272" s="382"/>
      <c r="DO272" s="382"/>
      <c r="DP272" s="382"/>
      <c r="DQ272" s="382"/>
      <c r="DR272" s="382"/>
      <c r="DS272" s="382"/>
      <c r="DT272" s="382"/>
      <c r="DU272" s="382"/>
      <c r="DV272" s="382"/>
      <c r="DW272" s="382"/>
      <c r="DX272" s="382"/>
      <c r="DY272" s="382"/>
      <c r="DZ272" s="228"/>
    </row>
    <row r="273" spans="2:130" s="180" customFormat="1" ht="14.25" customHeight="1" x14ac:dyDescent="0.2">
      <c r="B273" s="800"/>
      <c r="C273" s="800"/>
      <c r="D273" s="800"/>
      <c r="E273" s="769"/>
      <c r="F273" s="769"/>
      <c r="G273" s="802"/>
      <c r="H273" s="802"/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3"/>
      <c r="T273" s="802"/>
      <c r="U273" s="802"/>
      <c r="V273" s="802"/>
      <c r="W273" s="802"/>
      <c r="X273" s="802"/>
      <c r="Y273" s="802"/>
      <c r="Z273" s="802"/>
      <c r="AA273" s="802"/>
      <c r="AB273" s="802"/>
      <c r="AC273" s="802"/>
      <c r="AD273" s="802"/>
      <c r="AE273" s="802"/>
      <c r="AF273" s="802"/>
      <c r="AG273" s="802"/>
      <c r="AH273" s="382"/>
      <c r="AI273" s="382"/>
      <c r="AJ273" s="382"/>
      <c r="AK273" s="382"/>
      <c r="AL273" s="382"/>
      <c r="AM273" s="382"/>
      <c r="AN273" s="382"/>
      <c r="AO273" s="382"/>
      <c r="AP273" s="382"/>
      <c r="AQ273" s="382"/>
      <c r="AR273" s="382"/>
      <c r="AS273" s="382"/>
      <c r="AT273" s="382"/>
      <c r="AU273" s="382"/>
      <c r="AV273" s="382"/>
      <c r="AW273" s="382"/>
      <c r="AX273" s="382"/>
      <c r="AY273" s="382"/>
      <c r="AZ273" s="382"/>
      <c r="BA273" s="382"/>
      <c r="BB273" s="382"/>
      <c r="BC273" s="382"/>
      <c r="BD273" s="382"/>
      <c r="BE273" s="382"/>
      <c r="BF273" s="382"/>
      <c r="BG273" s="382"/>
      <c r="BH273" s="382"/>
      <c r="BI273" s="382"/>
      <c r="BJ273" s="382"/>
      <c r="BK273" s="382"/>
      <c r="BL273" s="382"/>
      <c r="BM273" s="382"/>
      <c r="BN273" s="382"/>
      <c r="BO273" s="382"/>
      <c r="BP273" s="382"/>
      <c r="BQ273" s="382"/>
      <c r="BR273" s="382"/>
      <c r="BS273" s="382"/>
      <c r="BT273" s="382"/>
      <c r="BU273" s="496"/>
      <c r="BV273" s="382"/>
      <c r="BW273" s="382"/>
      <c r="BX273" s="382"/>
      <c r="BY273" s="382"/>
      <c r="BZ273" s="382"/>
      <c r="CA273" s="382"/>
      <c r="CB273" s="382"/>
      <c r="CC273" s="382"/>
      <c r="CD273" s="382"/>
      <c r="CE273" s="382"/>
      <c r="CF273" s="382"/>
      <c r="CG273" s="382"/>
      <c r="CH273" s="382"/>
      <c r="CI273" s="382"/>
      <c r="CJ273" s="382"/>
      <c r="CK273" s="382"/>
      <c r="CL273" s="382"/>
      <c r="CM273" s="382"/>
      <c r="CN273" s="382"/>
      <c r="CO273" s="382"/>
      <c r="CP273" s="382"/>
      <c r="CQ273" s="382"/>
      <c r="CR273" s="382"/>
      <c r="CS273" s="382"/>
      <c r="CT273" s="382"/>
      <c r="CU273" s="382"/>
      <c r="CV273" s="382"/>
      <c r="CW273" s="800"/>
      <c r="CX273" s="382"/>
      <c r="CY273" s="382"/>
      <c r="CZ273" s="382"/>
      <c r="DA273" s="382"/>
      <c r="DB273" s="382"/>
      <c r="DC273" s="382"/>
      <c r="DD273" s="382"/>
      <c r="DE273" s="382"/>
      <c r="DF273" s="382"/>
      <c r="DG273" s="382"/>
      <c r="DH273" s="382"/>
      <c r="DI273" s="382"/>
      <c r="DJ273" s="382"/>
      <c r="DK273" s="382"/>
      <c r="DL273" s="382"/>
      <c r="DM273" s="382"/>
      <c r="DN273" s="382"/>
      <c r="DO273" s="382"/>
      <c r="DP273" s="382"/>
      <c r="DQ273" s="382"/>
      <c r="DR273" s="382"/>
      <c r="DS273" s="382"/>
      <c r="DT273" s="382"/>
      <c r="DU273" s="382"/>
      <c r="DV273" s="382"/>
      <c r="DW273" s="382"/>
      <c r="DX273" s="382"/>
      <c r="DY273" s="382"/>
      <c r="DZ273" s="228"/>
    </row>
    <row r="274" spans="2:130" s="180" customFormat="1" ht="14.25" customHeight="1" x14ac:dyDescent="0.2">
      <c r="B274" s="800"/>
      <c r="C274" s="800"/>
      <c r="D274" s="800"/>
      <c r="E274" s="769"/>
      <c r="F274" s="769"/>
      <c r="G274" s="802"/>
      <c r="H274" s="802"/>
      <c r="I274" s="802"/>
      <c r="J274" s="802"/>
      <c r="K274" s="802"/>
      <c r="L274" s="802"/>
      <c r="M274" s="802"/>
      <c r="N274" s="802"/>
      <c r="O274" s="802"/>
      <c r="P274" s="802"/>
      <c r="Q274" s="802"/>
      <c r="R274" s="802"/>
      <c r="S274" s="803"/>
      <c r="T274" s="802"/>
      <c r="U274" s="802"/>
      <c r="V274" s="802"/>
      <c r="W274" s="802"/>
      <c r="X274" s="802"/>
      <c r="Y274" s="802"/>
      <c r="Z274" s="802"/>
      <c r="AA274" s="802"/>
      <c r="AB274" s="802"/>
      <c r="AC274" s="802"/>
      <c r="AD274" s="802"/>
      <c r="AE274" s="802"/>
      <c r="AF274" s="802"/>
      <c r="AG274" s="802"/>
      <c r="AH274" s="382"/>
      <c r="AI274" s="382"/>
      <c r="AJ274" s="382"/>
      <c r="AK274" s="382"/>
      <c r="AL274" s="382"/>
      <c r="AM274" s="382"/>
      <c r="AN274" s="382"/>
      <c r="AO274" s="382"/>
      <c r="AP274" s="382"/>
      <c r="AQ274" s="382"/>
      <c r="AR274" s="382"/>
      <c r="AS274" s="382"/>
      <c r="AT274" s="382"/>
      <c r="AU274" s="382"/>
      <c r="AV274" s="382"/>
      <c r="AW274" s="382"/>
      <c r="AX274" s="382"/>
      <c r="AY274" s="382"/>
      <c r="AZ274" s="382"/>
      <c r="BA274" s="382"/>
      <c r="BB274" s="382"/>
      <c r="BC274" s="382"/>
      <c r="BD274" s="382"/>
      <c r="BE274" s="382"/>
      <c r="BF274" s="382"/>
      <c r="BG274" s="382"/>
      <c r="BH274" s="382"/>
      <c r="BI274" s="382"/>
      <c r="BJ274" s="382"/>
      <c r="BK274" s="382"/>
      <c r="BL274" s="382"/>
      <c r="BM274" s="382"/>
      <c r="BN274" s="382"/>
      <c r="BO274" s="382"/>
      <c r="BP274" s="382"/>
      <c r="BQ274" s="382"/>
      <c r="BR274" s="382"/>
      <c r="BS274" s="382"/>
      <c r="BT274" s="382"/>
      <c r="BU274" s="496"/>
      <c r="BV274" s="382"/>
      <c r="BW274" s="382"/>
      <c r="BX274" s="382"/>
      <c r="BY274" s="382"/>
      <c r="BZ274" s="382"/>
      <c r="CA274" s="382"/>
      <c r="CB274" s="382"/>
      <c r="CC274" s="382"/>
      <c r="CD274" s="382"/>
      <c r="CE274" s="382"/>
      <c r="CF274" s="382"/>
      <c r="CG274" s="382"/>
      <c r="CH274" s="382"/>
      <c r="CI274" s="382"/>
      <c r="CJ274" s="382"/>
      <c r="CK274" s="382"/>
      <c r="CL274" s="382"/>
      <c r="CM274" s="382"/>
      <c r="CN274" s="382"/>
      <c r="CO274" s="382"/>
      <c r="CP274" s="382"/>
      <c r="CQ274" s="382"/>
      <c r="CR274" s="382"/>
      <c r="CS274" s="382"/>
      <c r="CT274" s="382"/>
      <c r="CU274" s="382"/>
      <c r="CV274" s="382"/>
      <c r="CW274" s="800"/>
      <c r="CX274" s="382"/>
      <c r="CY274" s="382"/>
      <c r="CZ274" s="382"/>
      <c r="DA274" s="382"/>
      <c r="DB274" s="382"/>
      <c r="DC274" s="382"/>
      <c r="DD274" s="382"/>
      <c r="DE274" s="382"/>
      <c r="DF274" s="382"/>
      <c r="DG274" s="382"/>
      <c r="DH274" s="382"/>
      <c r="DI274" s="382"/>
      <c r="DJ274" s="382"/>
      <c r="DK274" s="382"/>
      <c r="DL274" s="382"/>
      <c r="DM274" s="382"/>
      <c r="DN274" s="382"/>
      <c r="DO274" s="382"/>
      <c r="DP274" s="382"/>
      <c r="DQ274" s="382"/>
      <c r="DR274" s="382"/>
      <c r="DS274" s="382"/>
      <c r="DT274" s="382"/>
      <c r="DU274" s="382"/>
      <c r="DV274" s="382"/>
      <c r="DW274" s="382"/>
      <c r="DX274" s="382"/>
      <c r="DY274" s="382"/>
      <c r="DZ274" s="228"/>
    </row>
    <row r="275" spans="2:130" s="180" customFormat="1" ht="14.25" customHeight="1" x14ac:dyDescent="0.2">
      <c r="B275" s="800"/>
      <c r="C275" s="800"/>
      <c r="D275" s="800"/>
      <c r="E275" s="769"/>
      <c r="F275" s="769"/>
      <c r="G275" s="802"/>
      <c r="H275" s="802"/>
      <c r="I275" s="802"/>
      <c r="J275" s="802"/>
      <c r="K275" s="802"/>
      <c r="L275" s="802"/>
      <c r="M275" s="802"/>
      <c r="N275" s="802"/>
      <c r="O275" s="802"/>
      <c r="P275" s="802"/>
      <c r="Q275" s="802"/>
      <c r="R275" s="802"/>
      <c r="S275" s="803"/>
      <c r="T275" s="802"/>
      <c r="U275" s="802"/>
      <c r="V275" s="802"/>
      <c r="W275" s="802"/>
      <c r="X275" s="802"/>
      <c r="Y275" s="802"/>
      <c r="Z275" s="802"/>
      <c r="AA275" s="802"/>
      <c r="AB275" s="802"/>
      <c r="AC275" s="802"/>
      <c r="AD275" s="802"/>
      <c r="AE275" s="802"/>
      <c r="AF275" s="802"/>
      <c r="AG275" s="802"/>
      <c r="AH275" s="382"/>
      <c r="AI275" s="382"/>
      <c r="AJ275" s="382"/>
      <c r="AK275" s="382"/>
      <c r="AL275" s="382"/>
      <c r="AM275" s="382"/>
      <c r="AN275" s="382"/>
      <c r="AO275" s="382"/>
      <c r="AP275" s="382"/>
      <c r="AQ275" s="382"/>
      <c r="AR275" s="382"/>
      <c r="AS275" s="382"/>
      <c r="AT275" s="382"/>
      <c r="AU275" s="382"/>
      <c r="AV275" s="382"/>
      <c r="AW275" s="382"/>
      <c r="AX275" s="382"/>
      <c r="AY275" s="382"/>
      <c r="AZ275" s="382"/>
      <c r="BA275" s="382"/>
      <c r="BB275" s="382"/>
      <c r="BC275" s="382"/>
      <c r="BD275" s="382"/>
      <c r="BE275" s="382"/>
      <c r="BF275" s="382"/>
      <c r="BG275" s="382"/>
      <c r="BH275" s="382"/>
      <c r="BI275" s="382"/>
      <c r="BJ275" s="382"/>
      <c r="BK275" s="382"/>
      <c r="BL275" s="382"/>
      <c r="BM275" s="382"/>
      <c r="BN275" s="382"/>
      <c r="BO275" s="382"/>
      <c r="BP275" s="382"/>
      <c r="BQ275" s="382"/>
      <c r="BR275" s="382"/>
      <c r="BS275" s="382"/>
      <c r="BT275" s="382"/>
      <c r="BU275" s="496"/>
      <c r="BV275" s="382"/>
      <c r="BW275" s="382"/>
      <c r="BX275" s="382"/>
      <c r="BY275" s="382"/>
      <c r="BZ275" s="382"/>
      <c r="CA275" s="382"/>
      <c r="CB275" s="382"/>
      <c r="CC275" s="382"/>
      <c r="CD275" s="382"/>
      <c r="CE275" s="382"/>
      <c r="CF275" s="382"/>
      <c r="CG275" s="382"/>
      <c r="CH275" s="382"/>
      <c r="CI275" s="382"/>
      <c r="CJ275" s="382"/>
      <c r="CK275" s="382"/>
      <c r="CL275" s="382"/>
      <c r="CM275" s="382"/>
      <c r="CN275" s="382"/>
      <c r="CO275" s="382"/>
      <c r="CP275" s="382"/>
      <c r="CQ275" s="382"/>
      <c r="CR275" s="382"/>
      <c r="CS275" s="382"/>
      <c r="CT275" s="382"/>
      <c r="CU275" s="382"/>
      <c r="CV275" s="382"/>
      <c r="CW275" s="800"/>
      <c r="CX275" s="382"/>
      <c r="CY275" s="382"/>
      <c r="CZ275" s="382"/>
      <c r="DA275" s="382"/>
      <c r="DB275" s="382"/>
      <c r="DC275" s="382"/>
      <c r="DD275" s="382"/>
      <c r="DE275" s="382"/>
      <c r="DF275" s="382"/>
      <c r="DG275" s="382"/>
      <c r="DH275" s="382"/>
      <c r="DI275" s="382"/>
      <c r="DJ275" s="382"/>
      <c r="DK275" s="382"/>
      <c r="DL275" s="382"/>
      <c r="DM275" s="382"/>
      <c r="DN275" s="382"/>
      <c r="DO275" s="382"/>
      <c r="DP275" s="382"/>
      <c r="DQ275" s="382"/>
      <c r="DR275" s="382"/>
      <c r="DS275" s="382"/>
      <c r="DT275" s="382"/>
      <c r="DU275" s="382"/>
      <c r="DV275" s="382"/>
      <c r="DW275" s="382"/>
      <c r="DX275" s="382"/>
      <c r="DY275" s="382"/>
      <c r="DZ275" s="228"/>
    </row>
    <row r="276" spans="2:130" s="180" customFormat="1" ht="14.25" customHeight="1" x14ac:dyDescent="0.2">
      <c r="B276" s="800"/>
      <c r="C276" s="800"/>
      <c r="D276" s="800"/>
      <c r="E276" s="769"/>
      <c r="F276" s="769"/>
      <c r="G276" s="802"/>
      <c r="H276" s="802"/>
      <c r="I276" s="802"/>
      <c r="J276" s="802"/>
      <c r="K276" s="802"/>
      <c r="L276" s="802"/>
      <c r="M276" s="802"/>
      <c r="N276" s="802"/>
      <c r="O276" s="802"/>
      <c r="P276" s="802"/>
      <c r="Q276" s="802"/>
      <c r="R276" s="802"/>
      <c r="S276" s="803"/>
      <c r="T276" s="802"/>
      <c r="U276" s="802"/>
      <c r="V276" s="802"/>
      <c r="W276" s="802"/>
      <c r="X276" s="802"/>
      <c r="Y276" s="802"/>
      <c r="Z276" s="802"/>
      <c r="AA276" s="802"/>
      <c r="AB276" s="802"/>
      <c r="AC276" s="802"/>
      <c r="AD276" s="802"/>
      <c r="AE276" s="802"/>
      <c r="AF276" s="802"/>
      <c r="AG276" s="802"/>
      <c r="AH276" s="382"/>
      <c r="AI276" s="382"/>
      <c r="AJ276" s="382"/>
      <c r="AK276" s="382"/>
      <c r="AL276" s="382"/>
      <c r="AM276" s="382"/>
      <c r="AN276" s="382"/>
      <c r="AO276" s="382"/>
      <c r="AP276" s="382"/>
      <c r="AQ276" s="382"/>
      <c r="AR276" s="382"/>
      <c r="AS276" s="382"/>
      <c r="AT276" s="382"/>
      <c r="AU276" s="382"/>
      <c r="AV276" s="382"/>
      <c r="AW276" s="382"/>
      <c r="AX276" s="382"/>
      <c r="AY276" s="382"/>
      <c r="AZ276" s="382"/>
      <c r="BA276" s="382"/>
      <c r="BB276" s="382"/>
      <c r="BC276" s="382"/>
      <c r="BD276" s="382"/>
      <c r="BE276" s="382"/>
      <c r="BF276" s="382"/>
      <c r="BG276" s="382"/>
      <c r="BH276" s="382"/>
      <c r="BI276" s="382"/>
      <c r="BJ276" s="382"/>
      <c r="BK276" s="382"/>
      <c r="BL276" s="382"/>
      <c r="BM276" s="382"/>
      <c r="BN276" s="382"/>
      <c r="BO276" s="382"/>
      <c r="BP276" s="382"/>
      <c r="BQ276" s="382"/>
      <c r="BR276" s="382"/>
      <c r="BS276" s="382"/>
      <c r="BT276" s="382"/>
      <c r="BU276" s="496"/>
      <c r="BV276" s="382"/>
      <c r="BW276" s="382"/>
      <c r="BX276" s="382"/>
      <c r="BY276" s="382"/>
      <c r="BZ276" s="382"/>
      <c r="CA276" s="382"/>
      <c r="CB276" s="382"/>
      <c r="CC276" s="382"/>
      <c r="CD276" s="382"/>
      <c r="CE276" s="382"/>
      <c r="CF276" s="382"/>
      <c r="CG276" s="382"/>
      <c r="CH276" s="382"/>
      <c r="CI276" s="382"/>
      <c r="CJ276" s="382"/>
      <c r="CK276" s="382"/>
      <c r="CL276" s="382"/>
      <c r="CM276" s="382"/>
      <c r="CN276" s="382"/>
      <c r="CO276" s="382"/>
      <c r="CP276" s="382"/>
      <c r="CQ276" s="382"/>
      <c r="CR276" s="382"/>
      <c r="CS276" s="382"/>
      <c r="CT276" s="382"/>
      <c r="CU276" s="382"/>
      <c r="CV276" s="382"/>
      <c r="CW276" s="800"/>
      <c r="CX276" s="382"/>
      <c r="CY276" s="382"/>
      <c r="CZ276" s="382"/>
      <c r="DA276" s="382"/>
      <c r="DB276" s="382"/>
      <c r="DC276" s="382"/>
      <c r="DD276" s="382"/>
      <c r="DE276" s="382"/>
      <c r="DF276" s="382"/>
      <c r="DG276" s="382"/>
      <c r="DH276" s="382"/>
      <c r="DI276" s="382"/>
      <c r="DJ276" s="382"/>
      <c r="DK276" s="382"/>
      <c r="DL276" s="382"/>
      <c r="DM276" s="382"/>
      <c r="DN276" s="382"/>
      <c r="DO276" s="382"/>
      <c r="DP276" s="382"/>
      <c r="DQ276" s="382"/>
      <c r="DR276" s="382"/>
      <c r="DS276" s="382"/>
      <c r="DT276" s="382"/>
      <c r="DU276" s="382"/>
      <c r="DV276" s="382"/>
      <c r="DW276" s="382"/>
      <c r="DX276" s="382"/>
      <c r="DY276" s="382"/>
      <c r="DZ276" s="228"/>
    </row>
    <row r="277" spans="2:130" s="180" customFormat="1" ht="14.25" customHeight="1" x14ac:dyDescent="0.2">
      <c r="B277" s="800"/>
      <c r="C277" s="800"/>
      <c r="D277" s="800"/>
      <c r="E277" s="769"/>
      <c r="F277" s="769"/>
      <c r="G277" s="802"/>
      <c r="H277" s="802"/>
      <c r="I277" s="802"/>
      <c r="J277" s="802"/>
      <c r="K277" s="802"/>
      <c r="L277" s="802"/>
      <c r="M277" s="802"/>
      <c r="N277" s="802"/>
      <c r="O277" s="802"/>
      <c r="P277" s="802"/>
      <c r="Q277" s="802"/>
      <c r="R277" s="802"/>
      <c r="S277" s="803"/>
      <c r="T277" s="802"/>
      <c r="U277" s="802"/>
      <c r="V277" s="802"/>
      <c r="W277" s="802"/>
      <c r="X277" s="802"/>
      <c r="Y277" s="802"/>
      <c r="Z277" s="802"/>
      <c r="AA277" s="802"/>
      <c r="AB277" s="802"/>
      <c r="AC277" s="802"/>
      <c r="AD277" s="802"/>
      <c r="AE277" s="802"/>
      <c r="AF277" s="802"/>
      <c r="AG277" s="802"/>
      <c r="AH277" s="382"/>
      <c r="AI277" s="382"/>
      <c r="AJ277" s="382"/>
      <c r="AK277" s="382"/>
      <c r="AL277" s="382"/>
      <c r="AM277" s="382"/>
      <c r="AN277" s="382"/>
      <c r="AO277" s="382"/>
      <c r="AP277" s="382"/>
      <c r="AQ277" s="382"/>
      <c r="AR277" s="382"/>
      <c r="AS277" s="382"/>
      <c r="AT277" s="382"/>
      <c r="AU277" s="382"/>
      <c r="AV277" s="382"/>
      <c r="AW277" s="382"/>
      <c r="AX277" s="382"/>
      <c r="AY277" s="382"/>
      <c r="AZ277" s="382"/>
      <c r="BA277" s="382"/>
      <c r="BB277" s="382"/>
      <c r="BC277" s="382"/>
      <c r="BD277" s="382"/>
      <c r="BE277" s="382"/>
      <c r="BF277" s="382"/>
      <c r="BG277" s="382"/>
      <c r="BH277" s="382"/>
      <c r="BI277" s="382"/>
      <c r="BJ277" s="382"/>
      <c r="BK277" s="382"/>
      <c r="BL277" s="382"/>
      <c r="BM277" s="382"/>
      <c r="BN277" s="382"/>
      <c r="BO277" s="382"/>
      <c r="BP277" s="382"/>
      <c r="BQ277" s="382"/>
      <c r="BR277" s="382"/>
      <c r="BS277" s="382"/>
      <c r="BT277" s="382"/>
      <c r="BU277" s="496"/>
      <c r="BV277" s="382"/>
      <c r="BW277" s="382"/>
      <c r="BX277" s="382"/>
      <c r="BY277" s="382"/>
      <c r="BZ277" s="382"/>
      <c r="CA277" s="382"/>
      <c r="CB277" s="382"/>
      <c r="CC277" s="382"/>
      <c r="CD277" s="382"/>
      <c r="CE277" s="382"/>
      <c r="CF277" s="382"/>
      <c r="CG277" s="382"/>
      <c r="CH277" s="382"/>
      <c r="CI277" s="382"/>
      <c r="CJ277" s="382"/>
      <c r="CK277" s="382"/>
      <c r="CL277" s="382"/>
      <c r="CM277" s="382"/>
      <c r="CN277" s="382"/>
      <c r="CO277" s="382"/>
      <c r="CP277" s="382"/>
      <c r="CQ277" s="382"/>
      <c r="CR277" s="382"/>
      <c r="CS277" s="382"/>
      <c r="CT277" s="382"/>
      <c r="CU277" s="382"/>
      <c r="CV277" s="382"/>
      <c r="CW277" s="800"/>
      <c r="CX277" s="382"/>
      <c r="CY277" s="382"/>
      <c r="CZ277" s="382"/>
      <c r="DA277" s="382"/>
      <c r="DB277" s="382"/>
      <c r="DC277" s="382"/>
      <c r="DD277" s="382"/>
      <c r="DE277" s="382"/>
      <c r="DF277" s="382"/>
      <c r="DG277" s="382"/>
      <c r="DH277" s="382"/>
      <c r="DI277" s="382"/>
      <c r="DJ277" s="382"/>
      <c r="DK277" s="382"/>
      <c r="DL277" s="382"/>
      <c r="DM277" s="382"/>
      <c r="DN277" s="382"/>
      <c r="DO277" s="382"/>
      <c r="DP277" s="382"/>
      <c r="DQ277" s="382"/>
      <c r="DR277" s="382"/>
      <c r="DS277" s="382"/>
      <c r="DT277" s="382"/>
      <c r="DU277" s="382"/>
      <c r="DV277" s="382"/>
      <c r="DW277" s="382"/>
      <c r="DX277" s="382"/>
      <c r="DY277" s="382"/>
      <c r="DZ277" s="228"/>
    </row>
    <row r="278" spans="2:130" s="180" customFormat="1" ht="14.25" customHeight="1" x14ac:dyDescent="0.2">
      <c r="D278" s="805"/>
      <c r="E278" s="805"/>
      <c r="F278" s="805"/>
      <c r="G278" s="805"/>
      <c r="H278" s="805"/>
      <c r="I278" s="805"/>
      <c r="J278" s="805"/>
      <c r="K278" s="805"/>
      <c r="L278" s="805"/>
      <c r="M278" s="805"/>
      <c r="N278" s="806"/>
      <c r="O278" s="805"/>
      <c r="P278" s="805"/>
      <c r="Q278" s="807"/>
      <c r="R278" s="807"/>
      <c r="S278" s="808"/>
      <c r="T278" s="805"/>
      <c r="U278" s="805"/>
      <c r="V278" s="805"/>
      <c r="W278" s="805"/>
      <c r="X278" s="805"/>
      <c r="Y278" s="297"/>
      <c r="AB278" s="382"/>
      <c r="AC278" s="382"/>
      <c r="AD278" s="496"/>
      <c r="AE278" s="382"/>
      <c r="AF278" s="382"/>
      <c r="AG278" s="382"/>
      <c r="AH278" s="382"/>
      <c r="AI278" s="382"/>
      <c r="AJ278" s="382"/>
      <c r="AK278" s="382"/>
      <c r="AL278" s="382"/>
      <c r="AM278" s="382"/>
      <c r="AN278" s="382"/>
      <c r="AO278" s="382"/>
      <c r="AP278" s="382"/>
      <c r="AQ278" s="382"/>
      <c r="AR278" s="382"/>
      <c r="AS278" s="382"/>
      <c r="AT278" s="382"/>
      <c r="AU278" s="382"/>
      <c r="AV278" s="382"/>
      <c r="AW278" s="382"/>
      <c r="AX278" s="382"/>
      <c r="AY278" s="382"/>
      <c r="AZ278" s="382"/>
      <c r="BA278" s="382"/>
      <c r="BB278" s="382"/>
      <c r="BC278" s="382"/>
      <c r="BD278" s="382"/>
      <c r="BE278" s="382"/>
      <c r="BF278" s="382"/>
      <c r="BG278" s="382"/>
      <c r="BH278" s="382"/>
      <c r="BI278" s="382"/>
      <c r="BJ278" s="382"/>
      <c r="BK278" s="382"/>
      <c r="BL278" s="382"/>
      <c r="BM278" s="382"/>
      <c r="BN278" s="382"/>
      <c r="BO278" s="382"/>
      <c r="BP278" s="382"/>
      <c r="BQ278" s="382"/>
      <c r="BR278" s="382"/>
      <c r="BS278" s="382"/>
      <c r="BT278" s="382"/>
      <c r="BU278" s="496"/>
      <c r="BV278" s="382"/>
      <c r="BW278" s="382"/>
      <c r="BX278" s="382"/>
      <c r="BY278" s="382"/>
      <c r="BZ278" s="382"/>
      <c r="CA278" s="382"/>
      <c r="CB278" s="382"/>
      <c r="CC278" s="382"/>
      <c r="CD278" s="382"/>
      <c r="CE278" s="382"/>
      <c r="CF278" s="382"/>
      <c r="CG278" s="382"/>
      <c r="CH278" s="382"/>
      <c r="CI278" s="382"/>
      <c r="CJ278" s="382"/>
      <c r="CK278" s="382"/>
      <c r="CL278" s="382"/>
      <c r="CM278" s="382"/>
      <c r="CN278" s="382"/>
      <c r="CO278" s="382"/>
      <c r="CP278" s="382"/>
      <c r="CQ278" s="382"/>
      <c r="CR278" s="382"/>
      <c r="CS278" s="382"/>
      <c r="CT278" s="382"/>
      <c r="CU278" s="382"/>
      <c r="CV278" s="382"/>
      <c r="CW278" s="189"/>
      <c r="CX278" s="382"/>
      <c r="CY278" s="382"/>
      <c r="CZ278" s="382"/>
      <c r="DA278" s="382"/>
      <c r="DB278" s="382"/>
      <c r="DC278" s="382"/>
      <c r="DD278" s="382"/>
      <c r="DE278" s="382"/>
      <c r="DF278" s="382"/>
      <c r="DG278" s="382"/>
      <c r="DH278" s="382"/>
      <c r="DI278" s="382"/>
      <c r="DJ278" s="382"/>
      <c r="DK278" s="382"/>
      <c r="DL278" s="382"/>
      <c r="DM278" s="382"/>
      <c r="DN278" s="382"/>
      <c r="DO278" s="382"/>
      <c r="DP278" s="382"/>
      <c r="DQ278" s="382"/>
      <c r="DR278" s="382"/>
      <c r="DS278" s="382"/>
      <c r="DT278" s="382"/>
      <c r="DU278" s="382"/>
      <c r="DV278" s="382"/>
      <c r="DW278" s="382"/>
      <c r="DX278" s="382"/>
      <c r="DY278" s="382"/>
      <c r="DZ278" s="228"/>
    </row>
    <row r="279" spans="2:130" s="180" customFormat="1" ht="14.25" customHeight="1" x14ac:dyDescent="0.2">
      <c r="D279" s="805"/>
      <c r="E279" s="805"/>
      <c r="F279" s="805"/>
      <c r="G279" s="805"/>
      <c r="H279" s="805"/>
      <c r="I279" s="805"/>
      <c r="J279" s="805"/>
      <c r="K279" s="805"/>
      <c r="L279" s="805"/>
      <c r="M279" s="805"/>
      <c r="N279" s="806"/>
      <c r="O279" s="805"/>
      <c r="P279" s="805"/>
      <c r="Q279" s="807"/>
      <c r="R279" s="807"/>
      <c r="S279" s="808"/>
      <c r="T279" s="805"/>
      <c r="U279" s="805"/>
      <c r="V279" s="805"/>
      <c r="W279" s="805"/>
      <c r="X279" s="805"/>
      <c r="Y279" s="297"/>
      <c r="AB279" s="382"/>
      <c r="AC279" s="382"/>
      <c r="AD279" s="496"/>
      <c r="AE279" s="382"/>
      <c r="AF279" s="382"/>
      <c r="AG279" s="382"/>
      <c r="AH279" s="382"/>
      <c r="AI279" s="382"/>
      <c r="AJ279" s="382"/>
      <c r="AK279" s="382"/>
      <c r="AL279" s="382"/>
      <c r="AM279" s="382"/>
      <c r="AN279" s="382"/>
      <c r="AO279" s="382"/>
      <c r="AP279" s="382"/>
      <c r="AQ279" s="382"/>
      <c r="AR279" s="382"/>
      <c r="AS279" s="382"/>
      <c r="AT279" s="382"/>
      <c r="AU279" s="382"/>
      <c r="AV279" s="382"/>
      <c r="AW279" s="382"/>
      <c r="AX279" s="382"/>
      <c r="AY279" s="382"/>
      <c r="AZ279" s="382"/>
      <c r="BA279" s="382"/>
      <c r="BB279" s="382"/>
      <c r="BC279" s="382"/>
      <c r="BD279" s="382"/>
      <c r="BE279" s="382"/>
      <c r="BF279" s="382"/>
      <c r="BG279" s="382"/>
      <c r="BH279" s="382"/>
      <c r="BI279" s="382"/>
      <c r="BJ279" s="382"/>
      <c r="BK279" s="382"/>
      <c r="BL279" s="382"/>
      <c r="BM279" s="382"/>
      <c r="BN279" s="382"/>
      <c r="BO279" s="382"/>
      <c r="BP279" s="382"/>
      <c r="BQ279" s="382"/>
      <c r="BR279" s="382"/>
      <c r="BS279" s="382"/>
      <c r="BT279" s="382"/>
      <c r="BU279" s="496"/>
      <c r="BV279" s="382"/>
      <c r="BW279" s="382"/>
      <c r="BX279" s="382"/>
      <c r="BY279" s="382"/>
      <c r="BZ279" s="382"/>
      <c r="CA279" s="382"/>
      <c r="CB279" s="382"/>
      <c r="CC279" s="382"/>
      <c r="CD279" s="382"/>
      <c r="CE279" s="382"/>
      <c r="CF279" s="382"/>
      <c r="CG279" s="382"/>
      <c r="CH279" s="382"/>
      <c r="CI279" s="382"/>
      <c r="CJ279" s="382"/>
      <c r="CK279" s="382"/>
      <c r="CL279" s="382"/>
      <c r="CM279" s="382"/>
      <c r="CN279" s="382"/>
      <c r="CO279" s="382"/>
      <c r="CP279" s="382"/>
      <c r="CQ279" s="382"/>
      <c r="CR279" s="382"/>
      <c r="CS279" s="382"/>
      <c r="CT279" s="382"/>
      <c r="CU279" s="382"/>
      <c r="CV279" s="382"/>
      <c r="CW279" s="189"/>
      <c r="CX279" s="382"/>
      <c r="CY279" s="382"/>
      <c r="CZ279" s="382"/>
      <c r="DA279" s="382"/>
      <c r="DB279" s="382"/>
      <c r="DC279" s="382"/>
      <c r="DD279" s="382"/>
      <c r="DE279" s="382"/>
      <c r="DF279" s="382"/>
      <c r="DG279" s="382"/>
      <c r="DH279" s="382"/>
      <c r="DI279" s="382"/>
      <c r="DJ279" s="382"/>
      <c r="DK279" s="382"/>
      <c r="DL279" s="382"/>
      <c r="DM279" s="382"/>
      <c r="DN279" s="382"/>
      <c r="DO279" s="382"/>
      <c r="DP279" s="382"/>
      <c r="DQ279" s="382"/>
      <c r="DR279" s="382"/>
      <c r="DS279" s="382"/>
      <c r="DT279" s="382"/>
      <c r="DU279" s="382"/>
      <c r="DV279" s="382"/>
      <c r="DW279" s="382"/>
      <c r="DX279" s="382"/>
      <c r="DY279" s="382"/>
      <c r="DZ279" s="228"/>
    </row>
    <row r="280" spans="2:130" s="180" customFormat="1" ht="14.25" customHeight="1" x14ac:dyDescent="0.2">
      <c r="D280" s="805"/>
      <c r="E280" s="805"/>
      <c r="F280" s="805"/>
      <c r="G280" s="805"/>
      <c r="H280" s="805"/>
      <c r="I280" s="805"/>
      <c r="J280" s="805"/>
      <c r="K280" s="805"/>
      <c r="L280" s="805"/>
      <c r="M280" s="805"/>
      <c r="N280" s="806"/>
      <c r="O280" s="805"/>
      <c r="P280" s="805"/>
      <c r="Q280" s="807"/>
      <c r="R280" s="807"/>
      <c r="S280" s="808"/>
      <c r="T280" s="805"/>
      <c r="U280" s="805"/>
      <c r="V280" s="805"/>
      <c r="W280" s="805"/>
      <c r="X280" s="805"/>
      <c r="Y280" s="297"/>
      <c r="AB280" s="382"/>
      <c r="AC280" s="382"/>
      <c r="AD280" s="496"/>
      <c r="AE280" s="382"/>
      <c r="AF280" s="382"/>
      <c r="AG280" s="382"/>
      <c r="AH280" s="382"/>
      <c r="AI280" s="382"/>
      <c r="AJ280" s="382"/>
      <c r="AK280" s="382"/>
      <c r="AL280" s="382"/>
      <c r="AM280" s="382"/>
      <c r="AN280" s="382"/>
      <c r="AO280" s="382"/>
      <c r="AP280" s="382"/>
      <c r="AQ280" s="382"/>
      <c r="AR280" s="382"/>
      <c r="AS280" s="382"/>
      <c r="AT280" s="382"/>
      <c r="AU280" s="382"/>
      <c r="AV280" s="382"/>
      <c r="AW280" s="382"/>
      <c r="AX280" s="382"/>
      <c r="AY280" s="382"/>
      <c r="AZ280" s="382"/>
      <c r="BA280" s="382"/>
      <c r="BB280" s="382"/>
      <c r="BC280" s="382"/>
      <c r="BD280" s="382"/>
      <c r="BE280" s="382"/>
      <c r="BF280" s="382"/>
      <c r="BG280" s="382"/>
      <c r="BH280" s="382"/>
      <c r="BI280" s="382"/>
      <c r="BJ280" s="382"/>
      <c r="BK280" s="382"/>
      <c r="BL280" s="382"/>
      <c r="BM280" s="382"/>
      <c r="BN280" s="382"/>
      <c r="BO280" s="382"/>
      <c r="BP280" s="382"/>
      <c r="BQ280" s="382"/>
      <c r="BR280" s="382"/>
      <c r="BS280" s="382"/>
      <c r="BT280" s="382"/>
      <c r="BU280" s="496"/>
      <c r="BV280" s="382"/>
      <c r="BW280" s="382"/>
      <c r="BX280" s="382"/>
      <c r="BY280" s="382"/>
      <c r="BZ280" s="382"/>
      <c r="CA280" s="382"/>
      <c r="CB280" s="382"/>
      <c r="CC280" s="382"/>
      <c r="CD280" s="382"/>
      <c r="CE280" s="382"/>
      <c r="CF280" s="382"/>
      <c r="CG280" s="382"/>
      <c r="CH280" s="382"/>
      <c r="CI280" s="382"/>
      <c r="CJ280" s="382"/>
      <c r="CK280" s="382"/>
      <c r="CL280" s="382"/>
      <c r="CM280" s="382"/>
      <c r="CN280" s="382"/>
      <c r="CO280" s="382"/>
      <c r="CP280" s="382"/>
      <c r="CQ280" s="382"/>
      <c r="CR280" s="382"/>
      <c r="CS280" s="382"/>
      <c r="CT280" s="382"/>
      <c r="CU280" s="382"/>
      <c r="CV280" s="382"/>
      <c r="CW280" s="189"/>
      <c r="CX280" s="382"/>
      <c r="CY280" s="382"/>
      <c r="CZ280" s="382"/>
      <c r="DA280" s="382"/>
      <c r="DB280" s="382"/>
      <c r="DC280" s="382"/>
      <c r="DD280" s="382"/>
      <c r="DE280" s="382"/>
      <c r="DF280" s="382"/>
      <c r="DG280" s="382"/>
      <c r="DH280" s="382"/>
      <c r="DI280" s="382"/>
      <c r="DJ280" s="382"/>
      <c r="DK280" s="382"/>
      <c r="DL280" s="382"/>
      <c r="DM280" s="382"/>
      <c r="DN280" s="382"/>
      <c r="DO280" s="382"/>
      <c r="DP280" s="382"/>
      <c r="DQ280" s="382"/>
      <c r="DR280" s="382"/>
      <c r="DS280" s="382"/>
      <c r="DT280" s="382"/>
      <c r="DU280" s="382"/>
      <c r="DV280" s="382"/>
      <c r="DW280" s="382"/>
      <c r="DX280" s="382"/>
      <c r="DY280" s="382"/>
      <c r="DZ280" s="228"/>
    </row>
    <row r="281" spans="2:130" s="180" customFormat="1" ht="14.25" customHeight="1" x14ac:dyDescent="0.2">
      <c r="D281" s="805"/>
      <c r="E281" s="805"/>
      <c r="F281" s="805"/>
      <c r="G281" s="805"/>
      <c r="H281" s="805"/>
      <c r="I281" s="805"/>
      <c r="J281" s="805"/>
      <c r="K281" s="805"/>
      <c r="L281" s="805"/>
      <c r="M281" s="805"/>
      <c r="N281" s="806"/>
      <c r="O281" s="805"/>
      <c r="P281" s="805"/>
      <c r="Q281" s="807"/>
      <c r="R281" s="807"/>
      <c r="S281" s="808"/>
      <c r="T281" s="805"/>
      <c r="U281" s="805"/>
      <c r="V281" s="805"/>
      <c r="W281" s="805"/>
      <c r="X281" s="805"/>
      <c r="Y281" s="297"/>
      <c r="AB281" s="382"/>
      <c r="AC281" s="382"/>
      <c r="AD281" s="496"/>
      <c r="AE281" s="382"/>
      <c r="AF281" s="382"/>
      <c r="AG281" s="382"/>
      <c r="AH281" s="382"/>
      <c r="AI281" s="382"/>
      <c r="AJ281" s="382"/>
      <c r="AK281" s="382"/>
      <c r="AL281" s="382"/>
      <c r="AM281" s="382"/>
      <c r="AN281" s="382"/>
      <c r="AO281" s="382"/>
      <c r="AP281" s="382"/>
      <c r="AQ281" s="382"/>
      <c r="AR281" s="382"/>
      <c r="AS281" s="382"/>
      <c r="AT281" s="382"/>
      <c r="AU281" s="382"/>
      <c r="AV281" s="382"/>
      <c r="AW281" s="382"/>
      <c r="AX281" s="382"/>
      <c r="AY281" s="382"/>
      <c r="AZ281" s="382"/>
      <c r="BA281" s="382"/>
      <c r="BB281" s="382"/>
      <c r="BC281" s="382"/>
      <c r="BD281" s="382"/>
      <c r="BE281" s="382"/>
      <c r="BF281" s="382"/>
      <c r="BG281" s="382"/>
      <c r="BH281" s="382"/>
      <c r="BI281" s="382"/>
      <c r="BJ281" s="382"/>
      <c r="BK281" s="382"/>
      <c r="BL281" s="382"/>
      <c r="BM281" s="382"/>
      <c r="BN281" s="382"/>
      <c r="BO281" s="382"/>
      <c r="BP281" s="382"/>
      <c r="BQ281" s="382"/>
      <c r="BR281" s="382"/>
      <c r="BS281" s="382"/>
      <c r="BT281" s="382"/>
      <c r="BU281" s="496"/>
      <c r="BV281" s="382"/>
      <c r="BW281" s="382"/>
      <c r="BX281" s="382"/>
      <c r="BY281" s="382"/>
      <c r="BZ281" s="382"/>
      <c r="CA281" s="382"/>
      <c r="CB281" s="382"/>
      <c r="CC281" s="382"/>
      <c r="CD281" s="382"/>
      <c r="CE281" s="382"/>
      <c r="CF281" s="382"/>
      <c r="CG281" s="382"/>
      <c r="CH281" s="382"/>
      <c r="CI281" s="382"/>
      <c r="CJ281" s="382"/>
      <c r="CK281" s="382"/>
      <c r="CL281" s="382"/>
      <c r="CM281" s="382"/>
      <c r="CN281" s="382"/>
      <c r="CO281" s="382"/>
      <c r="CP281" s="382"/>
      <c r="CQ281" s="382"/>
      <c r="CR281" s="382"/>
      <c r="CS281" s="382"/>
      <c r="CT281" s="382"/>
      <c r="CU281" s="382"/>
      <c r="CV281" s="382"/>
      <c r="CW281" s="189"/>
      <c r="CX281" s="382"/>
      <c r="CY281" s="382"/>
      <c r="CZ281" s="382"/>
      <c r="DA281" s="382"/>
      <c r="DB281" s="382"/>
      <c r="DC281" s="382"/>
      <c r="DD281" s="382"/>
      <c r="DE281" s="382"/>
      <c r="DF281" s="382"/>
      <c r="DG281" s="382"/>
      <c r="DH281" s="382"/>
      <c r="DI281" s="382"/>
      <c r="DJ281" s="382"/>
      <c r="DK281" s="382"/>
      <c r="DL281" s="382"/>
      <c r="DM281" s="382"/>
      <c r="DN281" s="382"/>
      <c r="DO281" s="382"/>
      <c r="DP281" s="382"/>
      <c r="DQ281" s="382"/>
      <c r="DR281" s="382"/>
      <c r="DS281" s="382"/>
      <c r="DT281" s="382"/>
      <c r="DU281" s="382"/>
      <c r="DV281" s="382"/>
      <c r="DW281" s="382"/>
      <c r="DX281" s="382"/>
      <c r="DY281" s="382"/>
      <c r="DZ281" s="228"/>
    </row>
    <row r="282" spans="2:130" s="180" customFormat="1" ht="14.25" customHeight="1" x14ac:dyDescent="0.2">
      <c r="D282" s="805"/>
      <c r="E282" s="805"/>
      <c r="F282" s="805"/>
      <c r="G282" s="805"/>
      <c r="H282" s="805"/>
      <c r="I282" s="805"/>
      <c r="J282" s="805"/>
      <c r="K282" s="805"/>
      <c r="L282" s="805"/>
      <c r="M282" s="805"/>
      <c r="N282" s="806"/>
      <c r="O282" s="805"/>
      <c r="P282" s="805"/>
      <c r="Q282" s="807"/>
      <c r="R282" s="807"/>
      <c r="S282" s="808"/>
      <c r="T282" s="805"/>
      <c r="U282" s="805"/>
      <c r="V282" s="805"/>
      <c r="W282" s="805"/>
      <c r="X282" s="805"/>
      <c r="Y282" s="297"/>
      <c r="AB282" s="382"/>
      <c r="AC282" s="382"/>
      <c r="AD282" s="496"/>
      <c r="AE282" s="382"/>
      <c r="AF282" s="382"/>
      <c r="AG282" s="382"/>
      <c r="AH282" s="382"/>
      <c r="AI282" s="382"/>
      <c r="AJ282" s="382"/>
      <c r="AK282" s="382"/>
      <c r="AL282" s="382"/>
      <c r="AM282" s="382"/>
      <c r="AN282" s="382"/>
      <c r="AO282" s="382"/>
      <c r="AP282" s="382"/>
      <c r="AQ282" s="382"/>
      <c r="AR282" s="382"/>
      <c r="AS282" s="382"/>
      <c r="AT282" s="382"/>
      <c r="AU282" s="382"/>
      <c r="AV282" s="382"/>
      <c r="AW282" s="382"/>
      <c r="AX282" s="382"/>
      <c r="AY282" s="382"/>
      <c r="AZ282" s="382"/>
      <c r="BA282" s="382"/>
      <c r="BB282" s="382"/>
      <c r="BC282" s="382"/>
      <c r="BD282" s="382"/>
      <c r="BE282" s="382"/>
      <c r="BF282" s="382"/>
      <c r="BG282" s="382"/>
      <c r="BH282" s="382"/>
      <c r="BI282" s="382"/>
      <c r="BJ282" s="382"/>
      <c r="BK282" s="382"/>
      <c r="BL282" s="382"/>
      <c r="BM282" s="382"/>
      <c r="BN282" s="382"/>
      <c r="BO282" s="382"/>
      <c r="BP282" s="382"/>
      <c r="BQ282" s="382"/>
      <c r="BR282" s="382"/>
      <c r="BS282" s="382"/>
      <c r="BT282" s="382"/>
      <c r="BU282" s="496"/>
      <c r="BV282" s="382"/>
      <c r="BW282" s="382"/>
      <c r="BX282" s="382"/>
      <c r="BY282" s="382"/>
      <c r="BZ282" s="382"/>
      <c r="CA282" s="382"/>
      <c r="CB282" s="382"/>
      <c r="CC282" s="382"/>
      <c r="CD282" s="382"/>
      <c r="CE282" s="382"/>
      <c r="CF282" s="382"/>
      <c r="CG282" s="382"/>
      <c r="CH282" s="382"/>
      <c r="CI282" s="382"/>
      <c r="CJ282" s="382"/>
      <c r="CK282" s="382"/>
      <c r="CL282" s="382"/>
      <c r="CM282" s="382"/>
      <c r="CN282" s="382"/>
      <c r="CO282" s="382"/>
      <c r="CP282" s="382"/>
      <c r="CQ282" s="382"/>
      <c r="CR282" s="382"/>
      <c r="CS282" s="382"/>
      <c r="CT282" s="382"/>
      <c r="CU282" s="382"/>
      <c r="CV282" s="382"/>
      <c r="CW282" s="189"/>
      <c r="CX282" s="382"/>
      <c r="CY282" s="382"/>
      <c r="CZ282" s="382"/>
      <c r="DA282" s="382"/>
      <c r="DB282" s="382"/>
      <c r="DC282" s="382"/>
      <c r="DD282" s="382"/>
      <c r="DE282" s="382"/>
      <c r="DF282" s="382"/>
      <c r="DG282" s="382"/>
      <c r="DH282" s="382"/>
      <c r="DI282" s="382"/>
      <c r="DJ282" s="382"/>
      <c r="DK282" s="382"/>
      <c r="DL282" s="382"/>
      <c r="DM282" s="382"/>
      <c r="DN282" s="382"/>
      <c r="DO282" s="382"/>
      <c r="DP282" s="382"/>
      <c r="DQ282" s="382"/>
      <c r="DR282" s="382"/>
      <c r="DS282" s="382"/>
      <c r="DT282" s="382"/>
      <c r="DU282" s="382"/>
      <c r="DV282" s="382"/>
      <c r="DW282" s="382"/>
      <c r="DX282" s="382"/>
      <c r="DY282" s="382"/>
      <c r="DZ282" s="228"/>
    </row>
    <row r="283" spans="2:130" s="180" customFormat="1" ht="14.25" customHeight="1" x14ac:dyDescent="0.2">
      <c r="D283" s="805"/>
      <c r="E283" s="805"/>
      <c r="F283" s="805"/>
      <c r="G283" s="805"/>
      <c r="H283" s="805"/>
      <c r="I283" s="805"/>
      <c r="J283" s="805"/>
      <c r="K283" s="805"/>
      <c r="L283" s="805"/>
      <c r="M283" s="805"/>
      <c r="N283" s="806"/>
      <c r="O283" s="805"/>
      <c r="P283" s="805"/>
      <c r="Q283" s="807"/>
      <c r="R283" s="807"/>
      <c r="S283" s="808"/>
      <c r="T283" s="805"/>
      <c r="U283" s="805"/>
      <c r="V283" s="805"/>
      <c r="W283" s="805"/>
      <c r="X283" s="805"/>
      <c r="Y283" s="297"/>
      <c r="AB283" s="382"/>
      <c r="AC283" s="382"/>
      <c r="AD283" s="496"/>
      <c r="AE283" s="382"/>
      <c r="AF283" s="382"/>
      <c r="AG283" s="382"/>
      <c r="AH283" s="382"/>
      <c r="AI283" s="382"/>
      <c r="AJ283" s="382"/>
      <c r="AK283" s="382"/>
      <c r="AL283" s="382"/>
      <c r="AM283" s="382"/>
      <c r="AN283" s="382"/>
      <c r="AO283" s="382"/>
      <c r="AP283" s="382"/>
      <c r="AQ283" s="382"/>
      <c r="AR283" s="382"/>
      <c r="AS283" s="382"/>
      <c r="AT283" s="382"/>
      <c r="AU283" s="382"/>
      <c r="AV283" s="382"/>
      <c r="AW283" s="382"/>
      <c r="AX283" s="382"/>
      <c r="AY283" s="382"/>
      <c r="AZ283" s="382"/>
      <c r="BA283" s="382"/>
      <c r="BB283" s="382"/>
      <c r="BC283" s="382"/>
      <c r="BD283" s="382"/>
      <c r="BE283" s="382"/>
      <c r="BF283" s="382"/>
      <c r="BG283" s="382"/>
      <c r="BH283" s="382"/>
      <c r="BI283" s="382"/>
      <c r="BJ283" s="382"/>
      <c r="BK283" s="382"/>
      <c r="BL283" s="382"/>
      <c r="BM283" s="382"/>
      <c r="BN283" s="382"/>
      <c r="BO283" s="382"/>
      <c r="BP283" s="382"/>
      <c r="BQ283" s="382"/>
      <c r="BR283" s="382"/>
      <c r="BS283" s="382"/>
      <c r="BT283" s="382"/>
      <c r="BU283" s="496"/>
      <c r="BV283" s="382"/>
      <c r="BW283" s="382"/>
      <c r="BX283" s="382"/>
      <c r="BY283" s="382"/>
      <c r="BZ283" s="382"/>
      <c r="CA283" s="382"/>
      <c r="CB283" s="382"/>
      <c r="CC283" s="382"/>
      <c r="CD283" s="382"/>
      <c r="CE283" s="382"/>
      <c r="CF283" s="382"/>
      <c r="CG283" s="382"/>
      <c r="CH283" s="382"/>
      <c r="CI283" s="382"/>
      <c r="CJ283" s="382"/>
      <c r="CK283" s="382"/>
      <c r="CL283" s="382"/>
      <c r="CM283" s="382"/>
      <c r="CN283" s="382"/>
      <c r="CO283" s="382"/>
      <c r="CP283" s="382"/>
      <c r="CQ283" s="382"/>
      <c r="CR283" s="382"/>
      <c r="CS283" s="382"/>
      <c r="CT283" s="382"/>
      <c r="CU283" s="382"/>
      <c r="CV283" s="382"/>
      <c r="CW283" s="189"/>
      <c r="CX283" s="382"/>
      <c r="CY283" s="382"/>
      <c r="CZ283" s="382"/>
      <c r="DA283" s="382"/>
      <c r="DB283" s="382"/>
      <c r="DC283" s="382"/>
      <c r="DD283" s="382"/>
      <c r="DE283" s="382"/>
      <c r="DF283" s="382"/>
      <c r="DG283" s="382"/>
      <c r="DH283" s="382"/>
      <c r="DI283" s="382"/>
      <c r="DJ283" s="382"/>
      <c r="DK283" s="382"/>
      <c r="DL283" s="382"/>
      <c r="DM283" s="382"/>
      <c r="DN283" s="382"/>
      <c r="DO283" s="382"/>
      <c r="DP283" s="382"/>
      <c r="DQ283" s="382"/>
      <c r="DR283" s="382"/>
      <c r="DS283" s="382"/>
      <c r="DT283" s="382"/>
      <c r="DU283" s="382"/>
      <c r="DV283" s="382"/>
      <c r="DW283" s="382"/>
      <c r="DX283" s="382"/>
      <c r="DY283" s="382"/>
      <c r="DZ283" s="228"/>
    </row>
    <row r="284" spans="2:130" s="180" customFormat="1" ht="14.25" customHeight="1" x14ac:dyDescent="0.2">
      <c r="D284" s="805"/>
      <c r="E284" s="805"/>
      <c r="F284" s="805"/>
      <c r="G284" s="805"/>
      <c r="H284" s="805"/>
      <c r="I284" s="805"/>
      <c r="J284" s="805"/>
      <c r="K284" s="805"/>
      <c r="L284" s="805"/>
      <c r="M284" s="805"/>
      <c r="N284" s="806"/>
      <c r="O284" s="805"/>
      <c r="P284" s="805"/>
      <c r="Q284" s="807"/>
      <c r="R284" s="807"/>
      <c r="S284" s="808"/>
      <c r="T284" s="805"/>
      <c r="U284" s="805"/>
      <c r="V284" s="805"/>
      <c r="W284" s="805"/>
      <c r="X284" s="805"/>
      <c r="Y284" s="297"/>
      <c r="AB284" s="382"/>
      <c r="AC284" s="382"/>
      <c r="AD284" s="496"/>
      <c r="AE284" s="382"/>
      <c r="AF284" s="382"/>
      <c r="AG284" s="382"/>
      <c r="AH284" s="382"/>
      <c r="AI284" s="382"/>
      <c r="AJ284" s="382"/>
      <c r="AK284" s="382"/>
      <c r="AL284" s="382"/>
      <c r="AM284" s="382"/>
      <c r="AN284" s="382"/>
      <c r="AO284" s="382"/>
      <c r="AP284" s="382"/>
      <c r="AQ284" s="382"/>
      <c r="AR284" s="382"/>
      <c r="AS284" s="382"/>
      <c r="AT284" s="382"/>
      <c r="AU284" s="382"/>
      <c r="AV284" s="382"/>
      <c r="AW284" s="382"/>
      <c r="AX284" s="382"/>
      <c r="AY284" s="382"/>
      <c r="AZ284" s="382"/>
      <c r="BA284" s="382"/>
      <c r="BB284" s="382"/>
      <c r="BC284" s="382"/>
      <c r="BD284" s="382"/>
      <c r="BE284" s="382"/>
      <c r="BF284" s="382"/>
      <c r="BG284" s="382"/>
      <c r="BH284" s="382"/>
      <c r="BI284" s="382"/>
      <c r="BJ284" s="382"/>
      <c r="BK284" s="382"/>
      <c r="BL284" s="382"/>
      <c r="BM284" s="382"/>
      <c r="BN284" s="382"/>
      <c r="BO284" s="382"/>
      <c r="BP284" s="382"/>
      <c r="BQ284" s="382"/>
      <c r="BR284" s="382"/>
      <c r="BS284" s="382"/>
      <c r="BT284" s="382"/>
      <c r="BU284" s="496"/>
      <c r="BV284" s="382"/>
      <c r="BW284" s="382"/>
      <c r="BX284" s="382"/>
      <c r="BY284" s="382"/>
      <c r="BZ284" s="382"/>
      <c r="CA284" s="382"/>
      <c r="CB284" s="382"/>
      <c r="CC284" s="382"/>
      <c r="CD284" s="382"/>
      <c r="CE284" s="382"/>
      <c r="CF284" s="382"/>
      <c r="CG284" s="382"/>
      <c r="CH284" s="382"/>
      <c r="CI284" s="382"/>
      <c r="CJ284" s="382"/>
      <c r="CK284" s="382"/>
      <c r="CL284" s="382"/>
      <c r="CM284" s="382"/>
      <c r="CN284" s="382"/>
      <c r="CO284" s="382"/>
      <c r="CP284" s="382"/>
      <c r="CQ284" s="382"/>
      <c r="CR284" s="382"/>
      <c r="CS284" s="382"/>
      <c r="CT284" s="382"/>
      <c r="CU284" s="382"/>
      <c r="CV284" s="382"/>
      <c r="CW284" s="189"/>
      <c r="CX284" s="382"/>
      <c r="CY284" s="382"/>
      <c r="CZ284" s="382"/>
      <c r="DA284" s="382"/>
      <c r="DB284" s="382"/>
      <c r="DC284" s="382"/>
      <c r="DD284" s="382"/>
      <c r="DE284" s="382"/>
      <c r="DF284" s="382"/>
      <c r="DG284" s="382"/>
      <c r="DH284" s="382"/>
      <c r="DI284" s="382"/>
      <c r="DJ284" s="382"/>
      <c r="DK284" s="382"/>
      <c r="DL284" s="382"/>
      <c r="DM284" s="382"/>
      <c r="DN284" s="382"/>
      <c r="DO284" s="382"/>
      <c r="DP284" s="382"/>
      <c r="DQ284" s="382"/>
      <c r="DR284" s="382"/>
      <c r="DS284" s="382"/>
      <c r="DT284" s="382"/>
      <c r="DU284" s="382"/>
      <c r="DV284" s="382"/>
      <c r="DW284" s="382"/>
      <c r="DX284" s="382"/>
      <c r="DY284" s="382"/>
      <c r="DZ284" s="228"/>
    </row>
    <row r="285" spans="2:130" s="180" customFormat="1" ht="14.25" customHeight="1" x14ac:dyDescent="0.2">
      <c r="D285" s="805"/>
      <c r="E285" s="805"/>
      <c r="F285" s="805"/>
      <c r="G285" s="805"/>
      <c r="H285" s="805"/>
      <c r="I285" s="805"/>
      <c r="J285" s="805"/>
      <c r="K285" s="805"/>
      <c r="L285" s="805"/>
      <c r="M285" s="805"/>
      <c r="N285" s="806"/>
      <c r="O285" s="805"/>
      <c r="P285" s="805"/>
      <c r="Q285" s="807"/>
      <c r="R285" s="807"/>
      <c r="S285" s="808"/>
      <c r="T285" s="805"/>
      <c r="U285" s="805"/>
      <c r="V285" s="805"/>
      <c r="W285" s="805"/>
      <c r="X285" s="805"/>
      <c r="Y285" s="297"/>
      <c r="AB285" s="382"/>
      <c r="AC285" s="382"/>
      <c r="AD285" s="496"/>
      <c r="AE285" s="382"/>
      <c r="AF285" s="382"/>
      <c r="AG285" s="382"/>
      <c r="AH285" s="382"/>
      <c r="AI285" s="382"/>
      <c r="AJ285" s="382"/>
      <c r="AK285" s="382"/>
      <c r="AL285" s="382"/>
      <c r="AM285" s="382"/>
      <c r="AN285" s="382"/>
      <c r="AO285" s="382"/>
      <c r="AP285" s="382"/>
      <c r="AQ285" s="382"/>
      <c r="AR285" s="382"/>
      <c r="AS285" s="382"/>
      <c r="AT285" s="382"/>
      <c r="AU285" s="382"/>
      <c r="AV285" s="382"/>
      <c r="AW285" s="382"/>
      <c r="AX285" s="382"/>
      <c r="AY285" s="382"/>
      <c r="AZ285" s="382"/>
      <c r="BA285" s="382"/>
      <c r="BB285" s="382"/>
      <c r="BC285" s="382"/>
      <c r="BD285" s="382"/>
      <c r="BE285" s="382"/>
      <c r="BF285" s="382"/>
      <c r="BG285" s="382"/>
      <c r="BH285" s="382"/>
      <c r="BI285" s="382"/>
      <c r="BJ285" s="382"/>
      <c r="BK285" s="382"/>
      <c r="BL285" s="382"/>
      <c r="BM285" s="382"/>
      <c r="BN285" s="382"/>
      <c r="BO285" s="382"/>
      <c r="BP285" s="382"/>
      <c r="BQ285" s="382"/>
      <c r="BR285" s="382"/>
      <c r="BS285" s="382"/>
      <c r="BT285" s="382"/>
      <c r="BU285" s="496"/>
      <c r="BV285" s="382"/>
      <c r="BW285" s="382"/>
      <c r="BX285" s="382"/>
      <c r="BY285" s="382"/>
      <c r="BZ285" s="382"/>
      <c r="CA285" s="382"/>
      <c r="CB285" s="382"/>
      <c r="CC285" s="382"/>
      <c r="CD285" s="382"/>
      <c r="CE285" s="382"/>
      <c r="CF285" s="382"/>
      <c r="CG285" s="382"/>
      <c r="CH285" s="382"/>
      <c r="CI285" s="382"/>
      <c r="CJ285" s="382"/>
      <c r="CK285" s="382"/>
      <c r="CL285" s="382"/>
      <c r="CM285" s="382"/>
      <c r="CN285" s="382"/>
      <c r="CO285" s="382"/>
      <c r="CP285" s="382"/>
      <c r="CQ285" s="382"/>
      <c r="CR285" s="382"/>
      <c r="CS285" s="382"/>
      <c r="CT285" s="382"/>
      <c r="CU285" s="382"/>
      <c r="CV285" s="382"/>
      <c r="CW285" s="189"/>
      <c r="CX285" s="382"/>
      <c r="CY285" s="382"/>
      <c r="CZ285" s="382"/>
      <c r="DA285" s="382"/>
      <c r="DB285" s="382"/>
      <c r="DC285" s="382"/>
      <c r="DD285" s="382"/>
      <c r="DE285" s="382"/>
      <c r="DF285" s="382"/>
      <c r="DG285" s="382"/>
      <c r="DH285" s="382"/>
      <c r="DI285" s="382"/>
      <c r="DJ285" s="382"/>
      <c r="DK285" s="382"/>
      <c r="DL285" s="382"/>
      <c r="DM285" s="382"/>
      <c r="DN285" s="382"/>
      <c r="DO285" s="382"/>
      <c r="DP285" s="382"/>
      <c r="DQ285" s="382"/>
      <c r="DR285" s="382"/>
      <c r="DS285" s="382"/>
      <c r="DT285" s="382"/>
      <c r="DU285" s="382"/>
      <c r="DV285" s="382"/>
      <c r="DW285" s="382"/>
      <c r="DX285" s="382"/>
      <c r="DY285" s="382"/>
      <c r="DZ285" s="228"/>
    </row>
    <row r="286" spans="2:130" s="180" customFormat="1" ht="14.25" customHeight="1" x14ac:dyDescent="0.2">
      <c r="D286" s="805"/>
      <c r="E286" s="805"/>
      <c r="F286" s="805"/>
      <c r="G286" s="805"/>
      <c r="H286" s="805"/>
      <c r="I286" s="805"/>
      <c r="J286" s="805"/>
      <c r="K286" s="805"/>
      <c r="L286" s="805"/>
      <c r="M286" s="805"/>
      <c r="N286" s="806"/>
      <c r="O286" s="805"/>
      <c r="P286" s="805"/>
      <c r="Q286" s="807"/>
      <c r="R286" s="807"/>
      <c r="S286" s="808"/>
      <c r="T286" s="805"/>
      <c r="U286" s="805"/>
      <c r="V286" s="805"/>
      <c r="W286" s="805"/>
      <c r="X286" s="805"/>
      <c r="Y286" s="297"/>
      <c r="AB286" s="382"/>
      <c r="AC286" s="382"/>
      <c r="AD286" s="496"/>
      <c r="AE286" s="382"/>
      <c r="AF286" s="382"/>
      <c r="AG286" s="382"/>
      <c r="AH286" s="382"/>
      <c r="AI286" s="382"/>
      <c r="AJ286" s="382"/>
      <c r="AK286" s="382"/>
      <c r="AL286" s="382"/>
      <c r="AM286" s="382"/>
      <c r="AN286" s="382"/>
      <c r="AO286" s="382"/>
      <c r="AP286" s="382"/>
      <c r="AQ286" s="382"/>
      <c r="AR286" s="382"/>
      <c r="AS286" s="382"/>
      <c r="AT286" s="382"/>
      <c r="AU286" s="382"/>
      <c r="AV286" s="382"/>
      <c r="AW286" s="382"/>
      <c r="AX286" s="382"/>
      <c r="AY286" s="382"/>
      <c r="AZ286" s="382"/>
      <c r="BA286" s="382"/>
      <c r="BB286" s="382"/>
      <c r="BC286" s="382"/>
      <c r="BD286" s="382"/>
      <c r="BE286" s="382"/>
      <c r="BF286" s="382"/>
      <c r="BG286" s="382"/>
      <c r="BH286" s="382"/>
      <c r="BI286" s="382"/>
      <c r="BJ286" s="382"/>
      <c r="BK286" s="382"/>
      <c r="BL286" s="382"/>
      <c r="BM286" s="382"/>
      <c r="BN286" s="382"/>
      <c r="BO286" s="382"/>
      <c r="BP286" s="382"/>
      <c r="BQ286" s="382"/>
      <c r="BR286" s="382"/>
      <c r="BS286" s="382"/>
      <c r="BT286" s="382"/>
      <c r="BU286" s="496"/>
      <c r="BV286" s="382"/>
      <c r="BW286" s="382"/>
      <c r="BX286" s="382"/>
      <c r="BY286" s="382"/>
      <c r="BZ286" s="382"/>
      <c r="CA286" s="382"/>
      <c r="CB286" s="382"/>
      <c r="CC286" s="382"/>
      <c r="CD286" s="382"/>
      <c r="CE286" s="382"/>
      <c r="CF286" s="382"/>
      <c r="CG286" s="382"/>
      <c r="CH286" s="382"/>
      <c r="CI286" s="382"/>
      <c r="CJ286" s="382"/>
      <c r="CK286" s="382"/>
      <c r="CL286" s="382"/>
      <c r="CM286" s="382"/>
      <c r="CN286" s="382"/>
      <c r="CO286" s="382"/>
      <c r="CP286" s="382"/>
      <c r="CQ286" s="382"/>
      <c r="CR286" s="382"/>
      <c r="CS286" s="382"/>
      <c r="CT286" s="382"/>
      <c r="CU286" s="382"/>
      <c r="CV286" s="382"/>
      <c r="CW286" s="189"/>
      <c r="CX286" s="382"/>
      <c r="CY286" s="382"/>
      <c r="CZ286" s="382"/>
      <c r="DA286" s="382"/>
      <c r="DB286" s="382"/>
      <c r="DC286" s="382"/>
      <c r="DD286" s="382"/>
      <c r="DE286" s="382"/>
      <c r="DF286" s="382"/>
      <c r="DG286" s="382"/>
      <c r="DH286" s="382"/>
      <c r="DI286" s="382"/>
      <c r="DJ286" s="382"/>
      <c r="DK286" s="382"/>
      <c r="DL286" s="382"/>
      <c r="DM286" s="382"/>
      <c r="DN286" s="382"/>
      <c r="DO286" s="382"/>
      <c r="DP286" s="382"/>
      <c r="DQ286" s="382"/>
      <c r="DR286" s="382"/>
      <c r="DS286" s="382"/>
      <c r="DT286" s="382"/>
      <c r="DU286" s="382"/>
      <c r="DV286" s="382"/>
      <c r="DW286" s="382"/>
      <c r="DX286" s="382"/>
      <c r="DY286" s="382"/>
      <c r="DZ286" s="228"/>
    </row>
    <row r="287" spans="2:130" s="180" customFormat="1" ht="14.25" customHeight="1" x14ac:dyDescent="0.2">
      <c r="D287" s="805"/>
      <c r="E287" s="805"/>
      <c r="F287" s="805"/>
      <c r="G287" s="805"/>
      <c r="H287" s="805"/>
      <c r="I287" s="805"/>
      <c r="J287" s="805"/>
      <c r="K287" s="805"/>
      <c r="L287" s="805"/>
      <c r="M287" s="805"/>
      <c r="N287" s="806"/>
      <c r="O287" s="805"/>
      <c r="P287" s="805"/>
      <c r="Q287" s="807"/>
      <c r="R287" s="807"/>
      <c r="S287" s="808"/>
      <c r="T287" s="805"/>
      <c r="U287" s="805"/>
      <c r="V287" s="805"/>
      <c r="W287" s="805"/>
      <c r="X287" s="805"/>
      <c r="Y287" s="297"/>
      <c r="AB287" s="382"/>
      <c r="AC287" s="382"/>
      <c r="AD287" s="496"/>
      <c r="AE287" s="382"/>
      <c r="AF287" s="382"/>
      <c r="AG287" s="382"/>
      <c r="AH287" s="382"/>
      <c r="AI287" s="382"/>
      <c r="AJ287" s="382"/>
      <c r="AK287" s="382"/>
      <c r="AL287" s="382"/>
      <c r="AM287" s="382"/>
      <c r="AN287" s="382"/>
      <c r="AO287" s="382"/>
      <c r="AP287" s="382"/>
      <c r="AQ287" s="382"/>
      <c r="AR287" s="382"/>
      <c r="AS287" s="382"/>
      <c r="AT287" s="382"/>
      <c r="AU287" s="382"/>
      <c r="AV287" s="382"/>
      <c r="AW287" s="382"/>
      <c r="AX287" s="382"/>
      <c r="AY287" s="382"/>
      <c r="AZ287" s="382"/>
      <c r="BA287" s="382"/>
      <c r="BB287" s="382"/>
      <c r="BC287" s="382"/>
      <c r="BD287" s="382"/>
      <c r="BE287" s="382"/>
      <c r="BF287" s="382"/>
      <c r="BG287" s="382"/>
      <c r="BH287" s="382"/>
      <c r="BI287" s="382"/>
      <c r="BJ287" s="382"/>
      <c r="BK287" s="382"/>
      <c r="BL287" s="382"/>
      <c r="BM287" s="382"/>
      <c r="BN287" s="382"/>
      <c r="BO287" s="382"/>
      <c r="BP287" s="382"/>
      <c r="BQ287" s="382"/>
      <c r="BR287" s="382"/>
      <c r="BS287" s="382"/>
      <c r="BT287" s="382"/>
      <c r="BU287" s="496"/>
      <c r="BV287" s="382"/>
      <c r="BW287" s="382"/>
      <c r="BX287" s="382"/>
      <c r="BY287" s="382"/>
      <c r="BZ287" s="382"/>
      <c r="CA287" s="382"/>
      <c r="CB287" s="382"/>
      <c r="CC287" s="382"/>
      <c r="CD287" s="382"/>
      <c r="CE287" s="382"/>
      <c r="CF287" s="382"/>
      <c r="CG287" s="382"/>
      <c r="CH287" s="382"/>
      <c r="CI287" s="382"/>
      <c r="CJ287" s="382"/>
      <c r="CK287" s="382"/>
      <c r="CL287" s="382"/>
      <c r="CM287" s="382"/>
      <c r="CN287" s="382"/>
      <c r="CO287" s="382"/>
      <c r="CP287" s="382"/>
      <c r="CQ287" s="382"/>
      <c r="CR287" s="382"/>
      <c r="CS287" s="382"/>
      <c r="CT287" s="382"/>
      <c r="CU287" s="382"/>
      <c r="CV287" s="382"/>
      <c r="CW287" s="189"/>
      <c r="CX287" s="382"/>
      <c r="CY287" s="382"/>
      <c r="CZ287" s="382"/>
      <c r="DA287" s="382"/>
      <c r="DB287" s="382"/>
      <c r="DC287" s="382"/>
      <c r="DD287" s="382"/>
      <c r="DE287" s="382"/>
      <c r="DF287" s="382"/>
      <c r="DG287" s="382"/>
      <c r="DH287" s="382"/>
      <c r="DI287" s="382"/>
      <c r="DJ287" s="382"/>
      <c r="DK287" s="382"/>
      <c r="DL287" s="382"/>
      <c r="DM287" s="382"/>
      <c r="DN287" s="382"/>
      <c r="DO287" s="382"/>
      <c r="DP287" s="382"/>
      <c r="DQ287" s="382"/>
      <c r="DR287" s="382"/>
      <c r="DS287" s="382"/>
      <c r="DT287" s="382"/>
      <c r="DU287" s="382"/>
      <c r="DV287" s="382"/>
      <c r="DW287" s="382"/>
      <c r="DX287" s="382"/>
      <c r="DY287" s="382"/>
      <c r="DZ287" s="228"/>
    </row>
    <row r="288" spans="2:130" s="180" customFormat="1" ht="14.25" customHeight="1" x14ac:dyDescent="0.2">
      <c r="D288" s="805"/>
      <c r="E288" s="805"/>
      <c r="F288" s="805"/>
      <c r="G288" s="805"/>
      <c r="H288" s="805"/>
      <c r="I288" s="805"/>
      <c r="J288" s="805"/>
      <c r="K288" s="805"/>
      <c r="L288" s="805"/>
      <c r="M288" s="805"/>
      <c r="N288" s="806"/>
      <c r="O288" s="805"/>
      <c r="P288" s="805"/>
      <c r="Q288" s="807"/>
      <c r="R288" s="807"/>
      <c r="S288" s="808"/>
      <c r="T288" s="805"/>
      <c r="U288" s="805"/>
      <c r="V288" s="805"/>
      <c r="W288" s="805"/>
      <c r="X288" s="805"/>
      <c r="Y288" s="297"/>
      <c r="AB288" s="382"/>
      <c r="AC288" s="382"/>
      <c r="AD288" s="496"/>
      <c r="AE288" s="382"/>
      <c r="AF288" s="382"/>
      <c r="AG288" s="382"/>
      <c r="AH288" s="382"/>
      <c r="AI288" s="382"/>
      <c r="AJ288" s="382"/>
      <c r="AK288" s="382"/>
      <c r="AL288" s="382"/>
      <c r="AM288" s="382"/>
      <c r="AN288" s="382"/>
      <c r="AO288" s="382"/>
      <c r="AP288" s="382"/>
      <c r="AQ288" s="382"/>
      <c r="AR288" s="382"/>
      <c r="AS288" s="382"/>
      <c r="AT288" s="382"/>
      <c r="AU288" s="382"/>
      <c r="AV288" s="382"/>
      <c r="AW288" s="382"/>
      <c r="AX288" s="382"/>
      <c r="AY288" s="382"/>
      <c r="AZ288" s="382"/>
      <c r="BA288" s="382"/>
      <c r="BB288" s="382"/>
      <c r="BC288" s="382"/>
      <c r="BD288" s="382"/>
      <c r="BE288" s="382"/>
      <c r="BF288" s="382"/>
      <c r="BG288" s="382"/>
      <c r="BH288" s="382"/>
      <c r="BI288" s="382"/>
      <c r="BJ288" s="382"/>
      <c r="BK288" s="382"/>
      <c r="BL288" s="382"/>
      <c r="BM288" s="382"/>
      <c r="BN288" s="382"/>
      <c r="BO288" s="382"/>
      <c r="BP288" s="382"/>
      <c r="BQ288" s="382"/>
      <c r="BR288" s="382"/>
      <c r="BS288" s="382"/>
      <c r="BT288" s="382"/>
      <c r="BU288" s="496"/>
      <c r="BV288" s="382"/>
      <c r="BW288" s="382"/>
      <c r="BX288" s="382"/>
      <c r="BY288" s="382"/>
      <c r="BZ288" s="382"/>
      <c r="CA288" s="382"/>
      <c r="CB288" s="382"/>
      <c r="CC288" s="382"/>
      <c r="CD288" s="382"/>
      <c r="CE288" s="382"/>
      <c r="CF288" s="382"/>
      <c r="CG288" s="382"/>
      <c r="CH288" s="382"/>
      <c r="CI288" s="382"/>
      <c r="CJ288" s="382"/>
      <c r="CK288" s="382"/>
      <c r="CL288" s="382"/>
      <c r="CM288" s="382"/>
      <c r="CN288" s="382"/>
      <c r="CO288" s="382"/>
      <c r="CP288" s="382"/>
      <c r="CQ288" s="382"/>
      <c r="CR288" s="382"/>
      <c r="CS288" s="382"/>
      <c r="CT288" s="382"/>
      <c r="CU288" s="382"/>
      <c r="CV288" s="382"/>
      <c r="CW288" s="189"/>
      <c r="CX288" s="382"/>
      <c r="CY288" s="382"/>
      <c r="CZ288" s="382"/>
      <c r="DA288" s="382"/>
      <c r="DB288" s="382"/>
      <c r="DC288" s="382"/>
      <c r="DD288" s="382"/>
      <c r="DE288" s="382"/>
      <c r="DF288" s="382"/>
      <c r="DG288" s="382"/>
      <c r="DH288" s="382"/>
      <c r="DI288" s="382"/>
      <c r="DJ288" s="382"/>
      <c r="DK288" s="382"/>
      <c r="DL288" s="382"/>
      <c r="DM288" s="382"/>
      <c r="DN288" s="382"/>
      <c r="DO288" s="382"/>
      <c r="DP288" s="382"/>
      <c r="DQ288" s="382"/>
      <c r="DR288" s="382"/>
      <c r="DS288" s="382"/>
      <c r="DT288" s="382"/>
      <c r="DU288" s="382"/>
      <c r="DV288" s="382"/>
      <c r="DW288" s="382"/>
      <c r="DX288" s="382"/>
      <c r="DY288" s="382"/>
      <c r="DZ288" s="228"/>
    </row>
    <row r="289" spans="4:130" s="180" customFormat="1" ht="14.25" customHeight="1" x14ac:dyDescent="0.2">
      <c r="D289" s="805"/>
      <c r="E289" s="805"/>
      <c r="F289" s="805"/>
      <c r="G289" s="805"/>
      <c r="H289" s="805"/>
      <c r="I289" s="805"/>
      <c r="J289" s="805"/>
      <c r="K289" s="805"/>
      <c r="L289" s="805"/>
      <c r="M289" s="805"/>
      <c r="N289" s="806"/>
      <c r="O289" s="805"/>
      <c r="P289" s="805"/>
      <c r="Q289" s="807"/>
      <c r="R289" s="807"/>
      <c r="S289" s="808"/>
      <c r="T289" s="805"/>
      <c r="U289" s="805"/>
      <c r="V289" s="805"/>
      <c r="W289" s="805"/>
      <c r="X289" s="805"/>
      <c r="Y289" s="297"/>
      <c r="AB289" s="382"/>
      <c r="AC289" s="382"/>
      <c r="AD289" s="496"/>
      <c r="AE289" s="382"/>
      <c r="AF289" s="382"/>
      <c r="AG289" s="382"/>
      <c r="AH289" s="382"/>
      <c r="AI289" s="382"/>
      <c r="AJ289" s="382"/>
      <c r="AK289" s="382"/>
      <c r="AL289" s="382"/>
      <c r="AM289" s="382"/>
      <c r="AN289" s="382"/>
      <c r="AO289" s="382"/>
      <c r="AP289" s="382"/>
      <c r="AQ289" s="382"/>
      <c r="AR289" s="382"/>
      <c r="AS289" s="382"/>
      <c r="AT289" s="382"/>
      <c r="AU289" s="382"/>
      <c r="AV289" s="382"/>
      <c r="AW289" s="382"/>
      <c r="AX289" s="382"/>
      <c r="AY289" s="382"/>
      <c r="AZ289" s="382"/>
      <c r="BA289" s="382"/>
      <c r="BB289" s="382"/>
      <c r="BC289" s="382"/>
      <c r="BD289" s="382"/>
      <c r="BE289" s="382"/>
      <c r="BF289" s="382"/>
      <c r="BG289" s="382"/>
      <c r="BH289" s="382"/>
      <c r="BI289" s="382"/>
      <c r="BJ289" s="382"/>
      <c r="BK289" s="382"/>
      <c r="BL289" s="382"/>
      <c r="BM289" s="382"/>
      <c r="BN289" s="382"/>
      <c r="BO289" s="382"/>
      <c r="BP289" s="382"/>
      <c r="BQ289" s="382"/>
      <c r="BR289" s="382"/>
      <c r="BS289" s="382"/>
      <c r="BT289" s="382"/>
      <c r="BU289" s="496"/>
      <c r="BV289" s="382"/>
      <c r="BW289" s="382"/>
      <c r="BX289" s="382"/>
      <c r="BY289" s="382"/>
      <c r="BZ289" s="382"/>
      <c r="CA289" s="382"/>
      <c r="CB289" s="382"/>
      <c r="CC289" s="382"/>
      <c r="CD289" s="382"/>
      <c r="CE289" s="382"/>
      <c r="CF289" s="382"/>
      <c r="CG289" s="382"/>
      <c r="CH289" s="382"/>
      <c r="CI289" s="382"/>
      <c r="CJ289" s="382"/>
      <c r="CK289" s="382"/>
      <c r="CL289" s="382"/>
      <c r="CM289" s="382"/>
      <c r="CN289" s="382"/>
      <c r="CO289" s="382"/>
      <c r="CP289" s="382"/>
      <c r="CQ289" s="382"/>
      <c r="CR289" s="382"/>
      <c r="CS289" s="382"/>
      <c r="CT289" s="382"/>
      <c r="CU289" s="382"/>
      <c r="CV289" s="382"/>
      <c r="CW289" s="189"/>
      <c r="CX289" s="382"/>
      <c r="CY289" s="382"/>
      <c r="CZ289" s="382"/>
      <c r="DA289" s="382"/>
      <c r="DB289" s="382"/>
      <c r="DC289" s="382"/>
      <c r="DD289" s="382"/>
      <c r="DE289" s="382"/>
      <c r="DF289" s="382"/>
      <c r="DG289" s="382"/>
      <c r="DH289" s="382"/>
      <c r="DI289" s="382"/>
      <c r="DJ289" s="382"/>
      <c r="DK289" s="382"/>
      <c r="DL289" s="382"/>
      <c r="DM289" s="382"/>
      <c r="DN289" s="382"/>
      <c r="DO289" s="382"/>
      <c r="DP289" s="382"/>
      <c r="DQ289" s="382"/>
      <c r="DR289" s="382"/>
      <c r="DS289" s="382"/>
      <c r="DT289" s="382"/>
      <c r="DU289" s="382"/>
      <c r="DV289" s="382"/>
      <c r="DW289" s="382"/>
      <c r="DX289" s="382"/>
      <c r="DY289" s="382"/>
      <c r="DZ289" s="228"/>
    </row>
    <row r="290" spans="4:130" s="180" customFormat="1" ht="14.25" customHeight="1" x14ac:dyDescent="0.2">
      <c r="D290" s="805"/>
      <c r="E290" s="805"/>
      <c r="F290" s="805"/>
      <c r="G290" s="805"/>
      <c r="H290" s="805"/>
      <c r="I290" s="805"/>
      <c r="J290" s="805"/>
      <c r="K290" s="805"/>
      <c r="L290" s="805"/>
      <c r="M290" s="805"/>
      <c r="N290" s="806"/>
      <c r="O290" s="805"/>
      <c r="P290" s="805"/>
      <c r="Q290" s="807"/>
      <c r="R290" s="807"/>
      <c r="S290" s="808"/>
      <c r="T290" s="805"/>
      <c r="U290" s="805"/>
      <c r="V290" s="805"/>
      <c r="W290" s="805"/>
      <c r="X290" s="805"/>
      <c r="Y290" s="297"/>
      <c r="AB290" s="382"/>
      <c r="AC290" s="382"/>
      <c r="AD290" s="496"/>
      <c r="AE290" s="382"/>
      <c r="AF290" s="382"/>
      <c r="AG290" s="382"/>
      <c r="AH290" s="382"/>
      <c r="AI290" s="382"/>
      <c r="AJ290" s="382"/>
      <c r="AK290" s="382"/>
      <c r="AL290" s="382"/>
      <c r="AM290" s="382"/>
      <c r="AN290" s="382"/>
      <c r="AO290" s="382"/>
      <c r="AP290" s="382"/>
      <c r="AQ290" s="382"/>
      <c r="AR290" s="382"/>
      <c r="AS290" s="382"/>
      <c r="AT290" s="382"/>
      <c r="AU290" s="382"/>
      <c r="AV290" s="382"/>
      <c r="AW290" s="382"/>
      <c r="AX290" s="382"/>
      <c r="AY290" s="382"/>
      <c r="AZ290" s="382"/>
      <c r="BA290" s="382"/>
      <c r="BB290" s="382"/>
      <c r="BC290" s="382"/>
      <c r="BD290" s="382"/>
      <c r="BE290" s="382"/>
      <c r="BF290" s="382"/>
      <c r="BG290" s="382"/>
      <c r="BH290" s="382"/>
      <c r="BI290" s="382"/>
      <c r="BJ290" s="382"/>
      <c r="BK290" s="382"/>
      <c r="BL290" s="382"/>
      <c r="BM290" s="382"/>
      <c r="BN290" s="382"/>
      <c r="BO290" s="382"/>
      <c r="BP290" s="382"/>
      <c r="BQ290" s="382"/>
      <c r="BR290" s="382"/>
      <c r="BS290" s="382"/>
      <c r="BT290" s="382"/>
      <c r="BU290" s="496"/>
      <c r="BV290" s="382"/>
      <c r="BW290" s="382"/>
      <c r="BX290" s="382"/>
      <c r="BY290" s="382"/>
      <c r="BZ290" s="382"/>
      <c r="CA290" s="382"/>
      <c r="CB290" s="382"/>
      <c r="CC290" s="382"/>
      <c r="CD290" s="382"/>
      <c r="CE290" s="382"/>
      <c r="CF290" s="382"/>
      <c r="CG290" s="382"/>
      <c r="CH290" s="382"/>
      <c r="CI290" s="382"/>
      <c r="CJ290" s="382"/>
      <c r="CK290" s="382"/>
      <c r="CL290" s="382"/>
      <c r="CM290" s="382"/>
      <c r="CN290" s="382"/>
      <c r="CO290" s="382"/>
      <c r="CP290" s="382"/>
      <c r="CQ290" s="382"/>
      <c r="CR290" s="382"/>
      <c r="CS290" s="382"/>
      <c r="CT290" s="382"/>
      <c r="CU290" s="382"/>
      <c r="CV290" s="382"/>
      <c r="CW290" s="189"/>
      <c r="CX290" s="382"/>
      <c r="CY290" s="382"/>
      <c r="CZ290" s="382"/>
      <c r="DA290" s="382"/>
      <c r="DB290" s="382"/>
      <c r="DC290" s="382"/>
      <c r="DD290" s="382"/>
      <c r="DE290" s="382"/>
      <c r="DF290" s="382"/>
      <c r="DG290" s="382"/>
      <c r="DH290" s="382"/>
      <c r="DI290" s="382"/>
      <c r="DJ290" s="382"/>
      <c r="DK290" s="382"/>
      <c r="DL290" s="382"/>
      <c r="DM290" s="382"/>
      <c r="DN290" s="382"/>
      <c r="DO290" s="382"/>
      <c r="DP290" s="382"/>
      <c r="DQ290" s="382"/>
      <c r="DR290" s="382"/>
      <c r="DS290" s="382"/>
      <c r="DT290" s="382"/>
      <c r="DU290" s="382"/>
      <c r="DV290" s="382"/>
      <c r="DW290" s="382"/>
      <c r="DX290" s="382"/>
      <c r="DY290" s="382"/>
      <c r="DZ290" s="228"/>
    </row>
    <row r="291" spans="4:130" s="180" customFormat="1" ht="14.25" customHeight="1" x14ac:dyDescent="0.2">
      <c r="D291" s="805"/>
      <c r="E291" s="805"/>
      <c r="F291" s="805"/>
      <c r="G291" s="805"/>
      <c r="H291" s="805"/>
      <c r="I291" s="805"/>
      <c r="J291" s="805"/>
      <c r="K291" s="805"/>
      <c r="L291" s="805"/>
      <c r="M291" s="805"/>
      <c r="N291" s="806"/>
      <c r="O291" s="805"/>
      <c r="P291" s="805"/>
      <c r="Q291" s="807"/>
      <c r="R291" s="807"/>
      <c r="S291" s="808"/>
      <c r="T291" s="805"/>
      <c r="U291" s="805"/>
      <c r="V291" s="805"/>
      <c r="W291" s="805"/>
      <c r="X291" s="805"/>
      <c r="Y291" s="297"/>
      <c r="AB291" s="382"/>
      <c r="AC291" s="382"/>
      <c r="AD291" s="496"/>
      <c r="AE291" s="382"/>
      <c r="AF291" s="382"/>
      <c r="AG291" s="382"/>
      <c r="AH291" s="382"/>
      <c r="AI291" s="382"/>
      <c r="AJ291" s="382"/>
      <c r="AK291" s="382"/>
      <c r="AL291" s="382"/>
      <c r="AM291" s="382"/>
      <c r="AN291" s="382"/>
      <c r="AO291" s="382"/>
      <c r="AP291" s="382"/>
      <c r="AQ291" s="382"/>
      <c r="AR291" s="382"/>
      <c r="AS291" s="382"/>
      <c r="AT291" s="382"/>
      <c r="AU291" s="382"/>
      <c r="AV291" s="382"/>
      <c r="AW291" s="382"/>
      <c r="AX291" s="382"/>
      <c r="AY291" s="382"/>
      <c r="AZ291" s="382"/>
      <c r="BA291" s="382"/>
      <c r="BB291" s="382"/>
      <c r="BC291" s="382"/>
      <c r="BD291" s="382"/>
      <c r="BE291" s="382"/>
      <c r="BF291" s="382"/>
      <c r="BG291" s="382"/>
      <c r="BH291" s="382"/>
      <c r="BI291" s="382"/>
      <c r="BJ291" s="382"/>
      <c r="BK291" s="382"/>
      <c r="BL291" s="382"/>
      <c r="BM291" s="382"/>
      <c r="BN291" s="382"/>
      <c r="BO291" s="382"/>
      <c r="BP291" s="382"/>
      <c r="BQ291" s="382"/>
      <c r="BR291" s="382"/>
      <c r="BS291" s="382"/>
      <c r="BT291" s="382"/>
      <c r="BU291" s="496"/>
      <c r="BV291" s="382"/>
      <c r="BW291" s="382"/>
      <c r="BX291" s="382"/>
      <c r="BY291" s="382"/>
      <c r="BZ291" s="382"/>
      <c r="CA291" s="382"/>
      <c r="CB291" s="382"/>
      <c r="CC291" s="382"/>
      <c r="CD291" s="382"/>
      <c r="CE291" s="382"/>
      <c r="CF291" s="382"/>
      <c r="CG291" s="382"/>
      <c r="CH291" s="382"/>
      <c r="CI291" s="382"/>
      <c r="CJ291" s="382"/>
      <c r="CK291" s="382"/>
      <c r="CL291" s="382"/>
      <c r="CM291" s="382"/>
      <c r="CN291" s="382"/>
      <c r="CO291" s="382"/>
      <c r="CP291" s="382"/>
      <c r="CQ291" s="382"/>
      <c r="CR291" s="382"/>
      <c r="CS291" s="382"/>
      <c r="CT291" s="382"/>
      <c r="CU291" s="382"/>
      <c r="CV291" s="382"/>
      <c r="CW291" s="189"/>
      <c r="CX291" s="382"/>
      <c r="CY291" s="382"/>
      <c r="CZ291" s="382"/>
      <c r="DA291" s="382"/>
      <c r="DB291" s="382"/>
      <c r="DC291" s="382"/>
      <c r="DD291" s="382"/>
      <c r="DE291" s="382"/>
      <c r="DF291" s="382"/>
      <c r="DG291" s="382"/>
      <c r="DH291" s="382"/>
      <c r="DI291" s="382"/>
      <c r="DJ291" s="382"/>
      <c r="DK291" s="382"/>
      <c r="DL291" s="382"/>
      <c r="DM291" s="382"/>
      <c r="DN291" s="382"/>
      <c r="DO291" s="382"/>
      <c r="DP291" s="382"/>
      <c r="DQ291" s="382"/>
      <c r="DR291" s="382"/>
      <c r="DS291" s="382"/>
      <c r="DT291" s="382"/>
      <c r="DU291" s="382"/>
      <c r="DV291" s="382"/>
      <c r="DW291" s="382"/>
      <c r="DX291" s="382"/>
      <c r="DY291" s="382"/>
      <c r="DZ291" s="228"/>
    </row>
    <row r="292" spans="4:130" s="180" customFormat="1" ht="14.25" customHeight="1" x14ac:dyDescent="0.2">
      <c r="D292" s="805"/>
      <c r="E292" s="805"/>
      <c r="F292" s="805"/>
      <c r="G292" s="805"/>
      <c r="H292" s="805"/>
      <c r="I292" s="805"/>
      <c r="J292" s="805"/>
      <c r="K292" s="805"/>
      <c r="L292" s="805"/>
      <c r="M292" s="805"/>
      <c r="N292" s="806"/>
      <c r="O292" s="805"/>
      <c r="P292" s="805"/>
      <c r="Q292" s="807"/>
      <c r="R292" s="807"/>
      <c r="S292" s="808"/>
      <c r="T292" s="805"/>
      <c r="U292" s="805"/>
      <c r="V292" s="805"/>
      <c r="W292" s="805"/>
      <c r="X292" s="805"/>
      <c r="Y292" s="297"/>
      <c r="AB292" s="382"/>
      <c r="AC292" s="382"/>
      <c r="AD292" s="496"/>
      <c r="AE292" s="382"/>
      <c r="AF292" s="382"/>
      <c r="AG292" s="382"/>
      <c r="AH292" s="382"/>
      <c r="AI292" s="382"/>
      <c r="AJ292" s="382"/>
      <c r="AK292" s="382"/>
      <c r="AL292" s="382"/>
      <c r="AM292" s="382"/>
      <c r="AN292" s="382"/>
      <c r="AO292" s="382"/>
      <c r="AP292" s="382"/>
      <c r="AQ292" s="382"/>
      <c r="AR292" s="382"/>
      <c r="AS292" s="382"/>
      <c r="AT292" s="382"/>
      <c r="AU292" s="382"/>
      <c r="AV292" s="382"/>
      <c r="AW292" s="382"/>
      <c r="AX292" s="382"/>
      <c r="AY292" s="382"/>
      <c r="AZ292" s="382"/>
      <c r="BA292" s="382"/>
      <c r="BB292" s="382"/>
      <c r="BC292" s="382"/>
      <c r="BD292" s="382"/>
      <c r="BE292" s="382"/>
      <c r="BF292" s="382"/>
      <c r="BG292" s="382"/>
      <c r="BH292" s="382"/>
      <c r="BI292" s="382"/>
      <c r="BJ292" s="382"/>
      <c r="BK292" s="382"/>
      <c r="BL292" s="382"/>
      <c r="BM292" s="382"/>
      <c r="BN292" s="382"/>
      <c r="BO292" s="382"/>
      <c r="BP292" s="382"/>
      <c r="BQ292" s="382"/>
      <c r="BR292" s="382"/>
      <c r="BS292" s="382"/>
      <c r="BT292" s="382"/>
      <c r="BU292" s="496"/>
      <c r="BV292" s="382"/>
      <c r="BW292" s="382"/>
      <c r="BX292" s="382"/>
      <c r="BY292" s="382"/>
      <c r="BZ292" s="382"/>
      <c r="CA292" s="382"/>
      <c r="CB292" s="382"/>
      <c r="CC292" s="382"/>
      <c r="CD292" s="382"/>
      <c r="CE292" s="382"/>
      <c r="CF292" s="382"/>
      <c r="CG292" s="382"/>
      <c r="CH292" s="382"/>
      <c r="CI292" s="382"/>
      <c r="CJ292" s="382"/>
      <c r="CK292" s="382"/>
      <c r="CL292" s="382"/>
      <c r="CM292" s="382"/>
      <c r="CN292" s="382"/>
      <c r="CO292" s="382"/>
      <c r="CP292" s="382"/>
      <c r="CQ292" s="382"/>
      <c r="CR292" s="382"/>
      <c r="CS292" s="382"/>
      <c r="CT292" s="382"/>
      <c r="CU292" s="382"/>
      <c r="CV292" s="382"/>
      <c r="CW292" s="189"/>
      <c r="CX292" s="382"/>
      <c r="CY292" s="382"/>
      <c r="CZ292" s="382"/>
      <c r="DA292" s="382"/>
      <c r="DB292" s="382"/>
      <c r="DC292" s="382"/>
      <c r="DD292" s="382"/>
      <c r="DE292" s="382"/>
      <c r="DF292" s="382"/>
      <c r="DG292" s="382"/>
      <c r="DH292" s="382"/>
      <c r="DI292" s="382"/>
      <c r="DJ292" s="382"/>
      <c r="DK292" s="382"/>
      <c r="DL292" s="382"/>
      <c r="DM292" s="382"/>
      <c r="DN292" s="382"/>
      <c r="DO292" s="382"/>
      <c r="DP292" s="382"/>
      <c r="DQ292" s="382"/>
      <c r="DR292" s="382"/>
      <c r="DS292" s="382"/>
      <c r="DT292" s="382"/>
      <c r="DU292" s="382"/>
      <c r="DV292" s="382"/>
      <c r="DW292" s="382"/>
      <c r="DX292" s="382"/>
      <c r="DY292" s="382"/>
      <c r="DZ292" s="228"/>
    </row>
    <row r="293" spans="4:130" s="180" customFormat="1" ht="14.25" customHeight="1" x14ac:dyDescent="0.2">
      <c r="D293" s="805"/>
      <c r="E293" s="805"/>
      <c r="F293" s="805"/>
      <c r="G293" s="805"/>
      <c r="H293" s="805"/>
      <c r="I293" s="805"/>
      <c r="J293" s="805"/>
      <c r="K293" s="805"/>
      <c r="L293" s="805"/>
      <c r="M293" s="805"/>
      <c r="N293" s="806"/>
      <c r="O293" s="805"/>
      <c r="P293" s="805"/>
      <c r="Q293" s="807"/>
      <c r="R293" s="807"/>
      <c r="S293" s="808"/>
      <c r="T293" s="805"/>
      <c r="U293" s="805"/>
      <c r="V293" s="805"/>
      <c r="W293" s="805"/>
      <c r="X293" s="805"/>
      <c r="Y293" s="297"/>
      <c r="AB293" s="382"/>
      <c r="AC293" s="382"/>
      <c r="AD293" s="496"/>
      <c r="AE293" s="382"/>
      <c r="AF293" s="382"/>
      <c r="AG293" s="382"/>
      <c r="AH293" s="382"/>
      <c r="AI293" s="382"/>
      <c r="AJ293" s="382"/>
      <c r="AK293" s="382"/>
      <c r="AL293" s="382"/>
      <c r="AM293" s="382"/>
      <c r="AN293" s="382"/>
      <c r="AO293" s="382"/>
      <c r="AP293" s="382"/>
      <c r="AQ293" s="382"/>
      <c r="AR293" s="382"/>
      <c r="AS293" s="382"/>
      <c r="AT293" s="382"/>
      <c r="AU293" s="382"/>
      <c r="AV293" s="382"/>
      <c r="AW293" s="382"/>
      <c r="AX293" s="382"/>
      <c r="AY293" s="382"/>
      <c r="AZ293" s="382"/>
      <c r="BA293" s="382"/>
      <c r="BB293" s="382"/>
      <c r="BC293" s="382"/>
      <c r="BD293" s="382"/>
      <c r="BE293" s="382"/>
      <c r="BF293" s="382"/>
      <c r="BG293" s="382"/>
      <c r="BH293" s="382"/>
      <c r="BI293" s="382"/>
      <c r="BJ293" s="382"/>
      <c r="BK293" s="382"/>
      <c r="BL293" s="382"/>
      <c r="BM293" s="382"/>
      <c r="BN293" s="382"/>
      <c r="BO293" s="382"/>
      <c r="BP293" s="382"/>
      <c r="BQ293" s="382"/>
      <c r="BR293" s="382"/>
      <c r="BS293" s="382"/>
      <c r="BT293" s="382"/>
      <c r="BU293" s="496"/>
      <c r="BV293" s="382"/>
      <c r="BW293" s="382"/>
      <c r="BX293" s="382"/>
      <c r="BY293" s="382"/>
      <c r="BZ293" s="382"/>
      <c r="CA293" s="382"/>
      <c r="CB293" s="382"/>
      <c r="CC293" s="382"/>
      <c r="CD293" s="382"/>
      <c r="CE293" s="382"/>
      <c r="CF293" s="382"/>
      <c r="CG293" s="382"/>
      <c r="CH293" s="382"/>
      <c r="CI293" s="382"/>
      <c r="CJ293" s="382"/>
      <c r="CK293" s="382"/>
      <c r="CL293" s="382"/>
      <c r="CM293" s="382"/>
      <c r="CN293" s="382"/>
      <c r="CO293" s="382"/>
      <c r="CP293" s="382"/>
      <c r="CQ293" s="382"/>
      <c r="CR293" s="382"/>
      <c r="CS293" s="382"/>
      <c r="CT293" s="382"/>
      <c r="CU293" s="382"/>
      <c r="CV293" s="382"/>
      <c r="CW293" s="189"/>
      <c r="CX293" s="382"/>
      <c r="CY293" s="382"/>
      <c r="CZ293" s="382"/>
      <c r="DA293" s="382"/>
      <c r="DB293" s="382"/>
      <c r="DC293" s="382"/>
      <c r="DD293" s="382"/>
      <c r="DE293" s="382"/>
      <c r="DF293" s="382"/>
      <c r="DG293" s="382"/>
      <c r="DH293" s="382"/>
      <c r="DI293" s="382"/>
      <c r="DJ293" s="382"/>
      <c r="DK293" s="382"/>
      <c r="DL293" s="382"/>
      <c r="DM293" s="382"/>
      <c r="DN293" s="382"/>
      <c r="DO293" s="382"/>
      <c r="DP293" s="382"/>
      <c r="DQ293" s="382"/>
      <c r="DR293" s="382"/>
      <c r="DS293" s="382"/>
      <c r="DT293" s="382"/>
      <c r="DU293" s="382"/>
      <c r="DV293" s="382"/>
      <c r="DW293" s="382"/>
      <c r="DX293" s="382"/>
      <c r="DY293" s="382"/>
      <c r="DZ293" s="228"/>
    </row>
    <row r="294" spans="4:130" s="180" customFormat="1" ht="14.25" customHeight="1" x14ac:dyDescent="0.2">
      <c r="D294" s="805"/>
      <c r="E294" s="805"/>
      <c r="F294" s="805"/>
      <c r="G294" s="805"/>
      <c r="H294" s="805"/>
      <c r="I294" s="805"/>
      <c r="J294" s="805"/>
      <c r="K294" s="805"/>
      <c r="L294" s="805"/>
      <c r="M294" s="805"/>
      <c r="N294" s="806"/>
      <c r="O294" s="805"/>
      <c r="P294" s="805"/>
      <c r="Q294" s="807"/>
      <c r="R294" s="807"/>
      <c r="S294" s="808"/>
      <c r="T294" s="805"/>
      <c r="U294" s="805"/>
      <c r="V294" s="805"/>
      <c r="W294" s="805"/>
      <c r="X294" s="805"/>
      <c r="Y294" s="297"/>
      <c r="AB294" s="382"/>
      <c r="AC294" s="382"/>
      <c r="AD294" s="496"/>
      <c r="AE294" s="382"/>
      <c r="AF294" s="382"/>
      <c r="AG294" s="382"/>
      <c r="AH294" s="382"/>
      <c r="AI294" s="382"/>
      <c r="AJ294" s="382"/>
      <c r="AK294" s="382"/>
      <c r="AL294" s="382"/>
      <c r="AM294" s="382"/>
      <c r="AN294" s="382"/>
      <c r="AO294" s="382"/>
      <c r="AP294" s="382"/>
      <c r="AQ294" s="382"/>
      <c r="AR294" s="382"/>
      <c r="AS294" s="382"/>
      <c r="AT294" s="382"/>
      <c r="AU294" s="382"/>
      <c r="AV294" s="382"/>
      <c r="AW294" s="382"/>
      <c r="AX294" s="382"/>
      <c r="AY294" s="382"/>
      <c r="AZ294" s="382"/>
      <c r="BA294" s="382"/>
      <c r="BB294" s="382"/>
      <c r="BC294" s="382"/>
      <c r="BD294" s="382"/>
      <c r="BE294" s="382"/>
      <c r="BF294" s="382"/>
      <c r="BG294" s="382"/>
      <c r="BH294" s="382"/>
      <c r="BI294" s="382"/>
      <c r="BJ294" s="382"/>
      <c r="BK294" s="382"/>
      <c r="BL294" s="382"/>
      <c r="BM294" s="382"/>
      <c r="BN294" s="382"/>
      <c r="BO294" s="382"/>
      <c r="BP294" s="382"/>
      <c r="BQ294" s="382"/>
      <c r="BR294" s="382"/>
      <c r="BS294" s="382"/>
      <c r="BT294" s="382"/>
      <c r="BU294" s="496"/>
      <c r="BV294" s="382"/>
      <c r="BW294" s="382"/>
      <c r="BX294" s="382"/>
      <c r="BY294" s="382"/>
      <c r="BZ294" s="382"/>
      <c r="CA294" s="382"/>
      <c r="CB294" s="382"/>
      <c r="CC294" s="382"/>
      <c r="CD294" s="382"/>
      <c r="CE294" s="382"/>
      <c r="CF294" s="382"/>
      <c r="CG294" s="382"/>
      <c r="CH294" s="382"/>
      <c r="CI294" s="382"/>
      <c r="CJ294" s="382"/>
      <c r="CK294" s="382"/>
      <c r="CL294" s="382"/>
      <c r="CM294" s="382"/>
      <c r="CN294" s="382"/>
      <c r="CO294" s="382"/>
      <c r="CP294" s="382"/>
      <c r="CQ294" s="382"/>
      <c r="CR294" s="382"/>
      <c r="CS294" s="382"/>
      <c r="CT294" s="382"/>
      <c r="CU294" s="382"/>
      <c r="CV294" s="382"/>
      <c r="CW294" s="189"/>
      <c r="CX294" s="382"/>
      <c r="CY294" s="382"/>
      <c r="CZ294" s="382"/>
      <c r="DA294" s="382"/>
      <c r="DB294" s="382"/>
      <c r="DC294" s="382"/>
      <c r="DD294" s="382"/>
      <c r="DE294" s="382"/>
      <c r="DF294" s="382"/>
      <c r="DG294" s="382"/>
      <c r="DH294" s="382"/>
      <c r="DI294" s="382"/>
      <c r="DJ294" s="382"/>
      <c r="DK294" s="382"/>
      <c r="DL294" s="382"/>
      <c r="DM294" s="382"/>
      <c r="DN294" s="382"/>
      <c r="DO294" s="382"/>
      <c r="DP294" s="382"/>
      <c r="DQ294" s="382"/>
      <c r="DR294" s="382"/>
      <c r="DS294" s="382"/>
      <c r="DT294" s="382"/>
      <c r="DU294" s="382"/>
      <c r="DV294" s="382"/>
      <c r="DW294" s="382"/>
      <c r="DX294" s="382"/>
      <c r="DY294" s="382"/>
      <c r="DZ294" s="228"/>
    </row>
    <row r="295" spans="4:130" s="180" customFormat="1" ht="14.25" customHeight="1" x14ac:dyDescent="0.2">
      <c r="D295" s="805"/>
      <c r="E295" s="805"/>
      <c r="F295" s="805"/>
      <c r="G295" s="805"/>
      <c r="H295" s="805"/>
      <c r="I295" s="805"/>
      <c r="J295" s="805"/>
      <c r="K295" s="805"/>
      <c r="L295" s="805"/>
      <c r="M295" s="805"/>
      <c r="N295" s="806"/>
      <c r="O295" s="805"/>
      <c r="P295" s="805"/>
      <c r="Q295" s="807"/>
      <c r="R295" s="807"/>
      <c r="S295" s="808"/>
      <c r="T295" s="805"/>
      <c r="U295" s="805"/>
      <c r="V295" s="805"/>
      <c r="W295" s="805"/>
      <c r="X295" s="805"/>
      <c r="Y295" s="297"/>
      <c r="AB295" s="382"/>
      <c r="AC295" s="382"/>
      <c r="AD295" s="496"/>
      <c r="AE295" s="382"/>
      <c r="AF295" s="382"/>
      <c r="AG295" s="382"/>
      <c r="AH295" s="382"/>
      <c r="AI295" s="382"/>
      <c r="AJ295" s="382"/>
      <c r="AK295" s="382"/>
      <c r="AL295" s="382"/>
      <c r="AM295" s="382"/>
      <c r="AN295" s="382"/>
      <c r="AO295" s="382"/>
      <c r="AP295" s="382"/>
      <c r="AQ295" s="382"/>
      <c r="AR295" s="382"/>
      <c r="AS295" s="382"/>
      <c r="AT295" s="382"/>
      <c r="AU295" s="382"/>
      <c r="AV295" s="382"/>
      <c r="AW295" s="382"/>
      <c r="AX295" s="382"/>
      <c r="AY295" s="382"/>
      <c r="AZ295" s="382"/>
      <c r="BA295" s="382"/>
      <c r="BB295" s="382"/>
      <c r="BC295" s="382"/>
      <c r="BD295" s="382"/>
      <c r="BE295" s="382"/>
      <c r="BF295" s="382"/>
      <c r="BG295" s="382"/>
      <c r="BH295" s="382"/>
      <c r="BI295" s="382"/>
      <c r="BJ295" s="382"/>
      <c r="BK295" s="382"/>
      <c r="BL295" s="382"/>
      <c r="BM295" s="382"/>
      <c r="BN295" s="382"/>
      <c r="BO295" s="382"/>
      <c r="BP295" s="382"/>
      <c r="BQ295" s="382"/>
      <c r="BR295" s="382"/>
      <c r="BS295" s="382"/>
      <c r="BT295" s="382"/>
      <c r="BU295" s="496"/>
      <c r="BV295" s="382"/>
      <c r="BW295" s="382"/>
      <c r="BX295" s="382"/>
      <c r="BY295" s="382"/>
      <c r="BZ295" s="382"/>
      <c r="CA295" s="382"/>
      <c r="CB295" s="382"/>
      <c r="CC295" s="382"/>
      <c r="CD295" s="382"/>
      <c r="CE295" s="382"/>
      <c r="CF295" s="382"/>
      <c r="CG295" s="382"/>
      <c r="CH295" s="382"/>
      <c r="CI295" s="382"/>
      <c r="CJ295" s="382"/>
      <c r="CK295" s="382"/>
      <c r="CL295" s="382"/>
      <c r="CM295" s="382"/>
      <c r="CN295" s="382"/>
      <c r="CO295" s="382"/>
      <c r="CP295" s="382"/>
      <c r="CQ295" s="382"/>
      <c r="CR295" s="382"/>
      <c r="CS295" s="382"/>
      <c r="CT295" s="382"/>
      <c r="CU295" s="382"/>
      <c r="CV295" s="382"/>
      <c r="CW295" s="189"/>
      <c r="CX295" s="382"/>
      <c r="CY295" s="382"/>
      <c r="CZ295" s="382"/>
      <c r="DA295" s="382"/>
      <c r="DB295" s="382"/>
      <c r="DC295" s="382"/>
      <c r="DD295" s="382"/>
      <c r="DE295" s="382"/>
      <c r="DF295" s="382"/>
      <c r="DG295" s="382"/>
      <c r="DH295" s="382"/>
      <c r="DI295" s="382"/>
      <c r="DJ295" s="382"/>
      <c r="DK295" s="382"/>
      <c r="DL295" s="382"/>
      <c r="DM295" s="382"/>
      <c r="DN295" s="382"/>
      <c r="DO295" s="382"/>
      <c r="DP295" s="382"/>
      <c r="DQ295" s="382"/>
      <c r="DR295" s="382"/>
      <c r="DS295" s="382"/>
      <c r="DT295" s="382"/>
      <c r="DU295" s="382"/>
      <c r="DV295" s="382"/>
      <c r="DW295" s="382"/>
      <c r="DX295" s="382"/>
      <c r="DY295" s="382"/>
      <c r="DZ295" s="228"/>
    </row>
    <row r="296" spans="4:130" s="180" customFormat="1" ht="14.25" customHeight="1" x14ac:dyDescent="0.2">
      <c r="D296" s="805"/>
      <c r="E296" s="805"/>
      <c r="F296" s="805"/>
      <c r="G296" s="805"/>
      <c r="H296" s="805"/>
      <c r="I296" s="805"/>
      <c r="J296" s="805"/>
      <c r="K296" s="805"/>
      <c r="L296" s="805"/>
      <c r="M296" s="805"/>
      <c r="N296" s="806"/>
      <c r="O296" s="805"/>
      <c r="P296" s="805"/>
      <c r="Q296" s="807"/>
      <c r="R296" s="807"/>
      <c r="S296" s="808"/>
      <c r="T296" s="805"/>
      <c r="U296" s="805"/>
      <c r="V296" s="805"/>
      <c r="W296" s="805"/>
      <c r="X296" s="805"/>
      <c r="Y296" s="297"/>
      <c r="AB296" s="382"/>
      <c r="AC296" s="382"/>
      <c r="AD296" s="496"/>
      <c r="AE296" s="382"/>
      <c r="AF296" s="382"/>
      <c r="AG296" s="382"/>
      <c r="AH296" s="382"/>
      <c r="AI296" s="382"/>
      <c r="AJ296" s="382"/>
      <c r="AK296" s="382"/>
      <c r="AL296" s="382"/>
      <c r="AM296" s="382"/>
      <c r="AN296" s="382"/>
      <c r="AO296" s="382"/>
      <c r="AP296" s="382"/>
      <c r="AQ296" s="382"/>
      <c r="AR296" s="382"/>
      <c r="AS296" s="382"/>
      <c r="AT296" s="382"/>
      <c r="AU296" s="382"/>
      <c r="AV296" s="382"/>
      <c r="AW296" s="382"/>
      <c r="AX296" s="382"/>
      <c r="AY296" s="382"/>
      <c r="AZ296" s="382"/>
      <c r="BA296" s="382"/>
      <c r="BB296" s="382"/>
      <c r="BC296" s="382"/>
      <c r="BD296" s="382"/>
      <c r="BE296" s="382"/>
      <c r="BF296" s="382"/>
      <c r="BG296" s="382"/>
      <c r="BH296" s="382"/>
      <c r="BI296" s="382"/>
      <c r="BJ296" s="382"/>
      <c r="BK296" s="382"/>
      <c r="BL296" s="382"/>
      <c r="BM296" s="382"/>
      <c r="BN296" s="382"/>
      <c r="BO296" s="382"/>
      <c r="BP296" s="382"/>
      <c r="BQ296" s="382"/>
      <c r="BR296" s="382"/>
      <c r="BS296" s="382"/>
      <c r="BT296" s="382"/>
      <c r="BU296" s="496"/>
      <c r="BV296" s="382"/>
      <c r="BW296" s="382"/>
      <c r="BX296" s="382"/>
      <c r="BY296" s="382"/>
      <c r="BZ296" s="382"/>
      <c r="CA296" s="382"/>
      <c r="CB296" s="382"/>
      <c r="CC296" s="382"/>
      <c r="CD296" s="382"/>
      <c r="CE296" s="382"/>
      <c r="CF296" s="382"/>
      <c r="CG296" s="382"/>
      <c r="CH296" s="382"/>
      <c r="CI296" s="382"/>
      <c r="CJ296" s="382"/>
      <c r="CK296" s="382"/>
      <c r="CL296" s="382"/>
      <c r="CM296" s="382"/>
      <c r="CN296" s="382"/>
      <c r="CO296" s="382"/>
      <c r="CP296" s="382"/>
      <c r="CQ296" s="382"/>
      <c r="CR296" s="382"/>
      <c r="CS296" s="382"/>
      <c r="CT296" s="382"/>
      <c r="CU296" s="382"/>
      <c r="CV296" s="382"/>
      <c r="CW296" s="189"/>
      <c r="CX296" s="382"/>
      <c r="CY296" s="382"/>
      <c r="CZ296" s="382"/>
      <c r="DA296" s="382"/>
      <c r="DB296" s="382"/>
      <c r="DC296" s="382"/>
      <c r="DD296" s="382"/>
      <c r="DE296" s="382"/>
      <c r="DF296" s="382"/>
      <c r="DG296" s="382"/>
      <c r="DH296" s="382"/>
      <c r="DI296" s="382"/>
      <c r="DJ296" s="382"/>
      <c r="DK296" s="382"/>
      <c r="DL296" s="382"/>
      <c r="DM296" s="382"/>
      <c r="DN296" s="382"/>
      <c r="DO296" s="382"/>
      <c r="DP296" s="382"/>
      <c r="DQ296" s="382"/>
      <c r="DR296" s="382"/>
      <c r="DS296" s="382"/>
      <c r="DT296" s="382"/>
      <c r="DU296" s="382"/>
      <c r="DV296" s="382"/>
      <c r="DW296" s="382"/>
      <c r="DX296" s="382"/>
      <c r="DY296" s="382"/>
      <c r="DZ296" s="228"/>
    </row>
    <row r="297" spans="4:130" s="180" customFormat="1" ht="14.25" customHeight="1" x14ac:dyDescent="0.2">
      <c r="D297" s="805"/>
      <c r="E297" s="805"/>
      <c r="F297" s="805"/>
      <c r="G297" s="805"/>
      <c r="H297" s="805"/>
      <c r="I297" s="805"/>
      <c r="J297" s="805"/>
      <c r="K297" s="805"/>
      <c r="L297" s="805"/>
      <c r="M297" s="805"/>
      <c r="N297" s="806"/>
      <c r="O297" s="805"/>
      <c r="P297" s="805"/>
      <c r="Q297" s="807"/>
      <c r="R297" s="807"/>
      <c r="S297" s="808"/>
      <c r="T297" s="805"/>
      <c r="U297" s="805"/>
      <c r="V297" s="805"/>
      <c r="W297" s="805"/>
      <c r="X297" s="805"/>
      <c r="Y297" s="297"/>
      <c r="AB297" s="382"/>
      <c r="AC297" s="382"/>
      <c r="AD297" s="496"/>
      <c r="AE297" s="382"/>
      <c r="AF297" s="382"/>
      <c r="AG297" s="382"/>
      <c r="AH297" s="382"/>
      <c r="AI297" s="382"/>
      <c r="AJ297" s="382"/>
      <c r="AK297" s="382"/>
      <c r="AL297" s="382"/>
      <c r="AM297" s="382"/>
      <c r="AN297" s="382"/>
      <c r="AO297" s="382"/>
      <c r="AP297" s="382"/>
      <c r="AQ297" s="382"/>
      <c r="AR297" s="382"/>
      <c r="AS297" s="382"/>
      <c r="AT297" s="382"/>
      <c r="AU297" s="382"/>
      <c r="AV297" s="382"/>
      <c r="AW297" s="382"/>
      <c r="AX297" s="382"/>
      <c r="AY297" s="382"/>
      <c r="AZ297" s="382"/>
      <c r="BA297" s="382"/>
      <c r="BB297" s="382"/>
      <c r="BC297" s="382"/>
      <c r="BD297" s="382"/>
      <c r="BE297" s="382"/>
      <c r="BF297" s="382"/>
      <c r="BG297" s="382"/>
      <c r="BH297" s="382"/>
      <c r="BI297" s="382"/>
      <c r="BJ297" s="382"/>
      <c r="BK297" s="382"/>
      <c r="BL297" s="382"/>
      <c r="BM297" s="382"/>
      <c r="BN297" s="382"/>
      <c r="BO297" s="382"/>
      <c r="BP297" s="382"/>
      <c r="BQ297" s="382"/>
      <c r="BR297" s="382"/>
      <c r="BS297" s="382"/>
      <c r="BT297" s="382"/>
      <c r="BU297" s="496"/>
      <c r="BV297" s="382"/>
      <c r="BW297" s="382"/>
      <c r="BX297" s="382"/>
      <c r="BY297" s="382"/>
      <c r="BZ297" s="382"/>
      <c r="CA297" s="382"/>
      <c r="CB297" s="382"/>
      <c r="CC297" s="382"/>
      <c r="CD297" s="382"/>
      <c r="CE297" s="382"/>
      <c r="CF297" s="382"/>
      <c r="CG297" s="382"/>
      <c r="CH297" s="382"/>
      <c r="CI297" s="382"/>
      <c r="CJ297" s="382"/>
      <c r="CK297" s="382"/>
      <c r="CL297" s="382"/>
      <c r="CM297" s="382"/>
      <c r="CN297" s="382"/>
      <c r="CO297" s="382"/>
      <c r="CP297" s="382"/>
      <c r="CQ297" s="382"/>
      <c r="CR297" s="382"/>
      <c r="CS297" s="382"/>
      <c r="CT297" s="382"/>
      <c r="CU297" s="382"/>
      <c r="CV297" s="382"/>
      <c r="CW297" s="189"/>
      <c r="CX297" s="382"/>
      <c r="CY297" s="382"/>
      <c r="CZ297" s="382"/>
      <c r="DA297" s="382"/>
      <c r="DB297" s="382"/>
      <c r="DC297" s="382"/>
      <c r="DD297" s="382"/>
      <c r="DE297" s="382"/>
      <c r="DF297" s="382"/>
      <c r="DG297" s="382"/>
      <c r="DH297" s="382"/>
      <c r="DI297" s="382"/>
      <c r="DJ297" s="382"/>
      <c r="DK297" s="382"/>
      <c r="DL297" s="382"/>
      <c r="DM297" s="382"/>
      <c r="DN297" s="382"/>
      <c r="DO297" s="382"/>
      <c r="DP297" s="382"/>
      <c r="DQ297" s="382"/>
      <c r="DR297" s="382"/>
      <c r="DS297" s="382"/>
      <c r="DT297" s="382"/>
      <c r="DU297" s="382"/>
      <c r="DV297" s="382"/>
      <c r="DW297" s="382"/>
      <c r="DX297" s="382"/>
      <c r="DY297" s="382"/>
      <c r="DZ297" s="228"/>
    </row>
    <row r="298" spans="4:130" s="180" customFormat="1" ht="14.25" customHeight="1" x14ac:dyDescent="0.2">
      <c r="D298" s="805"/>
      <c r="E298" s="805"/>
      <c r="F298" s="805"/>
      <c r="G298" s="805"/>
      <c r="H298" s="805"/>
      <c r="I298" s="805"/>
      <c r="J298" s="805"/>
      <c r="K298" s="805"/>
      <c r="L298" s="805"/>
      <c r="M298" s="805"/>
      <c r="N298" s="806"/>
      <c r="O298" s="805"/>
      <c r="P298" s="805"/>
      <c r="Q298" s="807"/>
      <c r="R298" s="807"/>
      <c r="S298" s="808"/>
      <c r="T298" s="805"/>
      <c r="U298" s="805"/>
      <c r="V298" s="805"/>
      <c r="W298" s="805"/>
      <c r="X298" s="805"/>
      <c r="Y298" s="297"/>
      <c r="AB298" s="382"/>
      <c r="AC298" s="382"/>
      <c r="AD298" s="496"/>
      <c r="AE298" s="382"/>
      <c r="AF298" s="382"/>
      <c r="AG298" s="382"/>
      <c r="AH298" s="382"/>
      <c r="AI298" s="382"/>
      <c r="AJ298" s="382"/>
      <c r="AK298" s="382"/>
      <c r="AL298" s="382"/>
      <c r="AM298" s="382"/>
      <c r="AN298" s="382"/>
      <c r="AO298" s="382"/>
      <c r="AP298" s="382"/>
      <c r="AQ298" s="382"/>
      <c r="AR298" s="382"/>
      <c r="AS298" s="382"/>
      <c r="AT298" s="382"/>
      <c r="AU298" s="382"/>
      <c r="AV298" s="382"/>
      <c r="AW298" s="382"/>
      <c r="AX298" s="382"/>
      <c r="AY298" s="382"/>
      <c r="AZ298" s="382"/>
      <c r="BA298" s="382"/>
      <c r="BB298" s="382"/>
      <c r="BC298" s="382"/>
      <c r="BD298" s="382"/>
      <c r="BE298" s="382"/>
      <c r="BF298" s="382"/>
      <c r="BG298" s="382"/>
      <c r="BH298" s="382"/>
      <c r="BI298" s="382"/>
      <c r="BJ298" s="382"/>
      <c r="BK298" s="382"/>
      <c r="BL298" s="382"/>
      <c r="BM298" s="382"/>
      <c r="BN298" s="382"/>
      <c r="BO298" s="382"/>
      <c r="BP298" s="382"/>
      <c r="BQ298" s="382"/>
      <c r="BR298" s="382"/>
      <c r="BS298" s="382"/>
      <c r="BT298" s="382"/>
      <c r="BU298" s="496"/>
      <c r="BV298" s="382"/>
      <c r="BW298" s="382"/>
      <c r="BX298" s="382"/>
      <c r="BY298" s="382"/>
      <c r="BZ298" s="382"/>
      <c r="CA298" s="382"/>
      <c r="CB298" s="382"/>
      <c r="CC298" s="382"/>
      <c r="CD298" s="382"/>
      <c r="CE298" s="382"/>
      <c r="CF298" s="382"/>
      <c r="CG298" s="382"/>
      <c r="CH298" s="382"/>
      <c r="CI298" s="382"/>
      <c r="CJ298" s="382"/>
      <c r="CK298" s="382"/>
      <c r="CL298" s="382"/>
      <c r="CM298" s="382"/>
      <c r="CN298" s="382"/>
      <c r="CO298" s="382"/>
      <c r="CP298" s="382"/>
      <c r="CQ298" s="382"/>
      <c r="CR298" s="382"/>
      <c r="CS298" s="382"/>
      <c r="CT298" s="382"/>
      <c r="CU298" s="382"/>
      <c r="CV298" s="382"/>
      <c r="CW298" s="189"/>
      <c r="CX298" s="382"/>
      <c r="CY298" s="382"/>
      <c r="CZ298" s="382"/>
      <c r="DA298" s="382"/>
      <c r="DB298" s="382"/>
      <c r="DC298" s="382"/>
      <c r="DD298" s="382"/>
      <c r="DE298" s="382"/>
      <c r="DF298" s="382"/>
      <c r="DG298" s="382"/>
      <c r="DH298" s="382"/>
      <c r="DI298" s="382"/>
      <c r="DJ298" s="382"/>
      <c r="DK298" s="382"/>
      <c r="DL298" s="382"/>
      <c r="DM298" s="382"/>
      <c r="DN298" s="382"/>
      <c r="DO298" s="382"/>
      <c r="DP298" s="382"/>
      <c r="DQ298" s="382"/>
      <c r="DR298" s="382"/>
      <c r="DS298" s="382"/>
      <c r="DT298" s="382"/>
      <c r="DU298" s="382"/>
      <c r="DV298" s="382"/>
      <c r="DW298" s="382"/>
      <c r="DX298" s="382"/>
      <c r="DY298" s="382"/>
      <c r="DZ298" s="228"/>
    </row>
    <row r="299" spans="4:130" s="180" customFormat="1" ht="14.25" customHeight="1" x14ac:dyDescent="0.2">
      <c r="D299" s="805"/>
      <c r="E299" s="805"/>
      <c r="F299" s="805"/>
      <c r="G299" s="805"/>
      <c r="H299" s="805"/>
      <c r="I299" s="805"/>
      <c r="J299" s="805"/>
      <c r="K299" s="805"/>
      <c r="L299" s="805"/>
      <c r="M299" s="805"/>
      <c r="N299" s="806"/>
      <c r="O299" s="805"/>
      <c r="P299" s="805"/>
      <c r="Q299" s="807"/>
      <c r="R299" s="807"/>
      <c r="S299" s="808"/>
      <c r="T299" s="805"/>
      <c r="U299" s="805"/>
      <c r="V299" s="805"/>
      <c r="W299" s="805"/>
      <c r="X299" s="805"/>
      <c r="Y299" s="297"/>
      <c r="AB299" s="382"/>
      <c r="AC299" s="382"/>
      <c r="AD299" s="496"/>
      <c r="AE299" s="382"/>
      <c r="AF299" s="382"/>
      <c r="AG299" s="382"/>
      <c r="AH299" s="382"/>
      <c r="AI299" s="382"/>
      <c r="AJ299" s="382"/>
      <c r="AK299" s="382"/>
      <c r="AL299" s="382"/>
      <c r="AM299" s="382"/>
      <c r="AN299" s="382"/>
      <c r="AO299" s="382"/>
      <c r="AP299" s="382"/>
      <c r="AQ299" s="382"/>
      <c r="AR299" s="382"/>
      <c r="AS299" s="382"/>
      <c r="AT299" s="382"/>
      <c r="AU299" s="382"/>
      <c r="AV299" s="382"/>
      <c r="AW299" s="382"/>
      <c r="AX299" s="382"/>
      <c r="AY299" s="382"/>
      <c r="AZ299" s="382"/>
      <c r="BA299" s="382"/>
      <c r="BB299" s="382"/>
      <c r="BC299" s="382"/>
      <c r="BD299" s="382"/>
      <c r="BE299" s="382"/>
      <c r="BF299" s="382"/>
      <c r="BG299" s="382"/>
      <c r="BH299" s="382"/>
      <c r="BI299" s="382"/>
      <c r="BJ299" s="382"/>
      <c r="BK299" s="382"/>
      <c r="BL299" s="382"/>
      <c r="BM299" s="382"/>
      <c r="BN299" s="382"/>
      <c r="BO299" s="382"/>
      <c r="BP299" s="382"/>
      <c r="BQ299" s="382"/>
      <c r="BR299" s="382"/>
      <c r="BS299" s="382"/>
      <c r="BT299" s="382"/>
      <c r="BU299" s="496"/>
      <c r="BV299" s="382"/>
      <c r="BW299" s="382"/>
      <c r="BX299" s="382"/>
      <c r="BY299" s="382"/>
      <c r="BZ299" s="382"/>
      <c r="CA299" s="382"/>
      <c r="CB299" s="382"/>
      <c r="CC299" s="382"/>
      <c r="CD299" s="382"/>
      <c r="CE299" s="382"/>
      <c r="CF299" s="382"/>
      <c r="CG299" s="382"/>
      <c r="CH299" s="382"/>
      <c r="CI299" s="382"/>
      <c r="CJ299" s="382"/>
      <c r="CK299" s="382"/>
      <c r="CL299" s="382"/>
      <c r="CM299" s="382"/>
      <c r="CN299" s="382"/>
      <c r="CO299" s="382"/>
      <c r="CP299" s="382"/>
      <c r="CQ299" s="382"/>
      <c r="CR299" s="382"/>
      <c r="CS299" s="382"/>
      <c r="CT299" s="382"/>
      <c r="CU299" s="382"/>
      <c r="CV299" s="382"/>
      <c r="CW299" s="189"/>
      <c r="CX299" s="382"/>
      <c r="CY299" s="382"/>
      <c r="CZ299" s="382"/>
      <c r="DA299" s="382"/>
      <c r="DB299" s="382"/>
      <c r="DC299" s="382"/>
      <c r="DD299" s="382"/>
      <c r="DE299" s="382"/>
      <c r="DF299" s="382"/>
      <c r="DG299" s="382"/>
      <c r="DH299" s="382"/>
      <c r="DI299" s="382"/>
      <c r="DJ299" s="382"/>
      <c r="DK299" s="382"/>
      <c r="DL299" s="382"/>
      <c r="DM299" s="382"/>
      <c r="DN299" s="382"/>
      <c r="DO299" s="382"/>
      <c r="DP299" s="382"/>
      <c r="DQ299" s="382"/>
      <c r="DR299" s="382"/>
      <c r="DS299" s="382"/>
      <c r="DT299" s="382"/>
      <c r="DU299" s="382"/>
      <c r="DV299" s="382"/>
      <c r="DW299" s="382"/>
      <c r="DX299" s="382"/>
      <c r="DY299" s="382"/>
      <c r="DZ299" s="228"/>
    </row>
    <row r="300" spans="4:130" s="180" customFormat="1" ht="14.25" customHeight="1" x14ac:dyDescent="0.2">
      <c r="D300" s="805"/>
      <c r="E300" s="805"/>
      <c r="F300" s="805"/>
      <c r="G300" s="805"/>
      <c r="H300" s="805"/>
      <c r="I300" s="805"/>
      <c r="J300" s="805"/>
      <c r="K300" s="805"/>
      <c r="L300" s="805"/>
      <c r="M300" s="805"/>
      <c r="N300" s="806"/>
      <c r="O300" s="805"/>
      <c r="P300" s="805"/>
      <c r="Q300" s="807"/>
      <c r="R300" s="807"/>
      <c r="S300" s="808"/>
      <c r="T300" s="805"/>
      <c r="U300" s="805"/>
      <c r="V300" s="805"/>
      <c r="W300" s="805"/>
      <c r="X300" s="805"/>
      <c r="Y300" s="297"/>
      <c r="AB300" s="382"/>
      <c r="AC300" s="382"/>
      <c r="AD300" s="496"/>
      <c r="AE300" s="382"/>
      <c r="AF300" s="382"/>
      <c r="AG300" s="382"/>
      <c r="AH300" s="382"/>
      <c r="AI300" s="382"/>
      <c r="AJ300" s="382"/>
      <c r="AK300" s="382"/>
      <c r="AL300" s="382"/>
      <c r="AM300" s="382"/>
      <c r="AN300" s="382"/>
      <c r="AO300" s="382"/>
      <c r="AP300" s="382"/>
      <c r="AQ300" s="382"/>
      <c r="AR300" s="382"/>
      <c r="AS300" s="382"/>
      <c r="AT300" s="382"/>
      <c r="AU300" s="382"/>
      <c r="AV300" s="382"/>
      <c r="AW300" s="382"/>
      <c r="AX300" s="382"/>
      <c r="AY300" s="382"/>
      <c r="AZ300" s="382"/>
      <c r="BA300" s="382"/>
      <c r="BB300" s="382"/>
      <c r="BC300" s="382"/>
      <c r="BD300" s="382"/>
      <c r="BE300" s="382"/>
      <c r="BF300" s="382"/>
      <c r="BG300" s="382"/>
      <c r="BH300" s="382"/>
      <c r="BI300" s="382"/>
      <c r="BJ300" s="382"/>
      <c r="BK300" s="382"/>
      <c r="BL300" s="382"/>
      <c r="BM300" s="382"/>
      <c r="BN300" s="382"/>
      <c r="BO300" s="382"/>
      <c r="BP300" s="382"/>
      <c r="BQ300" s="382"/>
      <c r="BR300" s="382"/>
      <c r="BS300" s="382"/>
      <c r="BT300" s="382"/>
      <c r="BU300" s="496"/>
      <c r="BV300" s="382"/>
      <c r="BW300" s="382"/>
      <c r="BX300" s="382"/>
      <c r="BY300" s="382"/>
      <c r="BZ300" s="382"/>
      <c r="CA300" s="382"/>
      <c r="CB300" s="382"/>
      <c r="CC300" s="382"/>
      <c r="CD300" s="382"/>
      <c r="CE300" s="382"/>
      <c r="CF300" s="382"/>
      <c r="CG300" s="382"/>
      <c r="CH300" s="382"/>
      <c r="CI300" s="382"/>
      <c r="CJ300" s="382"/>
      <c r="CK300" s="382"/>
      <c r="CL300" s="382"/>
      <c r="CM300" s="382"/>
      <c r="CN300" s="382"/>
      <c r="CO300" s="382"/>
      <c r="CP300" s="382"/>
      <c r="CQ300" s="382"/>
      <c r="CR300" s="382"/>
      <c r="CS300" s="382"/>
      <c r="CT300" s="382"/>
      <c r="CU300" s="382"/>
      <c r="CV300" s="382"/>
      <c r="CW300" s="189"/>
      <c r="CX300" s="382"/>
      <c r="CY300" s="382"/>
      <c r="CZ300" s="382"/>
      <c r="DA300" s="382"/>
      <c r="DB300" s="382"/>
      <c r="DC300" s="382"/>
      <c r="DD300" s="382"/>
      <c r="DE300" s="382"/>
      <c r="DF300" s="382"/>
      <c r="DG300" s="382"/>
      <c r="DH300" s="382"/>
      <c r="DI300" s="382"/>
      <c r="DJ300" s="382"/>
      <c r="DK300" s="382"/>
      <c r="DL300" s="382"/>
      <c r="DM300" s="382"/>
      <c r="DN300" s="382"/>
      <c r="DO300" s="382"/>
      <c r="DP300" s="382"/>
      <c r="DQ300" s="382"/>
      <c r="DR300" s="382"/>
      <c r="DS300" s="382"/>
      <c r="DT300" s="382"/>
      <c r="DU300" s="382"/>
      <c r="DV300" s="382"/>
      <c r="DW300" s="382"/>
      <c r="DX300" s="382"/>
      <c r="DY300" s="382"/>
      <c r="DZ300" s="228"/>
    </row>
    <row r="301" spans="4:130" s="180" customFormat="1" ht="14.25" customHeight="1" x14ac:dyDescent="0.2">
      <c r="D301" s="805"/>
      <c r="E301" s="805"/>
      <c r="F301" s="805"/>
      <c r="G301" s="805"/>
      <c r="H301" s="805"/>
      <c r="I301" s="805"/>
      <c r="J301" s="805"/>
      <c r="K301" s="805"/>
      <c r="L301" s="805"/>
      <c r="M301" s="805"/>
      <c r="N301" s="806"/>
      <c r="O301" s="805"/>
      <c r="P301" s="805"/>
      <c r="Q301" s="807"/>
      <c r="R301" s="807"/>
      <c r="S301" s="808"/>
      <c r="T301" s="805"/>
      <c r="U301" s="805"/>
      <c r="V301" s="805"/>
      <c r="W301" s="805"/>
      <c r="X301" s="805"/>
      <c r="Y301" s="297"/>
      <c r="AB301" s="382"/>
      <c r="AC301" s="382"/>
      <c r="AD301" s="496"/>
      <c r="AE301" s="382"/>
      <c r="AF301" s="382"/>
      <c r="AG301" s="382"/>
      <c r="AH301" s="382"/>
      <c r="AI301" s="382"/>
      <c r="AJ301" s="382"/>
      <c r="AK301" s="382"/>
      <c r="AL301" s="382"/>
      <c r="AM301" s="382"/>
      <c r="AN301" s="382"/>
      <c r="AO301" s="382"/>
      <c r="AP301" s="382"/>
      <c r="AQ301" s="382"/>
      <c r="AR301" s="382"/>
      <c r="AS301" s="382"/>
      <c r="AT301" s="382"/>
      <c r="AU301" s="382"/>
      <c r="AV301" s="382"/>
      <c r="AW301" s="382"/>
      <c r="AX301" s="382"/>
      <c r="AY301" s="382"/>
      <c r="AZ301" s="382"/>
      <c r="BA301" s="382"/>
      <c r="BB301" s="382"/>
      <c r="BC301" s="382"/>
      <c r="BD301" s="382"/>
      <c r="BE301" s="382"/>
      <c r="BF301" s="382"/>
      <c r="BG301" s="382"/>
      <c r="BH301" s="382"/>
      <c r="BI301" s="382"/>
      <c r="BJ301" s="382"/>
      <c r="BK301" s="382"/>
      <c r="BL301" s="382"/>
      <c r="BM301" s="382"/>
      <c r="BN301" s="382"/>
      <c r="BO301" s="382"/>
      <c r="BP301" s="382"/>
      <c r="BQ301" s="382"/>
      <c r="BR301" s="382"/>
      <c r="BS301" s="382"/>
      <c r="BT301" s="382"/>
      <c r="BU301" s="496"/>
      <c r="BV301" s="382"/>
      <c r="BW301" s="382"/>
      <c r="BX301" s="382"/>
      <c r="BY301" s="382"/>
      <c r="BZ301" s="382"/>
      <c r="CA301" s="382"/>
      <c r="CB301" s="382"/>
      <c r="CC301" s="382"/>
      <c r="CD301" s="382"/>
      <c r="CE301" s="382"/>
      <c r="CF301" s="382"/>
      <c r="CG301" s="382"/>
      <c r="CH301" s="382"/>
      <c r="CI301" s="382"/>
      <c r="CJ301" s="382"/>
      <c r="CK301" s="382"/>
      <c r="CL301" s="382"/>
      <c r="CM301" s="382"/>
      <c r="CN301" s="382"/>
      <c r="CO301" s="382"/>
      <c r="CP301" s="382"/>
      <c r="CQ301" s="382"/>
      <c r="CR301" s="382"/>
      <c r="CS301" s="382"/>
      <c r="CT301" s="382"/>
      <c r="CU301" s="382"/>
      <c r="CV301" s="382"/>
      <c r="CW301" s="189"/>
      <c r="CX301" s="382"/>
      <c r="CY301" s="382"/>
      <c r="CZ301" s="382"/>
      <c r="DA301" s="382"/>
      <c r="DB301" s="382"/>
      <c r="DC301" s="382"/>
      <c r="DD301" s="382"/>
      <c r="DE301" s="382"/>
      <c r="DF301" s="382"/>
      <c r="DG301" s="382"/>
      <c r="DH301" s="382"/>
      <c r="DI301" s="382"/>
      <c r="DJ301" s="382"/>
      <c r="DK301" s="382"/>
      <c r="DL301" s="382"/>
      <c r="DM301" s="382"/>
      <c r="DN301" s="382"/>
      <c r="DO301" s="382"/>
      <c r="DP301" s="382"/>
      <c r="DQ301" s="382"/>
      <c r="DR301" s="382"/>
      <c r="DS301" s="382"/>
      <c r="DT301" s="382"/>
      <c r="DU301" s="382"/>
      <c r="DV301" s="382"/>
      <c r="DW301" s="382"/>
      <c r="DX301" s="382"/>
      <c r="DY301" s="382"/>
      <c r="DZ301" s="228"/>
    </row>
    <row r="302" spans="4:130" s="180" customFormat="1" ht="14.25" customHeight="1" x14ac:dyDescent="0.2">
      <c r="D302" s="805"/>
      <c r="E302" s="805"/>
      <c r="F302" s="805"/>
      <c r="G302" s="805"/>
      <c r="H302" s="805"/>
      <c r="I302" s="805"/>
      <c r="J302" s="805"/>
      <c r="K302" s="805"/>
      <c r="L302" s="805"/>
      <c r="M302" s="805"/>
      <c r="N302" s="806"/>
      <c r="O302" s="805"/>
      <c r="P302" s="805"/>
      <c r="Q302" s="807"/>
      <c r="R302" s="807"/>
      <c r="S302" s="808"/>
      <c r="T302" s="805"/>
      <c r="U302" s="805"/>
      <c r="V302" s="805"/>
      <c r="W302" s="805"/>
      <c r="X302" s="805"/>
      <c r="Y302" s="297"/>
      <c r="AB302" s="382"/>
      <c r="AC302" s="382"/>
      <c r="AD302" s="496"/>
      <c r="AE302" s="382"/>
      <c r="AF302" s="382"/>
      <c r="AG302" s="382"/>
      <c r="AH302" s="382"/>
      <c r="AI302" s="382"/>
      <c r="AJ302" s="382"/>
      <c r="AK302" s="382"/>
      <c r="AL302" s="382"/>
      <c r="AM302" s="382"/>
      <c r="AN302" s="382"/>
      <c r="AO302" s="382"/>
      <c r="AP302" s="382"/>
      <c r="AQ302" s="382"/>
      <c r="AR302" s="382"/>
      <c r="AS302" s="382"/>
      <c r="AT302" s="382"/>
      <c r="AU302" s="382"/>
      <c r="AV302" s="382"/>
      <c r="AW302" s="382"/>
      <c r="AX302" s="382"/>
      <c r="AY302" s="382"/>
      <c r="AZ302" s="382"/>
      <c r="BA302" s="382"/>
      <c r="BB302" s="382"/>
      <c r="BC302" s="382"/>
      <c r="BD302" s="382"/>
      <c r="BE302" s="382"/>
      <c r="BF302" s="382"/>
      <c r="BG302" s="382"/>
      <c r="BH302" s="382"/>
      <c r="BI302" s="382"/>
      <c r="BJ302" s="382"/>
      <c r="BK302" s="382"/>
      <c r="BL302" s="382"/>
      <c r="BM302" s="382"/>
      <c r="BN302" s="382"/>
      <c r="BO302" s="382"/>
      <c r="BP302" s="382"/>
      <c r="BQ302" s="382"/>
      <c r="BR302" s="382"/>
      <c r="BS302" s="382"/>
      <c r="BT302" s="382"/>
      <c r="BU302" s="496"/>
      <c r="BV302" s="382"/>
      <c r="BW302" s="382"/>
      <c r="BX302" s="382"/>
      <c r="BY302" s="382"/>
      <c r="BZ302" s="382"/>
      <c r="CA302" s="382"/>
      <c r="CB302" s="382"/>
      <c r="CC302" s="382"/>
      <c r="CD302" s="382"/>
      <c r="CE302" s="382"/>
      <c r="CF302" s="382"/>
      <c r="CG302" s="382"/>
      <c r="CH302" s="382"/>
      <c r="CI302" s="382"/>
      <c r="CJ302" s="382"/>
      <c r="CK302" s="382"/>
      <c r="CL302" s="382"/>
      <c r="CM302" s="382"/>
      <c r="CN302" s="382"/>
      <c r="CO302" s="382"/>
      <c r="CP302" s="382"/>
      <c r="CQ302" s="382"/>
      <c r="CR302" s="382"/>
      <c r="CS302" s="382"/>
      <c r="CT302" s="382"/>
      <c r="CU302" s="382"/>
      <c r="CV302" s="382"/>
      <c r="CW302" s="189"/>
      <c r="CX302" s="382"/>
      <c r="CY302" s="382"/>
      <c r="CZ302" s="382"/>
      <c r="DA302" s="382"/>
      <c r="DB302" s="382"/>
      <c r="DC302" s="382"/>
      <c r="DD302" s="382"/>
      <c r="DE302" s="382"/>
      <c r="DF302" s="382"/>
      <c r="DG302" s="382"/>
      <c r="DH302" s="382"/>
      <c r="DI302" s="382"/>
      <c r="DJ302" s="382"/>
      <c r="DK302" s="382"/>
      <c r="DL302" s="382"/>
      <c r="DM302" s="382"/>
      <c r="DN302" s="382"/>
      <c r="DO302" s="382"/>
      <c r="DP302" s="382"/>
      <c r="DQ302" s="382"/>
      <c r="DR302" s="382"/>
      <c r="DS302" s="382"/>
      <c r="DT302" s="382"/>
      <c r="DU302" s="382"/>
      <c r="DV302" s="382"/>
      <c r="DW302" s="382"/>
      <c r="DX302" s="382"/>
      <c r="DY302" s="382"/>
      <c r="DZ302" s="228"/>
    </row>
    <row r="303" spans="4:130" s="180" customFormat="1" ht="14.25" customHeight="1" x14ac:dyDescent="0.2">
      <c r="D303" s="805"/>
      <c r="E303" s="805"/>
      <c r="F303" s="805"/>
      <c r="G303" s="805"/>
      <c r="H303" s="805"/>
      <c r="I303" s="805"/>
      <c r="J303" s="805"/>
      <c r="K303" s="805"/>
      <c r="L303" s="805"/>
      <c r="M303" s="805"/>
      <c r="N303" s="806"/>
      <c r="O303" s="805"/>
      <c r="P303" s="805"/>
      <c r="Q303" s="807"/>
      <c r="R303" s="807"/>
      <c r="S303" s="808"/>
      <c r="T303" s="805"/>
      <c r="U303" s="805"/>
      <c r="V303" s="805"/>
      <c r="W303" s="805"/>
      <c r="X303" s="805"/>
      <c r="Y303" s="297"/>
      <c r="AB303" s="382"/>
      <c r="AC303" s="382"/>
      <c r="AD303" s="496"/>
      <c r="AE303" s="382"/>
      <c r="AF303" s="382"/>
      <c r="AG303" s="382"/>
      <c r="AH303" s="382"/>
      <c r="AI303" s="382"/>
      <c r="AJ303" s="382"/>
      <c r="AK303" s="382"/>
      <c r="AL303" s="382"/>
      <c r="AM303" s="382"/>
      <c r="AN303" s="382"/>
      <c r="AO303" s="382"/>
      <c r="AP303" s="382"/>
      <c r="AQ303" s="382"/>
      <c r="AR303" s="382"/>
      <c r="AS303" s="382"/>
      <c r="AT303" s="382"/>
      <c r="AU303" s="382"/>
      <c r="AV303" s="382"/>
      <c r="AW303" s="382"/>
      <c r="AX303" s="382"/>
      <c r="AY303" s="382"/>
      <c r="AZ303" s="382"/>
      <c r="BA303" s="382"/>
      <c r="BB303" s="382"/>
      <c r="BC303" s="382"/>
      <c r="BD303" s="382"/>
      <c r="BE303" s="382"/>
      <c r="BF303" s="382"/>
      <c r="BG303" s="382"/>
      <c r="BH303" s="382"/>
      <c r="BI303" s="382"/>
      <c r="BJ303" s="382"/>
      <c r="BK303" s="382"/>
      <c r="BL303" s="382"/>
      <c r="BM303" s="382"/>
      <c r="BN303" s="382"/>
      <c r="BO303" s="382"/>
      <c r="BP303" s="382"/>
      <c r="BQ303" s="382"/>
      <c r="BR303" s="382"/>
      <c r="BS303" s="382"/>
      <c r="BT303" s="382"/>
      <c r="BU303" s="496"/>
      <c r="BV303" s="382"/>
      <c r="BW303" s="382"/>
      <c r="BX303" s="382"/>
      <c r="BY303" s="382"/>
      <c r="BZ303" s="382"/>
      <c r="CA303" s="382"/>
      <c r="CB303" s="382"/>
      <c r="CC303" s="382"/>
      <c r="CD303" s="382"/>
      <c r="CE303" s="382"/>
      <c r="CF303" s="382"/>
      <c r="CG303" s="382"/>
      <c r="CH303" s="382"/>
      <c r="CI303" s="382"/>
      <c r="CJ303" s="382"/>
      <c r="CK303" s="382"/>
      <c r="CL303" s="382"/>
      <c r="CM303" s="382"/>
      <c r="CN303" s="382"/>
      <c r="CO303" s="382"/>
      <c r="CP303" s="382"/>
      <c r="CQ303" s="382"/>
      <c r="CR303" s="382"/>
      <c r="CS303" s="382"/>
      <c r="CT303" s="382"/>
      <c r="CU303" s="382"/>
      <c r="CV303" s="382"/>
      <c r="CW303" s="189"/>
      <c r="CX303" s="382"/>
      <c r="CY303" s="382"/>
      <c r="CZ303" s="382"/>
      <c r="DA303" s="382"/>
      <c r="DB303" s="382"/>
      <c r="DC303" s="382"/>
      <c r="DD303" s="382"/>
      <c r="DE303" s="382"/>
      <c r="DF303" s="382"/>
      <c r="DG303" s="382"/>
      <c r="DH303" s="382"/>
      <c r="DI303" s="382"/>
      <c r="DJ303" s="382"/>
      <c r="DK303" s="382"/>
      <c r="DL303" s="382"/>
      <c r="DM303" s="382"/>
      <c r="DN303" s="382"/>
      <c r="DO303" s="382"/>
      <c r="DP303" s="382"/>
      <c r="DQ303" s="382"/>
      <c r="DR303" s="382"/>
      <c r="DS303" s="382"/>
      <c r="DT303" s="382"/>
      <c r="DU303" s="382"/>
      <c r="DV303" s="382"/>
      <c r="DW303" s="382"/>
      <c r="DX303" s="382"/>
      <c r="DY303" s="382"/>
      <c r="DZ303" s="228"/>
    </row>
    <row r="304" spans="4:130" s="180" customFormat="1" ht="13.7" customHeight="1" x14ac:dyDescent="0.2">
      <c r="D304" s="800"/>
      <c r="E304" s="800"/>
      <c r="F304" s="800"/>
      <c r="G304" s="800"/>
      <c r="H304" s="800"/>
      <c r="I304" s="800"/>
      <c r="J304" s="800"/>
      <c r="K304" s="800"/>
      <c r="L304" s="800"/>
      <c r="M304" s="800"/>
      <c r="N304" s="800"/>
      <c r="O304" s="800"/>
      <c r="P304" s="800"/>
      <c r="Q304" s="800"/>
      <c r="R304" s="800"/>
      <c r="S304" s="809"/>
      <c r="T304" s="800"/>
      <c r="U304" s="800"/>
      <c r="V304" s="800"/>
      <c r="W304" s="800"/>
      <c r="X304" s="800"/>
      <c r="Y304" s="800"/>
      <c r="Z304" s="800"/>
      <c r="AA304" s="800"/>
      <c r="AB304" s="800"/>
      <c r="AC304" s="800"/>
      <c r="AD304" s="800"/>
      <c r="AE304" s="382"/>
      <c r="AF304" s="382"/>
      <c r="AG304" s="382"/>
      <c r="AH304" s="382"/>
      <c r="AI304" s="382"/>
      <c r="AJ304" s="382"/>
      <c r="AK304" s="382"/>
      <c r="AL304" s="382"/>
      <c r="AM304" s="382"/>
      <c r="AN304" s="382"/>
      <c r="AO304" s="382"/>
      <c r="AP304" s="382"/>
      <c r="AQ304" s="382"/>
      <c r="AR304" s="382"/>
      <c r="AS304" s="382"/>
      <c r="AT304" s="382"/>
      <c r="AU304" s="382"/>
      <c r="AV304" s="382"/>
      <c r="AW304" s="382"/>
      <c r="AX304" s="382"/>
      <c r="AY304" s="382"/>
      <c r="AZ304" s="382"/>
      <c r="BA304" s="382"/>
      <c r="BB304" s="382"/>
      <c r="BC304" s="382"/>
      <c r="BD304" s="382"/>
      <c r="BE304" s="382"/>
      <c r="BF304" s="382"/>
      <c r="BG304" s="382"/>
      <c r="BH304" s="382"/>
      <c r="BI304" s="382"/>
      <c r="BJ304" s="382"/>
      <c r="BK304" s="382"/>
      <c r="BL304" s="382"/>
      <c r="BM304" s="382"/>
      <c r="BN304" s="382"/>
      <c r="BO304" s="382"/>
      <c r="BP304" s="382"/>
      <c r="BQ304" s="382"/>
      <c r="BR304" s="382"/>
      <c r="BS304" s="382"/>
      <c r="BT304" s="382"/>
      <c r="BU304" s="496"/>
      <c r="BV304" s="382"/>
      <c r="BW304" s="382"/>
      <c r="BX304" s="382"/>
      <c r="BY304" s="382"/>
      <c r="BZ304" s="382"/>
      <c r="CA304" s="382"/>
      <c r="CB304" s="382"/>
      <c r="CC304" s="382"/>
      <c r="CD304" s="382"/>
      <c r="CE304" s="382"/>
      <c r="CF304" s="382"/>
      <c r="CG304" s="382"/>
      <c r="CH304" s="382"/>
      <c r="CI304" s="382"/>
      <c r="CJ304" s="382"/>
      <c r="CK304" s="382"/>
      <c r="CL304" s="382"/>
      <c r="CM304" s="382"/>
      <c r="CN304" s="382"/>
      <c r="CO304" s="382"/>
      <c r="CP304" s="382"/>
      <c r="CQ304" s="382"/>
      <c r="CR304" s="382"/>
      <c r="CS304" s="382"/>
      <c r="CT304" s="382"/>
      <c r="CU304" s="382"/>
      <c r="CV304" s="382"/>
      <c r="CW304" s="189"/>
      <c r="CX304" s="382"/>
      <c r="CY304" s="382"/>
      <c r="CZ304" s="382"/>
      <c r="DA304" s="382"/>
      <c r="DB304" s="382"/>
      <c r="DC304" s="382"/>
      <c r="DD304" s="382"/>
      <c r="DE304" s="382"/>
      <c r="DF304" s="382"/>
      <c r="DG304" s="382"/>
      <c r="DH304" s="382"/>
      <c r="DI304" s="382"/>
      <c r="DJ304" s="382"/>
      <c r="DK304" s="382"/>
      <c r="DL304" s="382"/>
      <c r="DM304" s="382"/>
      <c r="DN304" s="382"/>
      <c r="DO304" s="382"/>
      <c r="DP304" s="382"/>
      <c r="DQ304" s="382"/>
      <c r="DR304" s="382"/>
      <c r="DS304" s="382"/>
      <c r="DT304" s="382"/>
      <c r="DU304" s="382"/>
      <c r="DV304" s="382"/>
      <c r="DW304" s="382"/>
      <c r="DX304" s="382"/>
      <c r="DY304" s="382"/>
      <c r="DZ304" s="228"/>
    </row>
    <row r="305" spans="2:130" s="180" customFormat="1" ht="14.25" customHeight="1" x14ac:dyDescent="0.2">
      <c r="D305" s="769"/>
      <c r="E305" s="810"/>
      <c r="F305" s="769"/>
      <c r="G305" s="769"/>
      <c r="H305" s="769"/>
      <c r="I305" s="769"/>
      <c r="J305" s="769"/>
      <c r="K305" s="769"/>
      <c r="L305" s="769"/>
      <c r="M305" s="769"/>
      <c r="N305" s="769"/>
      <c r="O305" s="769"/>
      <c r="P305" s="769"/>
      <c r="Q305" s="769"/>
      <c r="R305" s="769"/>
      <c r="S305" s="404"/>
      <c r="T305" s="769"/>
      <c r="U305" s="769"/>
      <c r="V305" s="769"/>
      <c r="W305" s="769"/>
      <c r="X305" s="769"/>
      <c r="Y305" s="769"/>
      <c r="Z305" s="769"/>
      <c r="AA305" s="769"/>
      <c r="AB305" s="769"/>
      <c r="AC305" s="769"/>
      <c r="AD305" s="769"/>
      <c r="AE305" s="382"/>
      <c r="AF305" s="382"/>
      <c r="AG305" s="382"/>
      <c r="AH305" s="382"/>
      <c r="AI305" s="382"/>
      <c r="AJ305" s="382"/>
      <c r="AK305" s="382"/>
      <c r="AL305" s="382"/>
      <c r="AM305" s="382"/>
      <c r="AN305" s="382"/>
      <c r="AO305" s="382"/>
      <c r="AP305" s="382"/>
      <c r="AQ305" s="382"/>
      <c r="AR305" s="382"/>
      <c r="AS305" s="382"/>
      <c r="AT305" s="382"/>
      <c r="AU305" s="382"/>
      <c r="AV305" s="382"/>
      <c r="AW305" s="382"/>
      <c r="AX305" s="382"/>
      <c r="AY305" s="382"/>
      <c r="AZ305" s="382"/>
      <c r="BA305" s="382"/>
      <c r="BB305" s="382"/>
      <c r="BC305" s="382"/>
      <c r="BD305" s="382"/>
      <c r="BE305" s="382"/>
      <c r="BF305" s="382"/>
      <c r="BG305" s="382"/>
      <c r="BH305" s="382"/>
      <c r="BI305" s="382"/>
      <c r="BJ305" s="382"/>
      <c r="BK305" s="382"/>
      <c r="BL305" s="382"/>
      <c r="BM305" s="382"/>
      <c r="BN305" s="382"/>
      <c r="BO305" s="382"/>
      <c r="BP305" s="382"/>
      <c r="BQ305" s="382"/>
      <c r="BR305" s="382"/>
      <c r="BS305" s="382"/>
      <c r="BT305" s="382"/>
      <c r="BU305" s="496"/>
      <c r="BV305" s="382"/>
      <c r="BW305" s="382"/>
      <c r="BX305" s="382"/>
      <c r="BY305" s="382"/>
      <c r="BZ305" s="382"/>
      <c r="CA305" s="382"/>
      <c r="CB305" s="382"/>
      <c r="CC305" s="382"/>
      <c r="CD305" s="382"/>
      <c r="CE305" s="382"/>
      <c r="CF305" s="382"/>
      <c r="CG305" s="382"/>
      <c r="CH305" s="382"/>
      <c r="CI305" s="382"/>
      <c r="CJ305" s="382"/>
      <c r="CK305" s="382"/>
      <c r="CL305" s="382"/>
      <c r="CM305" s="382"/>
      <c r="CN305" s="382"/>
      <c r="CO305" s="382"/>
      <c r="CP305" s="382"/>
      <c r="CQ305" s="382"/>
      <c r="CR305" s="382"/>
      <c r="CS305" s="382"/>
      <c r="CT305" s="382"/>
      <c r="CU305" s="382"/>
      <c r="CV305" s="382"/>
      <c r="CW305" s="189"/>
      <c r="CX305" s="382"/>
      <c r="CY305" s="382"/>
      <c r="CZ305" s="382"/>
      <c r="DA305" s="382"/>
      <c r="DB305" s="382"/>
      <c r="DC305" s="382"/>
      <c r="DD305" s="382"/>
      <c r="DE305" s="382"/>
      <c r="DF305" s="382"/>
      <c r="DG305" s="382"/>
      <c r="DH305" s="382"/>
      <c r="DI305" s="382"/>
      <c r="DJ305" s="382"/>
      <c r="DK305" s="382"/>
      <c r="DL305" s="382"/>
      <c r="DM305" s="382"/>
      <c r="DN305" s="382"/>
      <c r="DO305" s="382"/>
      <c r="DP305" s="382"/>
      <c r="DQ305" s="382"/>
      <c r="DR305" s="382"/>
      <c r="DS305" s="382"/>
      <c r="DT305" s="382"/>
      <c r="DU305" s="382"/>
      <c r="DV305" s="382"/>
      <c r="DW305" s="382"/>
      <c r="DX305" s="382"/>
      <c r="DY305" s="382"/>
      <c r="DZ305" s="228"/>
    </row>
    <row r="306" spans="2:130" s="180" customFormat="1" ht="14.25" customHeight="1" x14ac:dyDescent="0.2">
      <c r="D306" s="769"/>
      <c r="E306" s="769"/>
      <c r="F306" s="769"/>
      <c r="G306" s="769"/>
      <c r="H306" s="769"/>
      <c r="I306" s="769"/>
      <c r="J306" s="769"/>
      <c r="K306" s="769"/>
      <c r="L306" s="769"/>
      <c r="M306" s="769"/>
      <c r="N306" s="769"/>
      <c r="O306" s="769"/>
      <c r="P306" s="769"/>
      <c r="Q306" s="769"/>
      <c r="R306" s="769"/>
      <c r="S306" s="404"/>
      <c r="T306" s="769"/>
      <c r="U306" s="769"/>
      <c r="V306" s="769"/>
      <c r="W306" s="769"/>
      <c r="X306" s="769"/>
      <c r="Y306" s="769"/>
      <c r="Z306" s="769"/>
      <c r="AA306" s="769"/>
      <c r="AB306" s="769"/>
      <c r="AC306" s="769"/>
      <c r="AD306" s="769"/>
      <c r="AE306" s="382"/>
      <c r="AF306" s="382"/>
      <c r="AG306" s="382"/>
      <c r="AH306" s="382"/>
      <c r="AI306" s="382"/>
      <c r="AJ306" s="382"/>
      <c r="AK306" s="382"/>
      <c r="AL306" s="382"/>
      <c r="AM306" s="382"/>
      <c r="AN306" s="382"/>
      <c r="AO306" s="382"/>
      <c r="AP306" s="382"/>
      <c r="AQ306" s="382"/>
      <c r="AR306" s="382"/>
      <c r="AS306" s="382"/>
      <c r="AT306" s="382"/>
      <c r="AU306" s="382"/>
      <c r="AV306" s="382"/>
      <c r="AW306" s="382"/>
      <c r="AX306" s="382"/>
      <c r="AY306" s="382"/>
      <c r="AZ306" s="382"/>
      <c r="BA306" s="382"/>
      <c r="BB306" s="382"/>
      <c r="BC306" s="382"/>
      <c r="BD306" s="382"/>
      <c r="BE306" s="382"/>
      <c r="BF306" s="382"/>
      <c r="BG306" s="382"/>
      <c r="BH306" s="382"/>
      <c r="BI306" s="382"/>
      <c r="BJ306" s="382"/>
      <c r="BK306" s="382"/>
      <c r="BL306" s="382"/>
      <c r="BM306" s="382"/>
      <c r="BN306" s="382"/>
      <c r="BO306" s="382"/>
      <c r="BP306" s="382"/>
      <c r="BQ306" s="382"/>
      <c r="BR306" s="382"/>
      <c r="BS306" s="382"/>
      <c r="BT306" s="382"/>
      <c r="BU306" s="496"/>
      <c r="BV306" s="382"/>
      <c r="BW306" s="382"/>
      <c r="BX306" s="382"/>
      <c r="BY306" s="382"/>
      <c r="BZ306" s="382"/>
      <c r="CA306" s="382"/>
      <c r="CB306" s="382"/>
      <c r="CC306" s="382"/>
      <c r="CD306" s="382"/>
      <c r="CE306" s="382"/>
      <c r="CF306" s="382"/>
      <c r="CG306" s="382"/>
      <c r="CH306" s="382"/>
      <c r="CI306" s="382"/>
      <c r="CJ306" s="382"/>
      <c r="CK306" s="382"/>
      <c r="CL306" s="382"/>
      <c r="CM306" s="382"/>
      <c r="CN306" s="382"/>
      <c r="CO306" s="382"/>
      <c r="CP306" s="382"/>
      <c r="CQ306" s="382"/>
      <c r="CR306" s="382"/>
      <c r="CS306" s="382"/>
      <c r="CT306" s="382"/>
      <c r="CU306" s="382"/>
      <c r="CV306" s="382"/>
      <c r="CW306" s="189"/>
      <c r="CX306" s="382"/>
      <c r="CY306" s="382"/>
      <c r="CZ306" s="382"/>
      <c r="DA306" s="382"/>
      <c r="DB306" s="382"/>
      <c r="DC306" s="382"/>
      <c r="DD306" s="382"/>
      <c r="DE306" s="382"/>
      <c r="DF306" s="382"/>
      <c r="DG306" s="382"/>
      <c r="DH306" s="382"/>
      <c r="DI306" s="382"/>
      <c r="DJ306" s="382"/>
      <c r="DK306" s="382"/>
      <c r="DL306" s="382"/>
      <c r="DM306" s="382"/>
      <c r="DN306" s="382"/>
      <c r="DO306" s="382"/>
      <c r="DP306" s="382"/>
      <c r="DQ306" s="382"/>
      <c r="DR306" s="382"/>
      <c r="DS306" s="382"/>
      <c r="DT306" s="382"/>
      <c r="DU306" s="382"/>
      <c r="DV306" s="382"/>
      <c r="DW306" s="382"/>
      <c r="DX306" s="382"/>
      <c r="DY306" s="382"/>
      <c r="DZ306" s="228"/>
    </row>
    <row r="307" spans="2:130" s="180" customFormat="1" ht="14.25" customHeight="1" x14ac:dyDescent="0.2">
      <c r="D307" s="805"/>
      <c r="E307" s="805"/>
      <c r="F307" s="805"/>
      <c r="G307" s="805"/>
      <c r="H307" s="805"/>
      <c r="I307" s="811"/>
      <c r="J307" s="812"/>
      <c r="K307" s="811"/>
      <c r="L307" s="812"/>
      <c r="M307" s="811"/>
      <c r="N307" s="812"/>
      <c r="O307" s="811"/>
      <c r="P307" s="813"/>
      <c r="Q307" s="811"/>
      <c r="R307" s="811"/>
      <c r="S307" s="814"/>
      <c r="T307" s="811"/>
      <c r="U307" s="813"/>
      <c r="V307" s="811"/>
      <c r="W307" s="813"/>
      <c r="X307" s="811"/>
      <c r="Y307" s="813"/>
      <c r="Z307" s="811"/>
      <c r="AA307" s="813"/>
      <c r="AB307" s="811"/>
      <c r="AC307" s="813"/>
      <c r="AD307" s="811"/>
      <c r="AE307" s="815"/>
      <c r="AF307" s="811"/>
      <c r="AG307" s="815"/>
      <c r="AH307" s="382"/>
      <c r="AI307" s="382"/>
      <c r="AJ307" s="382"/>
      <c r="AK307" s="382"/>
      <c r="AL307" s="382"/>
      <c r="AM307" s="382"/>
      <c r="AN307" s="382"/>
      <c r="AO307" s="382"/>
      <c r="AP307" s="382"/>
      <c r="AQ307" s="382"/>
      <c r="AR307" s="382"/>
      <c r="AS307" s="382"/>
      <c r="AT307" s="382"/>
      <c r="AU307" s="382"/>
      <c r="AV307" s="382"/>
      <c r="AW307" s="382"/>
      <c r="AX307" s="382"/>
      <c r="AY307" s="382"/>
      <c r="AZ307" s="382"/>
      <c r="BA307" s="382"/>
      <c r="BB307" s="382"/>
      <c r="BC307" s="382"/>
      <c r="BD307" s="382"/>
      <c r="BE307" s="382"/>
      <c r="BF307" s="382"/>
      <c r="BG307" s="382"/>
      <c r="BH307" s="382"/>
      <c r="BI307" s="382"/>
      <c r="BJ307" s="382"/>
      <c r="BK307" s="382"/>
      <c r="BL307" s="382"/>
      <c r="BM307" s="382"/>
      <c r="BN307" s="382"/>
      <c r="BO307" s="382"/>
      <c r="BP307" s="382"/>
      <c r="BQ307" s="382"/>
      <c r="BR307" s="382"/>
      <c r="BS307" s="382"/>
      <c r="BT307" s="382"/>
      <c r="BU307" s="496"/>
      <c r="BV307" s="382"/>
      <c r="BW307" s="382"/>
      <c r="BX307" s="382"/>
      <c r="BY307" s="382"/>
      <c r="BZ307" s="382"/>
      <c r="CA307" s="382"/>
      <c r="CB307" s="382"/>
      <c r="CC307" s="382"/>
      <c r="CD307" s="382"/>
      <c r="CE307" s="382"/>
      <c r="CF307" s="382"/>
      <c r="CG307" s="382"/>
      <c r="CH307" s="382"/>
      <c r="CI307" s="382"/>
      <c r="CJ307" s="382"/>
      <c r="CK307" s="382"/>
      <c r="CL307" s="382"/>
      <c r="CM307" s="382"/>
      <c r="CN307" s="382"/>
      <c r="CO307" s="382"/>
      <c r="CP307" s="382"/>
      <c r="CQ307" s="382"/>
      <c r="CR307" s="382"/>
      <c r="CS307" s="382"/>
      <c r="CT307" s="382"/>
      <c r="CU307" s="382"/>
      <c r="CV307" s="382"/>
      <c r="CW307" s="189"/>
      <c r="CX307" s="382"/>
      <c r="CY307" s="382"/>
      <c r="CZ307" s="382"/>
      <c r="DA307" s="382"/>
      <c r="DB307" s="382"/>
      <c r="DC307" s="382"/>
      <c r="DD307" s="382"/>
      <c r="DE307" s="382"/>
      <c r="DF307" s="382"/>
      <c r="DG307" s="382"/>
      <c r="DH307" s="382"/>
      <c r="DI307" s="382"/>
      <c r="DJ307" s="382"/>
      <c r="DK307" s="382"/>
      <c r="DL307" s="382"/>
      <c r="DM307" s="382"/>
      <c r="DN307" s="382"/>
      <c r="DO307" s="382"/>
      <c r="DP307" s="382"/>
      <c r="DQ307" s="382"/>
      <c r="DR307" s="382"/>
      <c r="DS307" s="382"/>
      <c r="DT307" s="382"/>
      <c r="DU307" s="382"/>
      <c r="DV307" s="382"/>
      <c r="DW307" s="382"/>
      <c r="DX307" s="382"/>
      <c r="DY307" s="382"/>
      <c r="DZ307" s="228"/>
    </row>
    <row r="308" spans="2:130" s="180" customFormat="1" ht="14.25" customHeight="1" x14ac:dyDescent="0.2">
      <c r="D308" s="805"/>
      <c r="E308" s="805"/>
      <c r="F308" s="805"/>
      <c r="G308" s="805"/>
      <c r="H308" s="805"/>
      <c r="I308" s="816"/>
      <c r="J308" s="817"/>
      <c r="K308" s="816"/>
      <c r="L308" s="818"/>
      <c r="M308" s="816"/>
      <c r="N308" s="818"/>
      <c r="O308" s="816"/>
      <c r="P308" s="817"/>
      <c r="Q308" s="816"/>
      <c r="R308" s="816"/>
      <c r="S308" s="189"/>
      <c r="T308" s="816"/>
      <c r="U308" s="817"/>
      <c r="V308" s="816"/>
      <c r="W308" s="817"/>
      <c r="X308" s="816"/>
      <c r="Y308" s="817"/>
      <c r="Z308" s="816"/>
      <c r="AA308" s="817"/>
      <c r="AB308" s="816"/>
      <c r="AC308" s="817"/>
      <c r="AD308" s="816"/>
      <c r="AE308" s="817"/>
      <c r="AF308" s="816"/>
      <c r="AG308" s="817"/>
      <c r="AH308" s="382"/>
      <c r="AI308" s="382"/>
      <c r="AJ308" s="382"/>
      <c r="AK308" s="382"/>
      <c r="AL308" s="382"/>
      <c r="AM308" s="382"/>
      <c r="AN308" s="382"/>
      <c r="AO308" s="382"/>
      <c r="AP308" s="382"/>
      <c r="AQ308" s="382"/>
      <c r="AR308" s="382"/>
      <c r="AS308" s="382"/>
      <c r="AT308" s="382"/>
      <c r="AU308" s="382"/>
      <c r="AV308" s="382"/>
      <c r="AW308" s="382"/>
      <c r="AX308" s="382"/>
      <c r="AY308" s="382"/>
      <c r="AZ308" s="382"/>
      <c r="BA308" s="382"/>
      <c r="BB308" s="382"/>
      <c r="BC308" s="382"/>
      <c r="BD308" s="382"/>
      <c r="BE308" s="382"/>
      <c r="BF308" s="382"/>
      <c r="BG308" s="382"/>
      <c r="BH308" s="382"/>
      <c r="BI308" s="382"/>
      <c r="BJ308" s="382"/>
      <c r="BK308" s="382"/>
      <c r="BL308" s="382"/>
      <c r="BM308" s="382"/>
      <c r="BN308" s="382"/>
      <c r="BO308" s="382"/>
      <c r="BP308" s="382"/>
      <c r="BQ308" s="382"/>
      <c r="BR308" s="382"/>
      <c r="BS308" s="382"/>
      <c r="BT308" s="382"/>
      <c r="BU308" s="496"/>
      <c r="BV308" s="382"/>
      <c r="BW308" s="382"/>
      <c r="BX308" s="382"/>
      <c r="BY308" s="382"/>
      <c r="BZ308" s="382"/>
      <c r="CA308" s="382"/>
      <c r="CB308" s="382"/>
      <c r="CC308" s="382"/>
      <c r="CD308" s="382"/>
      <c r="CE308" s="382"/>
      <c r="CF308" s="382"/>
      <c r="CG308" s="382"/>
      <c r="CH308" s="382"/>
      <c r="CI308" s="382"/>
      <c r="CJ308" s="382"/>
      <c r="CK308" s="382"/>
      <c r="CL308" s="382"/>
      <c r="CM308" s="382"/>
      <c r="CN308" s="382"/>
      <c r="CO308" s="382"/>
      <c r="CP308" s="382"/>
      <c r="CQ308" s="382"/>
      <c r="CR308" s="382"/>
      <c r="CS308" s="382"/>
      <c r="CT308" s="382"/>
      <c r="CU308" s="382"/>
      <c r="CV308" s="382"/>
      <c r="CW308" s="189"/>
      <c r="CX308" s="382"/>
      <c r="CY308" s="382"/>
      <c r="CZ308" s="382"/>
      <c r="DA308" s="382"/>
      <c r="DB308" s="382"/>
      <c r="DC308" s="382"/>
      <c r="DD308" s="382"/>
      <c r="DE308" s="382"/>
      <c r="DF308" s="382"/>
      <c r="DG308" s="382"/>
      <c r="DH308" s="382"/>
      <c r="DI308" s="382"/>
      <c r="DJ308" s="382"/>
      <c r="DK308" s="382"/>
      <c r="DL308" s="382"/>
      <c r="DM308" s="382"/>
      <c r="DN308" s="382"/>
      <c r="DO308" s="382"/>
      <c r="DP308" s="382"/>
      <c r="DQ308" s="382"/>
      <c r="DR308" s="382"/>
      <c r="DS308" s="382"/>
      <c r="DT308" s="382"/>
      <c r="DU308" s="382"/>
      <c r="DV308" s="382"/>
      <c r="DW308" s="382"/>
      <c r="DX308" s="382"/>
      <c r="DY308" s="382"/>
      <c r="DZ308" s="228"/>
    </row>
    <row r="309" spans="2:130" s="180" customFormat="1" ht="14.25" customHeight="1" x14ac:dyDescent="0.2">
      <c r="D309" s="805"/>
      <c r="E309" s="805"/>
      <c r="F309" s="805"/>
      <c r="G309" s="805"/>
      <c r="H309" s="805"/>
      <c r="I309" s="816"/>
      <c r="J309" s="817"/>
      <c r="K309" s="816"/>
      <c r="L309" s="817"/>
      <c r="M309" s="816"/>
      <c r="N309" s="817"/>
      <c r="O309" s="816"/>
      <c r="P309" s="817"/>
      <c r="Q309" s="816"/>
      <c r="R309" s="816"/>
      <c r="S309" s="189"/>
      <c r="T309" s="816"/>
      <c r="U309" s="817"/>
      <c r="V309" s="816"/>
      <c r="W309" s="817"/>
      <c r="X309" s="816"/>
      <c r="Y309" s="817"/>
      <c r="Z309" s="816"/>
      <c r="AA309" s="817"/>
      <c r="AB309" s="816"/>
      <c r="AC309" s="817"/>
      <c r="AD309" s="816"/>
      <c r="AE309" s="817"/>
      <c r="AF309" s="816"/>
      <c r="AG309" s="817"/>
      <c r="AH309" s="382"/>
      <c r="AI309" s="382"/>
      <c r="AJ309" s="382"/>
      <c r="AK309" s="382"/>
      <c r="AL309" s="382"/>
      <c r="AM309" s="382"/>
      <c r="AN309" s="382"/>
      <c r="AO309" s="382"/>
      <c r="AP309" s="382"/>
      <c r="AQ309" s="382"/>
      <c r="AR309" s="382"/>
      <c r="AS309" s="382"/>
      <c r="AT309" s="382"/>
      <c r="AU309" s="382"/>
      <c r="AV309" s="382"/>
      <c r="AW309" s="382"/>
      <c r="AX309" s="382"/>
      <c r="AY309" s="382"/>
      <c r="AZ309" s="382"/>
      <c r="BA309" s="382"/>
      <c r="BB309" s="382"/>
      <c r="BC309" s="382"/>
      <c r="BD309" s="382"/>
      <c r="BE309" s="382"/>
      <c r="BF309" s="382"/>
      <c r="BG309" s="382"/>
      <c r="BH309" s="382"/>
      <c r="BI309" s="382"/>
      <c r="BJ309" s="382"/>
      <c r="BK309" s="382"/>
      <c r="BL309" s="382"/>
      <c r="BM309" s="382"/>
      <c r="BN309" s="382"/>
      <c r="BO309" s="382"/>
      <c r="BP309" s="382"/>
      <c r="BQ309" s="382"/>
      <c r="BR309" s="382"/>
      <c r="BS309" s="382"/>
      <c r="BT309" s="382"/>
      <c r="BU309" s="496"/>
      <c r="BV309" s="382"/>
      <c r="BW309" s="382"/>
      <c r="BX309" s="382"/>
      <c r="BY309" s="382"/>
      <c r="BZ309" s="382"/>
      <c r="CA309" s="382"/>
      <c r="CB309" s="382"/>
      <c r="CC309" s="382"/>
      <c r="CD309" s="382"/>
      <c r="CE309" s="382"/>
      <c r="CF309" s="382"/>
      <c r="CG309" s="382"/>
      <c r="CH309" s="382"/>
      <c r="CI309" s="382"/>
      <c r="CJ309" s="382"/>
      <c r="CK309" s="382"/>
      <c r="CL309" s="382"/>
      <c r="CM309" s="382"/>
      <c r="CN309" s="382"/>
      <c r="CO309" s="382"/>
      <c r="CP309" s="382"/>
      <c r="CQ309" s="382"/>
      <c r="CR309" s="382"/>
      <c r="CS309" s="382"/>
      <c r="CT309" s="382"/>
      <c r="CU309" s="382"/>
      <c r="CV309" s="382"/>
      <c r="CW309" s="189"/>
      <c r="CX309" s="382"/>
      <c r="CY309" s="382"/>
      <c r="CZ309" s="382"/>
      <c r="DA309" s="382"/>
      <c r="DB309" s="382"/>
      <c r="DC309" s="382"/>
      <c r="DD309" s="382"/>
      <c r="DE309" s="382"/>
      <c r="DF309" s="382"/>
      <c r="DG309" s="382"/>
      <c r="DH309" s="382"/>
      <c r="DI309" s="382"/>
      <c r="DJ309" s="382"/>
      <c r="DK309" s="382"/>
      <c r="DL309" s="382"/>
      <c r="DM309" s="382"/>
      <c r="DN309" s="382"/>
      <c r="DO309" s="382"/>
      <c r="DP309" s="382"/>
      <c r="DQ309" s="382"/>
      <c r="DR309" s="382"/>
      <c r="DS309" s="382"/>
      <c r="DT309" s="382"/>
      <c r="DU309" s="382"/>
      <c r="DV309" s="382"/>
      <c r="DW309" s="382"/>
      <c r="DX309" s="382"/>
      <c r="DY309" s="382"/>
      <c r="DZ309" s="228"/>
    </row>
    <row r="310" spans="2:130" s="180" customFormat="1" ht="14.25" customHeight="1" x14ac:dyDescent="0.2">
      <c r="D310" s="805"/>
      <c r="E310" s="805"/>
      <c r="F310" s="805"/>
      <c r="G310" s="805"/>
      <c r="H310" s="805"/>
      <c r="I310" s="819"/>
      <c r="J310" s="817"/>
      <c r="K310" s="819"/>
      <c r="L310" s="817"/>
      <c r="M310" s="819"/>
      <c r="N310" s="817"/>
      <c r="O310" s="819"/>
      <c r="P310" s="817"/>
      <c r="Q310" s="819"/>
      <c r="R310" s="819"/>
      <c r="S310" s="189"/>
      <c r="T310" s="819"/>
      <c r="U310" s="817"/>
      <c r="V310" s="819"/>
      <c r="W310" s="817"/>
      <c r="X310" s="819"/>
      <c r="Y310" s="817"/>
      <c r="Z310" s="819"/>
      <c r="AA310" s="817"/>
      <c r="AB310" s="819"/>
      <c r="AC310" s="817"/>
      <c r="AD310" s="819"/>
      <c r="AE310" s="817"/>
      <c r="AF310" s="819"/>
      <c r="AG310" s="817"/>
      <c r="AH310" s="382"/>
      <c r="AI310" s="382"/>
      <c r="AJ310" s="382"/>
      <c r="AK310" s="382"/>
      <c r="AL310" s="382"/>
      <c r="AM310" s="382"/>
      <c r="AN310" s="382"/>
      <c r="AO310" s="382"/>
      <c r="AP310" s="382"/>
      <c r="AQ310" s="382"/>
      <c r="AR310" s="382"/>
      <c r="AS310" s="382"/>
      <c r="AT310" s="382"/>
      <c r="AU310" s="382"/>
      <c r="AV310" s="382"/>
      <c r="AW310" s="382"/>
      <c r="AX310" s="382"/>
      <c r="AY310" s="382"/>
      <c r="AZ310" s="382"/>
      <c r="BA310" s="382"/>
      <c r="BB310" s="382"/>
      <c r="BC310" s="382"/>
      <c r="BD310" s="382"/>
      <c r="BE310" s="382"/>
      <c r="BF310" s="382"/>
      <c r="BG310" s="382"/>
      <c r="BH310" s="382"/>
      <c r="BI310" s="382"/>
      <c r="BJ310" s="382"/>
      <c r="BK310" s="382"/>
      <c r="BL310" s="382"/>
      <c r="BM310" s="382"/>
      <c r="BN310" s="382"/>
      <c r="BO310" s="382"/>
      <c r="BP310" s="382"/>
      <c r="BQ310" s="382"/>
      <c r="BR310" s="382"/>
      <c r="BS310" s="382"/>
      <c r="BT310" s="382"/>
      <c r="BU310" s="496"/>
      <c r="BV310" s="382"/>
      <c r="BW310" s="382"/>
      <c r="BX310" s="382"/>
      <c r="BY310" s="382"/>
      <c r="BZ310" s="382"/>
      <c r="CA310" s="382"/>
      <c r="CB310" s="382"/>
      <c r="CC310" s="382"/>
      <c r="CD310" s="382"/>
      <c r="CE310" s="382"/>
      <c r="CF310" s="382"/>
      <c r="CG310" s="382"/>
      <c r="CH310" s="382"/>
      <c r="CI310" s="382"/>
      <c r="CJ310" s="382"/>
      <c r="CK310" s="382"/>
      <c r="CL310" s="382"/>
      <c r="CM310" s="382"/>
      <c r="CN310" s="382"/>
      <c r="CO310" s="382"/>
      <c r="CP310" s="382"/>
      <c r="CQ310" s="382"/>
      <c r="CR310" s="382"/>
      <c r="CS310" s="382"/>
      <c r="CT310" s="382"/>
      <c r="CU310" s="382"/>
      <c r="CV310" s="382"/>
      <c r="CW310" s="189"/>
      <c r="CX310" s="382"/>
      <c r="CY310" s="382"/>
      <c r="CZ310" s="382"/>
      <c r="DA310" s="382"/>
      <c r="DB310" s="382"/>
      <c r="DC310" s="382"/>
      <c r="DD310" s="382"/>
      <c r="DE310" s="382"/>
      <c r="DF310" s="382"/>
      <c r="DG310" s="382"/>
      <c r="DH310" s="382"/>
      <c r="DI310" s="382"/>
      <c r="DJ310" s="382"/>
      <c r="DK310" s="382"/>
      <c r="DL310" s="382"/>
      <c r="DM310" s="382"/>
      <c r="DN310" s="382"/>
      <c r="DO310" s="382"/>
      <c r="DP310" s="382"/>
      <c r="DQ310" s="382"/>
      <c r="DR310" s="382"/>
      <c r="DS310" s="382"/>
      <c r="DT310" s="382"/>
      <c r="DU310" s="382"/>
      <c r="DV310" s="382"/>
      <c r="DW310" s="382"/>
      <c r="DX310" s="382"/>
      <c r="DY310" s="382"/>
      <c r="DZ310" s="228"/>
    </row>
    <row r="311" spans="2:130" s="180" customFormat="1" ht="14.25" customHeight="1" x14ac:dyDescent="0.2">
      <c r="D311" s="805"/>
      <c r="E311" s="805"/>
      <c r="F311" s="805"/>
      <c r="G311" s="805"/>
      <c r="H311" s="805"/>
      <c r="I311" s="816"/>
      <c r="J311" s="817"/>
      <c r="K311" s="816"/>
      <c r="L311" s="817"/>
      <c r="M311" s="816"/>
      <c r="N311" s="817"/>
      <c r="O311" s="816"/>
      <c r="P311" s="817"/>
      <c r="Q311" s="816"/>
      <c r="R311" s="816"/>
      <c r="S311" s="189"/>
      <c r="T311" s="816"/>
      <c r="U311" s="817"/>
      <c r="V311" s="816"/>
      <c r="W311" s="817"/>
      <c r="X311" s="816"/>
      <c r="Y311" s="817"/>
      <c r="Z311" s="816"/>
      <c r="AA311" s="817"/>
      <c r="AB311" s="816"/>
      <c r="AC311" s="817"/>
      <c r="AD311" s="816"/>
      <c r="AE311" s="817"/>
      <c r="AF311" s="816"/>
      <c r="AG311" s="817"/>
      <c r="AH311" s="382"/>
      <c r="AI311" s="382"/>
      <c r="AJ311" s="382"/>
      <c r="AK311" s="382"/>
      <c r="AL311" s="382"/>
      <c r="AM311" s="382"/>
      <c r="AN311" s="382"/>
      <c r="AO311" s="382"/>
      <c r="AP311" s="382"/>
      <c r="AQ311" s="382"/>
      <c r="AR311" s="382"/>
      <c r="AS311" s="382"/>
      <c r="AT311" s="382"/>
      <c r="AU311" s="382"/>
      <c r="AV311" s="382"/>
      <c r="AW311" s="382"/>
      <c r="AX311" s="382"/>
      <c r="AY311" s="382"/>
      <c r="AZ311" s="382"/>
      <c r="BA311" s="382"/>
      <c r="BB311" s="382"/>
      <c r="BC311" s="382"/>
      <c r="BD311" s="382"/>
      <c r="BE311" s="382"/>
      <c r="BF311" s="382"/>
      <c r="BG311" s="382"/>
      <c r="BH311" s="382"/>
      <c r="BI311" s="382"/>
      <c r="BJ311" s="382"/>
      <c r="BK311" s="382"/>
      <c r="BL311" s="382"/>
      <c r="BM311" s="382"/>
      <c r="BN311" s="382"/>
      <c r="BO311" s="382"/>
      <c r="BP311" s="382"/>
      <c r="BQ311" s="382"/>
      <c r="BR311" s="382"/>
      <c r="BS311" s="382"/>
      <c r="BT311" s="382"/>
      <c r="BU311" s="496"/>
      <c r="BV311" s="382"/>
      <c r="BW311" s="382"/>
      <c r="BX311" s="382"/>
      <c r="BY311" s="382"/>
      <c r="BZ311" s="382"/>
      <c r="CA311" s="382"/>
      <c r="CB311" s="382"/>
      <c r="CC311" s="382"/>
      <c r="CD311" s="382"/>
      <c r="CE311" s="382"/>
      <c r="CF311" s="382"/>
      <c r="CG311" s="382"/>
      <c r="CH311" s="382"/>
      <c r="CI311" s="382"/>
      <c r="CJ311" s="382"/>
      <c r="CK311" s="382"/>
      <c r="CL311" s="382"/>
      <c r="CM311" s="382"/>
      <c r="CN311" s="382"/>
      <c r="CO311" s="382"/>
      <c r="CP311" s="382"/>
      <c r="CQ311" s="382"/>
      <c r="CR311" s="382"/>
      <c r="CS311" s="382"/>
      <c r="CT311" s="382"/>
      <c r="CU311" s="382"/>
      <c r="CV311" s="382"/>
      <c r="CW311" s="189"/>
      <c r="CX311" s="382"/>
      <c r="CY311" s="382"/>
      <c r="CZ311" s="382"/>
      <c r="DA311" s="382"/>
      <c r="DB311" s="382"/>
      <c r="DC311" s="382"/>
      <c r="DD311" s="382"/>
      <c r="DE311" s="382"/>
      <c r="DF311" s="382"/>
      <c r="DG311" s="382"/>
      <c r="DH311" s="382"/>
      <c r="DI311" s="382"/>
      <c r="DJ311" s="382"/>
      <c r="DK311" s="382"/>
      <c r="DL311" s="382"/>
      <c r="DM311" s="382"/>
      <c r="DN311" s="382"/>
      <c r="DO311" s="382"/>
      <c r="DP311" s="382"/>
      <c r="DQ311" s="382"/>
      <c r="DR311" s="382"/>
      <c r="DS311" s="382"/>
      <c r="DT311" s="382"/>
      <c r="DU311" s="382"/>
      <c r="DV311" s="382"/>
      <c r="DW311" s="382"/>
      <c r="DX311" s="382"/>
      <c r="DY311" s="382"/>
      <c r="DZ311" s="228"/>
    </row>
    <row r="312" spans="2:130" s="180" customFormat="1" ht="14.25" customHeight="1" x14ac:dyDescent="0.2">
      <c r="D312" s="805"/>
      <c r="E312" s="769"/>
      <c r="F312" s="820"/>
      <c r="G312" s="821"/>
      <c r="H312" s="769"/>
      <c r="I312" s="769"/>
      <c r="J312" s="817"/>
      <c r="K312" s="769"/>
      <c r="L312" s="817"/>
      <c r="M312" s="769"/>
      <c r="N312" s="817"/>
      <c r="O312" s="769"/>
      <c r="P312" s="817"/>
      <c r="Q312" s="769"/>
      <c r="R312" s="769"/>
      <c r="S312" s="189"/>
      <c r="T312" s="769"/>
      <c r="U312" s="817"/>
      <c r="V312" s="769"/>
      <c r="W312" s="817"/>
      <c r="X312" s="769"/>
      <c r="Y312" s="817"/>
      <c r="Z312" s="769"/>
      <c r="AA312" s="817"/>
      <c r="AB312" s="769"/>
      <c r="AC312" s="817"/>
      <c r="AD312" s="810"/>
      <c r="AE312" s="817"/>
      <c r="AF312" s="810"/>
      <c r="AG312" s="817"/>
      <c r="AH312" s="382"/>
      <c r="AI312" s="382"/>
      <c r="AJ312" s="382"/>
      <c r="AK312" s="382"/>
      <c r="AL312" s="382"/>
      <c r="AM312" s="382"/>
      <c r="AN312" s="382"/>
      <c r="AO312" s="382"/>
      <c r="AP312" s="382"/>
      <c r="AQ312" s="382"/>
      <c r="AR312" s="382"/>
      <c r="AS312" s="382"/>
      <c r="AT312" s="382"/>
      <c r="AU312" s="382"/>
      <c r="AV312" s="382"/>
      <c r="AW312" s="382"/>
      <c r="AX312" s="382"/>
      <c r="AY312" s="382"/>
      <c r="AZ312" s="382"/>
      <c r="BA312" s="382"/>
      <c r="BB312" s="382"/>
      <c r="BC312" s="382"/>
      <c r="BD312" s="382"/>
      <c r="BE312" s="382"/>
      <c r="BF312" s="382"/>
      <c r="BG312" s="382"/>
      <c r="BH312" s="382"/>
      <c r="BI312" s="382"/>
      <c r="BJ312" s="382"/>
      <c r="BK312" s="382"/>
      <c r="BL312" s="382"/>
      <c r="BM312" s="382"/>
      <c r="BN312" s="382"/>
      <c r="BO312" s="382"/>
      <c r="BP312" s="382"/>
      <c r="BQ312" s="382"/>
      <c r="BR312" s="382"/>
      <c r="BS312" s="382"/>
      <c r="BT312" s="382"/>
      <c r="BU312" s="496"/>
      <c r="BV312" s="382"/>
      <c r="BW312" s="382"/>
      <c r="BX312" s="382"/>
      <c r="BY312" s="382"/>
      <c r="BZ312" s="382"/>
      <c r="CA312" s="382"/>
      <c r="CB312" s="382"/>
      <c r="CC312" s="382"/>
      <c r="CD312" s="382"/>
      <c r="CE312" s="382"/>
      <c r="CF312" s="382"/>
      <c r="CG312" s="382"/>
      <c r="CH312" s="382"/>
      <c r="CI312" s="382"/>
      <c r="CJ312" s="382"/>
      <c r="CK312" s="382"/>
      <c r="CL312" s="382"/>
      <c r="CM312" s="382"/>
      <c r="CN312" s="382"/>
      <c r="CO312" s="382"/>
      <c r="CP312" s="382"/>
      <c r="CQ312" s="382"/>
      <c r="CR312" s="382"/>
      <c r="CS312" s="382"/>
      <c r="CT312" s="382"/>
      <c r="CU312" s="382"/>
      <c r="CV312" s="382"/>
      <c r="CW312" s="189"/>
      <c r="CX312" s="382"/>
      <c r="CY312" s="382"/>
      <c r="CZ312" s="382"/>
      <c r="DA312" s="382"/>
      <c r="DB312" s="382"/>
      <c r="DC312" s="382"/>
      <c r="DD312" s="382"/>
      <c r="DE312" s="382"/>
      <c r="DF312" s="382"/>
      <c r="DG312" s="382"/>
      <c r="DH312" s="382"/>
      <c r="DI312" s="382"/>
      <c r="DJ312" s="382"/>
      <c r="DK312" s="382"/>
      <c r="DL312" s="382"/>
      <c r="DM312" s="382"/>
      <c r="DN312" s="382"/>
      <c r="DO312" s="382"/>
      <c r="DP312" s="382"/>
      <c r="DQ312" s="382"/>
      <c r="DR312" s="382"/>
      <c r="DS312" s="382"/>
      <c r="DT312" s="382"/>
      <c r="DU312" s="382"/>
      <c r="DV312" s="382"/>
      <c r="DW312" s="382"/>
      <c r="DX312" s="382"/>
      <c r="DY312" s="382"/>
      <c r="DZ312" s="228"/>
    </row>
    <row r="313" spans="2:130" s="180" customFormat="1" ht="14.25" customHeight="1" x14ac:dyDescent="0.2">
      <c r="D313" s="805"/>
      <c r="E313" s="228"/>
      <c r="F313" s="820"/>
      <c r="G313" s="805"/>
      <c r="H313" s="769"/>
      <c r="I313" s="769"/>
      <c r="J313" s="817"/>
      <c r="K313" s="769"/>
      <c r="L313" s="817"/>
      <c r="M313" s="769"/>
      <c r="N313" s="817"/>
      <c r="O313" s="769"/>
      <c r="P313" s="817"/>
      <c r="Q313" s="769"/>
      <c r="R313" s="769"/>
      <c r="S313" s="189"/>
      <c r="T313" s="769"/>
      <c r="U313" s="817"/>
      <c r="V313" s="769"/>
      <c r="W313" s="817"/>
      <c r="X313" s="769"/>
      <c r="Y313" s="817"/>
      <c r="Z313" s="769"/>
      <c r="AA313" s="817"/>
      <c r="AB313" s="769"/>
      <c r="AC313" s="817"/>
      <c r="AD313" s="769"/>
      <c r="AE313" s="817"/>
      <c r="AF313" s="769"/>
      <c r="AG313" s="817"/>
      <c r="AH313" s="382"/>
      <c r="AI313" s="382"/>
      <c r="AJ313" s="382"/>
      <c r="AK313" s="382"/>
      <c r="AL313" s="382"/>
      <c r="AM313" s="382"/>
      <c r="AN313" s="382"/>
      <c r="AO313" s="382"/>
      <c r="AP313" s="382"/>
      <c r="AQ313" s="382"/>
      <c r="AR313" s="382"/>
      <c r="AS313" s="382"/>
      <c r="AT313" s="382"/>
      <c r="AU313" s="382"/>
      <c r="AV313" s="382"/>
      <c r="AW313" s="382"/>
      <c r="AX313" s="382"/>
      <c r="AY313" s="382"/>
      <c r="AZ313" s="382"/>
      <c r="BA313" s="382"/>
      <c r="BB313" s="382"/>
      <c r="BC313" s="382"/>
      <c r="BD313" s="382"/>
      <c r="BE313" s="382"/>
      <c r="BF313" s="382"/>
      <c r="BG313" s="382"/>
      <c r="BH313" s="382"/>
      <c r="BI313" s="382"/>
      <c r="BJ313" s="382"/>
      <c r="BK313" s="382"/>
      <c r="BL313" s="382"/>
      <c r="BM313" s="382"/>
      <c r="BN313" s="382"/>
      <c r="BO313" s="382"/>
      <c r="BP313" s="382"/>
      <c r="BQ313" s="382"/>
      <c r="BR313" s="382"/>
      <c r="BS313" s="382"/>
      <c r="BT313" s="382"/>
      <c r="BU313" s="496"/>
      <c r="BV313" s="382"/>
      <c r="BW313" s="382"/>
      <c r="BX313" s="382"/>
      <c r="BY313" s="382"/>
      <c r="BZ313" s="382"/>
      <c r="CA313" s="382"/>
      <c r="CB313" s="382"/>
      <c r="CC313" s="382"/>
      <c r="CD313" s="382"/>
      <c r="CE313" s="382"/>
      <c r="CF313" s="382"/>
      <c r="CG313" s="382"/>
      <c r="CH313" s="382"/>
      <c r="CI313" s="382"/>
      <c r="CJ313" s="382"/>
      <c r="CK313" s="382"/>
      <c r="CL313" s="382"/>
      <c r="CM313" s="382"/>
      <c r="CN313" s="382"/>
      <c r="CO313" s="382"/>
      <c r="CP313" s="382"/>
      <c r="CQ313" s="382"/>
      <c r="CR313" s="382"/>
      <c r="CS313" s="382"/>
      <c r="CT313" s="382"/>
      <c r="CU313" s="382"/>
      <c r="CV313" s="382"/>
      <c r="CW313" s="189"/>
      <c r="CX313" s="382"/>
      <c r="CY313" s="382"/>
      <c r="CZ313" s="382"/>
      <c r="DA313" s="382"/>
      <c r="DB313" s="382"/>
      <c r="DC313" s="382"/>
      <c r="DD313" s="382"/>
      <c r="DE313" s="382"/>
      <c r="DF313" s="382"/>
      <c r="DG313" s="382"/>
      <c r="DH313" s="382"/>
      <c r="DI313" s="382"/>
      <c r="DJ313" s="382"/>
      <c r="DK313" s="382"/>
      <c r="DL313" s="382"/>
      <c r="DM313" s="382"/>
      <c r="DN313" s="382"/>
      <c r="DO313" s="382"/>
      <c r="DP313" s="382"/>
      <c r="DQ313" s="382"/>
      <c r="DR313" s="382"/>
      <c r="DS313" s="382"/>
      <c r="DT313" s="382"/>
      <c r="DU313" s="382"/>
      <c r="DV313" s="382"/>
      <c r="DW313" s="382"/>
      <c r="DX313" s="382"/>
      <c r="DY313" s="382"/>
      <c r="DZ313" s="228"/>
    </row>
    <row r="314" spans="2:130" s="180" customFormat="1" ht="14.25" customHeight="1" x14ac:dyDescent="0.2">
      <c r="D314" s="805"/>
      <c r="E314" s="228"/>
      <c r="F314" s="820"/>
      <c r="G314" s="821"/>
      <c r="H314" s="769"/>
      <c r="I314" s="769"/>
      <c r="J314" s="817"/>
      <c r="K314" s="769"/>
      <c r="L314" s="817"/>
      <c r="M314" s="769"/>
      <c r="N314" s="817"/>
      <c r="O314" s="769"/>
      <c r="P314" s="817"/>
      <c r="Q314" s="769"/>
      <c r="R314" s="769"/>
      <c r="S314" s="189"/>
      <c r="T314" s="769"/>
      <c r="U314" s="817"/>
      <c r="V314" s="769"/>
      <c r="W314" s="817"/>
      <c r="X314" s="769"/>
      <c r="Y314" s="817"/>
      <c r="Z314" s="769"/>
      <c r="AA314" s="817"/>
      <c r="AB314" s="769"/>
      <c r="AC314" s="817"/>
      <c r="AD314" s="769"/>
      <c r="AE314" s="817"/>
      <c r="AF314" s="769"/>
      <c r="AG314" s="817"/>
      <c r="AH314" s="382"/>
      <c r="AI314" s="382"/>
      <c r="AJ314" s="382"/>
      <c r="AK314" s="382"/>
      <c r="AL314" s="382"/>
      <c r="AM314" s="382"/>
      <c r="AN314" s="382"/>
      <c r="AO314" s="382"/>
      <c r="AP314" s="382"/>
      <c r="AQ314" s="382"/>
      <c r="AR314" s="382"/>
      <c r="AS314" s="382"/>
      <c r="AT314" s="382"/>
      <c r="AU314" s="382"/>
      <c r="AV314" s="382"/>
      <c r="AW314" s="382"/>
      <c r="AX314" s="382"/>
      <c r="AY314" s="382"/>
      <c r="AZ314" s="382"/>
      <c r="BA314" s="382"/>
      <c r="BB314" s="382"/>
      <c r="BC314" s="382"/>
      <c r="BD314" s="382"/>
      <c r="BE314" s="382"/>
      <c r="BF314" s="382"/>
      <c r="BG314" s="382"/>
      <c r="BH314" s="382"/>
      <c r="BI314" s="382"/>
      <c r="BJ314" s="382"/>
      <c r="BK314" s="382"/>
      <c r="BL314" s="382"/>
      <c r="BM314" s="382"/>
      <c r="BN314" s="382"/>
      <c r="BO314" s="382"/>
      <c r="BP314" s="382"/>
      <c r="BQ314" s="382"/>
      <c r="BR314" s="382"/>
      <c r="BS314" s="382"/>
      <c r="BT314" s="382"/>
      <c r="BU314" s="496"/>
      <c r="BV314" s="382"/>
      <c r="BW314" s="382"/>
      <c r="BX314" s="382"/>
      <c r="BY314" s="382"/>
      <c r="BZ314" s="382"/>
      <c r="CA314" s="382"/>
      <c r="CB314" s="382"/>
      <c r="CC314" s="382"/>
      <c r="CD314" s="382"/>
      <c r="CE314" s="382"/>
      <c r="CF314" s="382"/>
      <c r="CG314" s="382"/>
      <c r="CH314" s="382"/>
      <c r="CI314" s="382"/>
      <c r="CJ314" s="382"/>
      <c r="CK314" s="382"/>
      <c r="CL314" s="382"/>
      <c r="CM314" s="382"/>
      <c r="CN314" s="382"/>
      <c r="CO314" s="382"/>
      <c r="CP314" s="382"/>
      <c r="CQ314" s="382"/>
      <c r="CR314" s="382"/>
      <c r="CS314" s="382"/>
      <c r="CT314" s="382"/>
      <c r="CU314" s="382"/>
      <c r="CV314" s="382"/>
      <c r="CW314" s="189"/>
      <c r="CX314" s="382"/>
      <c r="CY314" s="382"/>
      <c r="CZ314" s="382"/>
      <c r="DA314" s="382"/>
      <c r="DB314" s="382"/>
      <c r="DC314" s="382"/>
      <c r="DD314" s="382"/>
      <c r="DE314" s="382"/>
      <c r="DF314" s="382"/>
      <c r="DG314" s="382"/>
      <c r="DH314" s="382"/>
      <c r="DI314" s="382"/>
      <c r="DJ314" s="382"/>
      <c r="DK314" s="382"/>
      <c r="DL314" s="382"/>
      <c r="DM314" s="382"/>
      <c r="DN314" s="382"/>
      <c r="DO314" s="382"/>
      <c r="DP314" s="382"/>
      <c r="DQ314" s="382"/>
      <c r="DR314" s="382"/>
      <c r="DS314" s="382"/>
      <c r="DT314" s="382"/>
      <c r="DU314" s="382"/>
      <c r="DV314" s="382"/>
      <c r="DW314" s="382"/>
      <c r="DX314" s="382"/>
      <c r="DY314" s="382"/>
      <c r="DZ314" s="228"/>
    </row>
    <row r="315" spans="2:130" s="180" customFormat="1" ht="14.25" customHeight="1" x14ac:dyDescent="0.2">
      <c r="B315" s="1690"/>
      <c r="C315" s="1690"/>
      <c r="D315" s="805"/>
      <c r="E315" s="228"/>
      <c r="F315" s="820"/>
      <c r="G315" s="805"/>
      <c r="H315" s="769"/>
      <c r="I315" s="769"/>
      <c r="J315" s="817"/>
      <c r="K315" s="769"/>
      <c r="L315" s="817"/>
      <c r="M315" s="769"/>
      <c r="N315" s="817"/>
      <c r="O315" s="769"/>
      <c r="P315" s="817"/>
      <c r="Q315" s="769"/>
      <c r="R315" s="769"/>
      <c r="S315" s="189"/>
      <c r="T315" s="769"/>
      <c r="U315" s="817"/>
      <c r="V315" s="769"/>
      <c r="W315" s="817"/>
      <c r="X315" s="769"/>
      <c r="Y315" s="817"/>
      <c r="Z315" s="769"/>
      <c r="AA315" s="817"/>
      <c r="AB315" s="769"/>
      <c r="AC315" s="817"/>
      <c r="AD315" s="816"/>
      <c r="AE315" s="817"/>
      <c r="AF315" s="769"/>
      <c r="AG315" s="817"/>
      <c r="AH315" s="382"/>
      <c r="AI315" s="382"/>
      <c r="AJ315" s="382"/>
      <c r="AK315" s="382"/>
      <c r="AL315" s="382"/>
      <c r="AM315" s="382"/>
      <c r="AN315" s="382"/>
      <c r="AO315" s="382"/>
      <c r="AP315" s="382"/>
      <c r="AQ315" s="382"/>
      <c r="AR315" s="382"/>
      <c r="AS315" s="382"/>
      <c r="AT315" s="382"/>
      <c r="AU315" s="382"/>
      <c r="AV315" s="382"/>
      <c r="AW315" s="382"/>
      <c r="AX315" s="382"/>
      <c r="AY315" s="382"/>
      <c r="AZ315" s="382"/>
      <c r="BA315" s="382"/>
      <c r="BB315" s="382"/>
      <c r="BC315" s="382"/>
      <c r="BD315" s="382"/>
      <c r="BE315" s="382"/>
      <c r="BF315" s="382"/>
      <c r="BG315" s="382"/>
      <c r="BH315" s="382"/>
      <c r="BI315" s="382"/>
      <c r="BJ315" s="382"/>
      <c r="BK315" s="382"/>
      <c r="BL315" s="382"/>
      <c r="BM315" s="382"/>
      <c r="BN315" s="382"/>
      <c r="BO315" s="382"/>
      <c r="BP315" s="382"/>
      <c r="BQ315" s="382"/>
      <c r="BR315" s="382"/>
      <c r="BS315" s="382"/>
      <c r="BT315" s="382"/>
      <c r="BU315" s="496"/>
      <c r="BV315" s="382"/>
      <c r="BW315" s="382"/>
      <c r="BX315" s="382"/>
      <c r="BY315" s="382"/>
      <c r="BZ315" s="382"/>
      <c r="CA315" s="382"/>
      <c r="CB315" s="382"/>
      <c r="CC315" s="382"/>
      <c r="CD315" s="382"/>
      <c r="CE315" s="382"/>
      <c r="CF315" s="382"/>
      <c r="CG315" s="382"/>
      <c r="CH315" s="382"/>
      <c r="CI315" s="382"/>
      <c r="CJ315" s="382"/>
      <c r="CK315" s="382"/>
      <c r="CL315" s="382"/>
      <c r="CM315" s="382"/>
      <c r="CN315" s="382"/>
      <c r="CO315" s="382"/>
      <c r="CP315" s="382"/>
      <c r="CQ315" s="382"/>
      <c r="CR315" s="382"/>
      <c r="CS315" s="382"/>
      <c r="CT315" s="382"/>
      <c r="CU315" s="382"/>
      <c r="CV315" s="382"/>
      <c r="CW315" s="919"/>
      <c r="CX315" s="382"/>
      <c r="CY315" s="382"/>
      <c r="CZ315" s="382"/>
      <c r="DA315" s="382"/>
      <c r="DB315" s="382"/>
      <c r="DC315" s="382"/>
      <c r="DD315" s="382"/>
      <c r="DE315" s="382"/>
      <c r="DF315" s="382"/>
      <c r="DG315" s="382"/>
      <c r="DH315" s="382"/>
      <c r="DI315" s="382"/>
      <c r="DJ315" s="382"/>
      <c r="DK315" s="382"/>
      <c r="DL315" s="382"/>
      <c r="DM315" s="382"/>
      <c r="DN315" s="382"/>
      <c r="DO315" s="382"/>
      <c r="DP315" s="382"/>
      <c r="DQ315" s="382"/>
      <c r="DR315" s="382"/>
      <c r="DS315" s="382"/>
      <c r="DT315" s="382"/>
      <c r="DU315" s="382"/>
      <c r="DV315" s="382"/>
      <c r="DW315" s="382"/>
      <c r="DX315" s="382"/>
      <c r="DY315" s="382"/>
      <c r="DZ315" s="228"/>
    </row>
    <row r="316" spans="2:130" s="180" customFormat="1" ht="42.75" customHeight="1" x14ac:dyDescent="0.2">
      <c r="B316" s="822"/>
      <c r="C316" s="800"/>
      <c r="D316" s="800"/>
      <c r="E316" s="769"/>
      <c r="F316" s="769"/>
      <c r="G316" s="811"/>
      <c r="H316" s="811"/>
      <c r="I316" s="811"/>
      <c r="J316" s="811"/>
      <c r="K316" s="811"/>
      <c r="L316" s="811"/>
      <c r="M316" s="811"/>
      <c r="N316" s="811"/>
      <c r="O316" s="811"/>
      <c r="P316" s="811"/>
      <c r="Q316" s="823"/>
      <c r="R316" s="811"/>
      <c r="S316" s="824"/>
      <c r="T316" s="811"/>
      <c r="U316" s="811"/>
      <c r="V316" s="811"/>
      <c r="W316" s="811"/>
      <c r="X316" s="811"/>
      <c r="Y316" s="811"/>
      <c r="Z316" s="811"/>
      <c r="AA316" s="811"/>
      <c r="AB316" s="811"/>
      <c r="AC316" s="811"/>
      <c r="AD316" s="811"/>
      <c r="AE316" s="811"/>
      <c r="AF316" s="811"/>
      <c r="AG316" s="811"/>
      <c r="AH316" s="382"/>
      <c r="AI316" s="382"/>
      <c r="AJ316" s="382"/>
      <c r="AK316" s="382"/>
      <c r="AL316" s="382"/>
      <c r="AM316" s="382"/>
      <c r="AN316" s="382"/>
      <c r="AO316" s="382"/>
      <c r="AP316" s="382"/>
      <c r="AQ316" s="382"/>
      <c r="AR316" s="382"/>
      <c r="AS316" s="382"/>
      <c r="AT316" s="382"/>
      <c r="AU316" s="382"/>
      <c r="AV316" s="382"/>
      <c r="AW316" s="382"/>
      <c r="AX316" s="382"/>
      <c r="AY316" s="382"/>
      <c r="AZ316" s="382"/>
      <c r="BA316" s="382"/>
      <c r="BB316" s="382"/>
      <c r="BC316" s="382"/>
      <c r="BD316" s="382"/>
      <c r="BE316" s="382"/>
      <c r="BF316" s="382"/>
      <c r="BG316" s="382"/>
      <c r="BH316" s="382"/>
      <c r="BI316" s="382"/>
      <c r="BJ316" s="382"/>
      <c r="BK316" s="382"/>
      <c r="BL316" s="382"/>
      <c r="BM316" s="382"/>
      <c r="BN316" s="382"/>
      <c r="BO316" s="382"/>
      <c r="BP316" s="382"/>
      <c r="BQ316" s="382"/>
      <c r="BR316" s="382"/>
      <c r="BS316" s="382"/>
      <c r="BT316" s="382"/>
      <c r="BU316" s="496"/>
      <c r="BV316" s="382"/>
      <c r="BW316" s="382"/>
      <c r="BX316" s="382"/>
      <c r="BY316" s="382"/>
      <c r="BZ316" s="382"/>
      <c r="CA316" s="382"/>
      <c r="CB316" s="382"/>
      <c r="CC316" s="382"/>
      <c r="CD316" s="382"/>
      <c r="CE316" s="382"/>
      <c r="CF316" s="382"/>
      <c r="CG316" s="382"/>
      <c r="CH316" s="382"/>
      <c r="CI316" s="382"/>
      <c r="CJ316" s="382"/>
      <c r="CK316" s="382"/>
      <c r="CL316" s="382"/>
      <c r="CM316" s="382"/>
      <c r="CN316" s="382"/>
      <c r="CO316" s="382"/>
      <c r="CP316" s="382"/>
      <c r="CQ316" s="382"/>
      <c r="CR316" s="382"/>
      <c r="CS316" s="382"/>
      <c r="CT316" s="382"/>
      <c r="CU316" s="382"/>
      <c r="CV316" s="382"/>
      <c r="CW316" s="800"/>
      <c r="CX316" s="382"/>
      <c r="CY316" s="382"/>
      <c r="CZ316" s="382"/>
      <c r="DA316" s="382"/>
      <c r="DB316" s="382"/>
      <c r="DC316" s="382"/>
      <c r="DD316" s="382"/>
      <c r="DE316" s="382"/>
      <c r="DF316" s="382"/>
      <c r="DG316" s="382"/>
      <c r="DH316" s="382"/>
      <c r="DI316" s="382"/>
      <c r="DJ316" s="382"/>
      <c r="DK316" s="382"/>
      <c r="DL316" s="382"/>
      <c r="DM316" s="382"/>
      <c r="DN316" s="382"/>
      <c r="DO316" s="382"/>
      <c r="DP316" s="382"/>
      <c r="DQ316" s="382"/>
      <c r="DR316" s="382"/>
      <c r="DS316" s="382"/>
      <c r="DT316" s="382"/>
      <c r="DU316" s="382"/>
      <c r="DV316" s="382"/>
      <c r="DW316" s="382"/>
      <c r="DX316" s="382"/>
      <c r="DY316" s="382"/>
      <c r="DZ316" s="228"/>
    </row>
    <row r="317" spans="2:130" s="180" customFormat="1" ht="14.25" customHeight="1" x14ac:dyDescent="0.2">
      <c r="B317" s="800"/>
      <c r="C317" s="800"/>
      <c r="D317" s="800"/>
      <c r="E317" s="810"/>
      <c r="F317" s="769"/>
      <c r="G317" s="811"/>
      <c r="H317" s="811"/>
      <c r="I317" s="811"/>
      <c r="J317" s="811"/>
      <c r="K317" s="811"/>
      <c r="L317" s="811"/>
      <c r="M317" s="811"/>
      <c r="N317" s="811"/>
      <c r="O317" s="811"/>
      <c r="P317" s="811"/>
      <c r="Q317" s="811"/>
      <c r="R317" s="811"/>
      <c r="S317" s="824"/>
      <c r="T317" s="811"/>
      <c r="U317" s="811"/>
      <c r="V317" s="811"/>
      <c r="W317" s="811"/>
      <c r="X317" s="811"/>
      <c r="Y317" s="811"/>
      <c r="Z317" s="811"/>
      <c r="AA317" s="811"/>
      <c r="AB317" s="811"/>
      <c r="AC317" s="811"/>
      <c r="AD317" s="811"/>
      <c r="AE317" s="811"/>
      <c r="AF317" s="811"/>
      <c r="AG317" s="811"/>
      <c r="AH317" s="382"/>
      <c r="AI317" s="382"/>
      <c r="AJ317" s="382"/>
      <c r="AK317" s="382"/>
      <c r="AL317" s="382"/>
      <c r="AM317" s="382"/>
      <c r="AN317" s="382"/>
      <c r="AO317" s="382"/>
      <c r="AP317" s="382"/>
      <c r="AQ317" s="382"/>
      <c r="AR317" s="382"/>
      <c r="AS317" s="382"/>
      <c r="AT317" s="382"/>
      <c r="AU317" s="382"/>
      <c r="AV317" s="382"/>
      <c r="AW317" s="382"/>
      <c r="AX317" s="382"/>
      <c r="AY317" s="382"/>
      <c r="AZ317" s="382"/>
      <c r="BA317" s="382"/>
      <c r="BB317" s="382"/>
      <c r="BC317" s="382"/>
      <c r="BD317" s="382"/>
      <c r="BE317" s="382"/>
      <c r="BF317" s="382"/>
      <c r="BG317" s="382"/>
      <c r="BH317" s="382"/>
      <c r="BI317" s="382"/>
      <c r="BJ317" s="382"/>
      <c r="BK317" s="382"/>
      <c r="BL317" s="382"/>
      <c r="BM317" s="382"/>
      <c r="BN317" s="382"/>
      <c r="BO317" s="382"/>
      <c r="BP317" s="382"/>
      <c r="BQ317" s="382"/>
      <c r="BR317" s="382"/>
      <c r="BS317" s="382"/>
      <c r="BT317" s="382"/>
      <c r="BU317" s="496"/>
      <c r="BV317" s="382"/>
      <c r="BW317" s="382"/>
      <c r="BX317" s="382"/>
      <c r="BY317" s="382"/>
      <c r="BZ317" s="382"/>
      <c r="CA317" s="382"/>
      <c r="CB317" s="382"/>
      <c r="CC317" s="382"/>
      <c r="CD317" s="382"/>
      <c r="CE317" s="382"/>
      <c r="CF317" s="382"/>
      <c r="CG317" s="382"/>
      <c r="CH317" s="382"/>
      <c r="CI317" s="382"/>
      <c r="CJ317" s="382"/>
      <c r="CK317" s="382"/>
      <c r="CL317" s="382"/>
      <c r="CM317" s="382"/>
      <c r="CN317" s="382"/>
      <c r="CO317" s="382"/>
      <c r="CP317" s="382"/>
      <c r="CQ317" s="382"/>
      <c r="CR317" s="382"/>
      <c r="CS317" s="382"/>
      <c r="CT317" s="382"/>
      <c r="CU317" s="382"/>
      <c r="CV317" s="382"/>
      <c r="CW317" s="800"/>
      <c r="CX317" s="382"/>
      <c r="CY317" s="382"/>
      <c r="CZ317" s="382"/>
      <c r="DA317" s="382"/>
      <c r="DB317" s="382"/>
      <c r="DC317" s="382"/>
      <c r="DD317" s="382"/>
      <c r="DE317" s="382"/>
      <c r="DF317" s="382"/>
      <c r="DG317" s="382"/>
      <c r="DH317" s="382"/>
      <c r="DI317" s="382"/>
      <c r="DJ317" s="382"/>
      <c r="DK317" s="382"/>
      <c r="DL317" s="382"/>
      <c r="DM317" s="382"/>
      <c r="DN317" s="382"/>
      <c r="DO317" s="382"/>
      <c r="DP317" s="382"/>
      <c r="DQ317" s="382"/>
      <c r="DR317" s="382"/>
      <c r="DS317" s="382"/>
      <c r="DT317" s="382"/>
      <c r="DU317" s="382"/>
      <c r="DV317" s="382"/>
      <c r="DW317" s="382"/>
      <c r="DX317" s="382"/>
      <c r="DY317" s="382"/>
      <c r="DZ317" s="228"/>
    </row>
    <row r="318" spans="2:130" s="180" customFormat="1" ht="14.25" customHeight="1" x14ac:dyDescent="0.2">
      <c r="B318" s="800"/>
      <c r="C318" s="800"/>
      <c r="D318" s="800"/>
      <c r="E318" s="769"/>
      <c r="F318" s="769"/>
      <c r="G318" s="802"/>
      <c r="H318" s="802"/>
      <c r="I318" s="802"/>
      <c r="J318" s="802"/>
      <c r="K318" s="802"/>
      <c r="L318" s="802"/>
      <c r="M318" s="802"/>
      <c r="N318" s="802"/>
      <c r="O318" s="802"/>
      <c r="P318" s="802"/>
      <c r="Q318" s="802"/>
      <c r="R318" s="802"/>
      <c r="S318" s="803"/>
      <c r="T318" s="802"/>
      <c r="U318" s="802"/>
      <c r="V318" s="802"/>
      <c r="W318" s="802"/>
      <c r="X318" s="802"/>
      <c r="Y318" s="802"/>
      <c r="Z318" s="802"/>
      <c r="AA318" s="802"/>
      <c r="AB318" s="802"/>
      <c r="AC318" s="802"/>
      <c r="AD318" s="802"/>
      <c r="AE318" s="802"/>
      <c r="AF318" s="802"/>
      <c r="AG318" s="802"/>
      <c r="AH318" s="382"/>
      <c r="AI318" s="382"/>
      <c r="AJ318" s="382"/>
      <c r="AK318" s="382"/>
      <c r="AL318" s="382"/>
      <c r="AM318" s="382"/>
      <c r="AN318" s="382"/>
      <c r="AO318" s="382"/>
      <c r="AP318" s="382"/>
      <c r="AQ318" s="382"/>
      <c r="AR318" s="382"/>
      <c r="AS318" s="382"/>
      <c r="AT318" s="382"/>
      <c r="AU318" s="382"/>
      <c r="AV318" s="382"/>
      <c r="AW318" s="382"/>
      <c r="AX318" s="382"/>
      <c r="AY318" s="382"/>
      <c r="AZ318" s="382"/>
      <c r="BA318" s="382"/>
      <c r="BB318" s="382"/>
      <c r="BC318" s="382"/>
      <c r="BD318" s="382"/>
      <c r="BE318" s="382"/>
      <c r="BF318" s="382"/>
      <c r="BG318" s="382"/>
      <c r="BH318" s="382"/>
      <c r="BI318" s="382"/>
      <c r="BJ318" s="382"/>
      <c r="BK318" s="382"/>
      <c r="BL318" s="382"/>
      <c r="BM318" s="382"/>
      <c r="BN318" s="382"/>
      <c r="BO318" s="382"/>
      <c r="BP318" s="382"/>
      <c r="BQ318" s="382"/>
      <c r="BR318" s="382"/>
      <c r="BS318" s="382"/>
      <c r="BT318" s="382"/>
      <c r="BU318" s="496"/>
      <c r="BV318" s="382"/>
      <c r="BW318" s="382"/>
      <c r="BX318" s="382"/>
      <c r="BY318" s="382"/>
      <c r="BZ318" s="382"/>
      <c r="CA318" s="382"/>
      <c r="CB318" s="382"/>
      <c r="CC318" s="382"/>
      <c r="CD318" s="382"/>
      <c r="CE318" s="382"/>
      <c r="CF318" s="382"/>
      <c r="CG318" s="382"/>
      <c r="CH318" s="382"/>
      <c r="CI318" s="382"/>
      <c r="CJ318" s="382"/>
      <c r="CK318" s="382"/>
      <c r="CL318" s="382"/>
      <c r="CM318" s="382"/>
      <c r="CN318" s="382"/>
      <c r="CO318" s="382"/>
      <c r="CP318" s="382"/>
      <c r="CQ318" s="382"/>
      <c r="CR318" s="382"/>
      <c r="CS318" s="382"/>
      <c r="CT318" s="382"/>
      <c r="CU318" s="382"/>
      <c r="CV318" s="382"/>
      <c r="CW318" s="800"/>
      <c r="CX318" s="382"/>
      <c r="CY318" s="382"/>
      <c r="CZ318" s="382"/>
      <c r="DA318" s="382"/>
      <c r="DB318" s="382"/>
      <c r="DC318" s="382"/>
      <c r="DD318" s="382"/>
      <c r="DE318" s="382"/>
      <c r="DF318" s="382"/>
      <c r="DG318" s="382"/>
      <c r="DH318" s="382"/>
      <c r="DI318" s="382"/>
      <c r="DJ318" s="382"/>
      <c r="DK318" s="382"/>
      <c r="DL318" s="382"/>
      <c r="DM318" s="382"/>
      <c r="DN318" s="382"/>
      <c r="DO318" s="382"/>
      <c r="DP318" s="382"/>
      <c r="DQ318" s="382"/>
      <c r="DR318" s="382"/>
      <c r="DS318" s="382"/>
      <c r="DT318" s="382"/>
      <c r="DU318" s="382"/>
      <c r="DV318" s="382"/>
      <c r="DW318" s="382"/>
      <c r="DX318" s="382"/>
      <c r="DY318" s="382"/>
      <c r="DZ318" s="228"/>
    </row>
    <row r="319" spans="2:130" s="180" customFormat="1" ht="14.25" customHeight="1" x14ac:dyDescent="0.2">
      <c r="B319" s="800"/>
      <c r="C319" s="800"/>
      <c r="D319" s="800"/>
      <c r="E319" s="769"/>
      <c r="F319" s="769"/>
      <c r="G319" s="802"/>
      <c r="H319" s="802"/>
      <c r="I319" s="802"/>
      <c r="J319" s="802"/>
      <c r="K319" s="802"/>
      <c r="L319" s="802"/>
      <c r="M319" s="802"/>
      <c r="N319" s="802"/>
      <c r="O319" s="802"/>
      <c r="P319" s="802"/>
      <c r="Q319" s="802"/>
      <c r="R319" s="802"/>
      <c r="S319" s="803"/>
      <c r="T319" s="802"/>
      <c r="U319" s="802"/>
      <c r="V319" s="802"/>
      <c r="W319" s="802"/>
      <c r="X319" s="802"/>
      <c r="Y319" s="802"/>
      <c r="Z319" s="802"/>
      <c r="AA319" s="802"/>
      <c r="AB319" s="802"/>
      <c r="AC319" s="802"/>
      <c r="AD319" s="802"/>
      <c r="AE319" s="802"/>
      <c r="AF319" s="802"/>
      <c r="AG319" s="802"/>
      <c r="AH319" s="382"/>
      <c r="AI319" s="382"/>
      <c r="AJ319" s="382"/>
      <c r="AK319" s="382"/>
      <c r="AL319" s="382"/>
      <c r="AM319" s="382"/>
      <c r="AN319" s="382"/>
      <c r="AO319" s="382"/>
      <c r="AP319" s="382"/>
      <c r="AQ319" s="382"/>
      <c r="AR319" s="382"/>
      <c r="AS319" s="382"/>
      <c r="AT319" s="382"/>
      <c r="AU319" s="382"/>
      <c r="AV319" s="382"/>
      <c r="AW319" s="382"/>
      <c r="AX319" s="382"/>
      <c r="AY319" s="382"/>
      <c r="AZ319" s="382"/>
      <c r="BA319" s="382"/>
      <c r="BB319" s="382"/>
      <c r="BC319" s="382"/>
      <c r="BD319" s="382"/>
      <c r="BE319" s="382"/>
      <c r="BF319" s="382"/>
      <c r="BG319" s="382"/>
      <c r="BH319" s="382"/>
      <c r="BI319" s="382"/>
      <c r="BJ319" s="382"/>
      <c r="BK319" s="382"/>
      <c r="BL319" s="382"/>
      <c r="BM319" s="382"/>
      <c r="BN319" s="382"/>
      <c r="BO319" s="382"/>
      <c r="BP319" s="382"/>
      <c r="BQ319" s="382"/>
      <c r="BR319" s="382"/>
      <c r="BS319" s="382"/>
      <c r="BT319" s="382"/>
      <c r="BU319" s="496"/>
      <c r="BV319" s="382"/>
      <c r="BW319" s="382"/>
      <c r="BX319" s="382"/>
      <c r="BY319" s="382"/>
      <c r="BZ319" s="382"/>
      <c r="CA319" s="382"/>
      <c r="CB319" s="382"/>
      <c r="CC319" s="382"/>
      <c r="CD319" s="382"/>
      <c r="CE319" s="382"/>
      <c r="CF319" s="382"/>
      <c r="CG319" s="382"/>
      <c r="CH319" s="382"/>
      <c r="CI319" s="382"/>
      <c r="CJ319" s="382"/>
      <c r="CK319" s="382"/>
      <c r="CL319" s="382"/>
      <c r="CM319" s="382"/>
      <c r="CN319" s="382"/>
      <c r="CO319" s="382"/>
      <c r="CP319" s="382"/>
      <c r="CQ319" s="382"/>
      <c r="CR319" s="382"/>
      <c r="CS319" s="382"/>
      <c r="CT319" s="382"/>
      <c r="CU319" s="382"/>
      <c r="CV319" s="382"/>
      <c r="CW319" s="800"/>
      <c r="CX319" s="382"/>
      <c r="CY319" s="382"/>
      <c r="CZ319" s="382"/>
      <c r="DA319" s="382"/>
      <c r="DB319" s="382"/>
      <c r="DC319" s="382"/>
      <c r="DD319" s="382"/>
      <c r="DE319" s="382"/>
      <c r="DF319" s="382"/>
      <c r="DG319" s="382"/>
      <c r="DH319" s="382"/>
      <c r="DI319" s="382"/>
      <c r="DJ319" s="382"/>
      <c r="DK319" s="382"/>
      <c r="DL319" s="382"/>
      <c r="DM319" s="382"/>
      <c r="DN319" s="382"/>
      <c r="DO319" s="382"/>
      <c r="DP319" s="382"/>
      <c r="DQ319" s="382"/>
      <c r="DR319" s="382"/>
      <c r="DS319" s="382"/>
      <c r="DT319" s="382"/>
      <c r="DU319" s="382"/>
      <c r="DV319" s="382"/>
      <c r="DW319" s="382"/>
      <c r="DX319" s="382"/>
      <c r="DY319" s="382"/>
      <c r="DZ319" s="228"/>
    </row>
    <row r="320" spans="2:130" s="180" customFormat="1" ht="14.25" customHeight="1" x14ac:dyDescent="0.2">
      <c r="B320" s="800"/>
      <c r="C320" s="800"/>
      <c r="D320" s="800"/>
      <c r="E320" s="769"/>
      <c r="F320" s="769"/>
      <c r="G320" s="802"/>
      <c r="H320" s="802"/>
      <c r="I320" s="802"/>
      <c r="J320" s="802"/>
      <c r="K320" s="802"/>
      <c r="L320" s="802"/>
      <c r="M320" s="802"/>
      <c r="N320" s="802"/>
      <c r="O320" s="802"/>
      <c r="P320" s="802"/>
      <c r="Q320" s="802"/>
      <c r="R320" s="802"/>
      <c r="S320" s="803"/>
      <c r="T320" s="802"/>
      <c r="U320" s="802"/>
      <c r="V320" s="802"/>
      <c r="W320" s="802"/>
      <c r="X320" s="802"/>
      <c r="Y320" s="802"/>
      <c r="Z320" s="802"/>
      <c r="AA320" s="802"/>
      <c r="AB320" s="802"/>
      <c r="AC320" s="802"/>
      <c r="AD320" s="802"/>
      <c r="AE320" s="802"/>
      <c r="AF320" s="802"/>
      <c r="AG320" s="802"/>
      <c r="AH320" s="382"/>
      <c r="AI320" s="382"/>
      <c r="AJ320" s="382"/>
      <c r="AK320" s="382"/>
      <c r="AL320" s="382"/>
      <c r="AM320" s="382"/>
      <c r="AN320" s="382"/>
      <c r="AO320" s="382"/>
      <c r="AP320" s="382"/>
      <c r="AQ320" s="382"/>
      <c r="AR320" s="382"/>
      <c r="AS320" s="382"/>
      <c r="AT320" s="382"/>
      <c r="AU320" s="382"/>
      <c r="AV320" s="382"/>
      <c r="AW320" s="382"/>
      <c r="AX320" s="382"/>
      <c r="AY320" s="382"/>
      <c r="AZ320" s="382"/>
      <c r="BA320" s="382"/>
      <c r="BB320" s="382"/>
      <c r="BC320" s="382"/>
      <c r="BD320" s="382"/>
      <c r="BE320" s="382"/>
      <c r="BF320" s="382"/>
      <c r="BG320" s="382"/>
      <c r="BH320" s="382"/>
      <c r="BI320" s="382"/>
      <c r="BJ320" s="382"/>
      <c r="BK320" s="382"/>
      <c r="BL320" s="382"/>
      <c r="BM320" s="382"/>
      <c r="BN320" s="382"/>
      <c r="BO320" s="382"/>
      <c r="BP320" s="382"/>
      <c r="BQ320" s="382"/>
      <c r="BR320" s="382"/>
      <c r="BS320" s="382"/>
      <c r="BT320" s="382"/>
      <c r="BU320" s="496"/>
      <c r="BV320" s="382"/>
      <c r="BW320" s="382"/>
      <c r="BX320" s="382"/>
      <c r="BY320" s="382"/>
      <c r="BZ320" s="382"/>
      <c r="CA320" s="382"/>
      <c r="CB320" s="382"/>
      <c r="CC320" s="382"/>
      <c r="CD320" s="382"/>
      <c r="CE320" s="382"/>
      <c r="CF320" s="382"/>
      <c r="CG320" s="382"/>
      <c r="CH320" s="382"/>
      <c r="CI320" s="382"/>
      <c r="CJ320" s="382"/>
      <c r="CK320" s="382"/>
      <c r="CL320" s="382"/>
      <c r="CM320" s="382"/>
      <c r="CN320" s="382"/>
      <c r="CO320" s="382"/>
      <c r="CP320" s="382"/>
      <c r="CQ320" s="382"/>
      <c r="CR320" s="382"/>
      <c r="CS320" s="382"/>
      <c r="CT320" s="382"/>
      <c r="CU320" s="382"/>
      <c r="CV320" s="382"/>
      <c r="CW320" s="800"/>
      <c r="CX320" s="382"/>
      <c r="CY320" s="382"/>
      <c r="CZ320" s="382"/>
      <c r="DA320" s="382"/>
      <c r="DB320" s="382"/>
      <c r="DC320" s="382"/>
      <c r="DD320" s="382"/>
      <c r="DE320" s="382"/>
      <c r="DF320" s="382"/>
      <c r="DG320" s="382"/>
      <c r="DH320" s="382"/>
      <c r="DI320" s="382"/>
      <c r="DJ320" s="382"/>
      <c r="DK320" s="382"/>
      <c r="DL320" s="382"/>
      <c r="DM320" s="382"/>
      <c r="DN320" s="382"/>
      <c r="DO320" s="382"/>
      <c r="DP320" s="382"/>
      <c r="DQ320" s="382"/>
      <c r="DR320" s="382"/>
      <c r="DS320" s="382"/>
      <c r="DT320" s="382"/>
      <c r="DU320" s="382"/>
      <c r="DV320" s="382"/>
      <c r="DW320" s="382"/>
      <c r="DX320" s="382"/>
      <c r="DY320" s="382"/>
      <c r="DZ320" s="228"/>
    </row>
    <row r="321" spans="2:130" s="180" customFormat="1" ht="14.25" customHeight="1" x14ac:dyDescent="0.2">
      <c r="B321" s="800"/>
      <c r="C321" s="800"/>
      <c r="D321" s="800"/>
      <c r="E321" s="769"/>
      <c r="F321" s="769"/>
      <c r="G321" s="802"/>
      <c r="H321" s="802"/>
      <c r="I321" s="802"/>
      <c r="J321" s="802"/>
      <c r="K321" s="802"/>
      <c r="L321" s="802"/>
      <c r="M321" s="802"/>
      <c r="N321" s="802"/>
      <c r="O321" s="802"/>
      <c r="P321" s="802"/>
      <c r="Q321" s="802"/>
      <c r="R321" s="802"/>
      <c r="S321" s="803"/>
      <c r="T321" s="802"/>
      <c r="U321" s="802"/>
      <c r="V321" s="802"/>
      <c r="W321" s="802"/>
      <c r="X321" s="802"/>
      <c r="Y321" s="802"/>
      <c r="Z321" s="802"/>
      <c r="AA321" s="802"/>
      <c r="AB321" s="802"/>
      <c r="AC321" s="802"/>
      <c r="AD321" s="802"/>
      <c r="AE321" s="802"/>
      <c r="AF321" s="802"/>
      <c r="AG321" s="802"/>
      <c r="AH321" s="382"/>
      <c r="AI321" s="382"/>
      <c r="AJ321" s="382"/>
      <c r="AK321" s="382"/>
      <c r="AL321" s="382"/>
      <c r="AM321" s="382"/>
      <c r="AN321" s="382"/>
      <c r="AO321" s="382"/>
      <c r="AP321" s="382"/>
      <c r="AQ321" s="382"/>
      <c r="AR321" s="382"/>
      <c r="AS321" s="382"/>
      <c r="AT321" s="382"/>
      <c r="AU321" s="382"/>
      <c r="AV321" s="382"/>
      <c r="AW321" s="382"/>
      <c r="AX321" s="382"/>
      <c r="AY321" s="382"/>
      <c r="AZ321" s="382"/>
      <c r="BA321" s="382"/>
      <c r="BB321" s="382"/>
      <c r="BC321" s="382"/>
      <c r="BD321" s="382"/>
      <c r="BE321" s="382"/>
      <c r="BF321" s="382"/>
      <c r="BG321" s="382"/>
      <c r="BH321" s="382"/>
      <c r="BI321" s="382"/>
      <c r="BJ321" s="382"/>
      <c r="BK321" s="382"/>
      <c r="BL321" s="382"/>
      <c r="BM321" s="382"/>
      <c r="BN321" s="382"/>
      <c r="BO321" s="382"/>
      <c r="BP321" s="382"/>
      <c r="BQ321" s="382"/>
      <c r="BR321" s="382"/>
      <c r="BS321" s="382"/>
      <c r="BT321" s="382"/>
      <c r="BU321" s="496"/>
      <c r="BV321" s="382"/>
      <c r="BW321" s="382"/>
      <c r="BX321" s="382"/>
      <c r="BY321" s="382"/>
      <c r="BZ321" s="382"/>
      <c r="CA321" s="382"/>
      <c r="CB321" s="382"/>
      <c r="CC321" s="382"/>
      <c r="CD321" s="382"/>
      <c r="CE321" s="382"/>
      <c r="CF321" s="382"/>
      <c r="CG321" s="382"/>
      <c r="CH321" s="382"/>
      <c r="CI321" s="382"/>
      <c r="CJ321" s="382"/>
      <c r="CK321" s="382"/>
      <c r="CL321" s="382"/>
      <c r="CM321" s="382"/>
      <c r="CN321" s="382"/>
      <c r="CO321" s="382"/>
      <c r="CP321" s="382"/>
      <c r="CQ321" s="382"/>
      <c r="CR321" s="382"/>
      <c r="CS321" s="382"/>
      <c r="CT321" s="382"/>
      <c r="CU321" s="382"/>
      <c r="CV321" s="382"/>
      <c r="CW321" s="800"/>
      <c r="CX321" s="382"/>
      <c r="CY321" s="382"/>
      <c r="CZ321" s="382"/>
      <c r="DA321" s="382"/>
      <c r="DB321" s="382"/>
      <c r="DC321" s="382"/>
      <c r="DD321" s="382"/>
      <c r="DE321" s="382"/>
      <c r="DF321" s="382"/>
      <c r="DG321" s="382"/>
      <c r="DH321" s="382"/>
      <c r="DI321" s="382"/>
      <c r="DJ321" s="382"/>
      <c r="DK321" s="382"/>
      <c r="DL321" s="382"/>
      <c r="DM321" s="382"/>
      <c r="DN321" s="382"/>
      <c r="DO321" s="382"/>
      <c r="DP321" s="382"/>
      <c r="DQ321" s="382"/>
      <c r="DR321" s="382"/>
      <c r="DS321" s="382"/>
      <c r="DT321" s="382"/>
      <c r="DU321" s="382"/>
      <c r="DV321" s="382"/>
      <c r="DW321" s="382"/>
      <c r="DX321" s="382"/>
      <c r="DY321" s="382"/>
      <c r="DZ321" s="228"/>
    </row>
    <row r="322" spans="2:130" s="180" customFormat="1" ht="14.25" customHeight="1" x14ac:dyDescent="0.2">
      <c r="B322" s="800"/>
      <c r="C322" s="800"/>
      <c r="D322" s="800"/>
      <c r="E322" s="769"/>
      <c r="F322" s="769"/>
      <c r="G322" s="802"/>
      <c r="H322" s="802"/>
      <c r="I322" s="802"/>
      <c r="J322" s="802"/>
      <c r="K322" s="802"/>
      <c r="L322" s="802"/>
      <c r="M322" s="802"/>
      <c r="N322" s="802"/>
      <c r="O322" s="802"/>
      <c r="P322" s="802"/>
      <c r="Q322" s="802"/>
      <c r="R322" s="802"/>
      <c r="S322" s="803"/>
      <c r="T322" s="802"/>
      <c r="U322" s="802"/>
      <c r="V322" s="802"/>
      <c r="W322" s="802"/>
      <c r="X322" s="802"/>
      <c r="Y322" s="802"/>
      <c r="Z322" s="802"/>
      <c r="AA322" s="802"/>
      <c r="AB322" s="802"/>
      <c r="AC322" s="802"/>
      <c r="AD322" s="802"/>
      <c r="AE322" s="802"/>
      <c r="AF322" s="802"/>
      <c r="AG322" s="802"/>
      <c r="AH322" s="382"/>
      <c r="AI322" s="382"/>
      <c r="AJ322" s="382"/>
      <c r="AK322" s="382"/>
      <c r="AL322" s="382"/>
      <c r="AM322" s="382"/>
      <c r="AN322" s="382"/>
      <c r="AO322" s="382"/>
      <c r="AP322" s="382"/>
      <c r="AQ322" s="382"/>
      <c r="AR322" s="382"/>
      <c r="AS322" s="382"/>
      <c r="AT322" s="382"/>
      <c r="AU322" s="382"/>
      <c r="AV322" s="382"/>
      <c r="AW322" s="382"/>
      <c r="AX322" s="382"/>
      <c r="AY322" s="382"/>
      <c r="AZ322" s="382"/>
      <c r="BA322" s="382"/>
      <c r="BB322" s="382"/>
      <c r="BC322" s="382"/>
      <c r="BD322" s="382"/>
      <c r="BE322" s="382"/>
      <c r="BF322" s="382"/>
      <c r="BG322" s="382"/>
      <c r="BH322" s="382"/>
      <c r="BI322" s="382"/>
      <c r="BJ322" s="382"/>
      <c r="BK322" s="382"/>
      <c r="BL322" s="382"/>
      <c r="BM322" s="382"/>
      <c r="BN322" s="382"/>
      <c r="BO322" s="382"/>
      <c r="BP322" s="382"/>
      <c r="BQ322" s="382"/>
      <c r="BR322" s="382"/>
      <c r="BS322" s="382"/>
      <c r="BT322" s="382"/>
      <c r="BU322" s="496"/>
      <c r="BV322" s="382"/>
      <c r="BW322" s="382"/>
      <c r="BX322" s="382"/>
      <c r="BY322" s="382"/>
      <c r="BZ322" s="382"/>
      <c r="CA322" s="382"/>
      <c r="CB322" s="382"/>
      <c r="CC322" s="382"/>
      <c r="CD322" s="382"/>
      <c r="CE322" s="382"/>
      <c r="CF322" s="382"/>
      <c r="CG322" s="382"/>
      <c r="CH322" s="382"/>
      <c r="CI322" s="382"/>
      <c r="CJ322" s="382"/>
      <c r="CK322" s="382"/>
      <c r="CL322" s="382"/>
      <c r="CM322" s="382"/>
      <c r="CN322" s="382"/>
      <c r="CO322" s="382"/>
      <c r="CP322" s="382"/>
      <c r="CQ322" s="382"/>
      <c r="CR322" s="382"/>
      <c r="CS322" s="382"/>
      <c r="CT322" s="382"/>
      <c r="CU322" s="382"/>
      <c r="CV322" s="382"/>
      <c r="CW322" s="800"/>
      <c r="CX322" s="382"/>
      <c r="CY322" s="382"/>
      <c r="CZ322" s="382"/>
      <c r="DA322" s="382"/>
      <c r="DB322" s="382"/>
      <c r="DC322" s="382"/>
      <c r="DD322" s="382"/>
      <c r="DE322" s="382"/>
      <c r="DF322" s="382"/>
      <c r="DG322" s="382"/>
      <c r="DH322" s="382"/>
      <c r="DI322" s="382"/>
      <c r="DJ322" s="382"/>
      <c r="DK322" s="382"/>
      <c r="DL322" s="382"/>
      <c r="DM322" s="382"/>
      <c r="DN322" s="382"/>
      <c r="DO322" s="382"/>
      <c r="DP322" s="382"/>
      <c r="DQ322" s="382"/>
      <c r="DR322" s="382"/>
      <c r="DS322" s="382"/>
      <c r="DT322" s="382"/>
      <c r="DU322" s="382"/>
      <c r="DV322" s="382"/>
      <c r="DW322" s="382"/>
      <c r="DX322" s="382"/>
      <c r="DY322" s="382"/>
      <c r="DZ322" s="228"/>
    </row>
    <row r="323" spans="2:130" s="180" customFormat="1" ht="14.25" customHeight="1" x14ac:dyDescent="0.2">
      <c r="B323" s="800"/>
      <c r="C323" s="800"/>
      <c r="D323" s="800"/>
      <c r="E323" s="769"/>
      <c r="F323" s="769"/>
      <c r="G323" s="802"/>
      <c r="H323" s="802"/>
      <c r="I323" s="802"/>
      <c r="J323" s="802"/>
      <c r="K323" s="802"/>
      <c r="L323" s="802"/>
      <c r="M323" s="802"/>
      <c r="N323" s="802"/>
      <c r="O323" s="802"/>
      <c r="P323" s="802"/>
      <c r="Q323" s="802"/>
      <c r="R323" s="802"/>
      <c r="S323" s="803"/>
      <c r="T323" s="802"/>
      <c r="U323" s="802"/>
      <c r="V323" s="802"/>
      <c r="W323" s="802"/>
      <c r="X323" s="802"/>
      <c r="Y323" s="802"/>
      <c r="Z323" s="802"/>
      <c r="AA323" s="802"/>
      <c r="AB323" s="802"/>
      <c r="AC323" s="802"/>
      <c r="AD323" s="802"/>
      <c r="AE323" s="802"/>
      <c r="AF323" s="802"/>
      <c r="AG323" s="802"/>
      <c r="AH323" s="382"/>
      <c r="AI323" s="382"/>
      <c r="AJ323" s="382"/>
      <c r="AK323" s="382"/>
      <c r="AL323" s="382"/>
      <c r="AM323" s="382"/>
      <c r="AN323" s="382"/>
      <c r="AO323" s="382"/>
      <c r="AP323" s="382"/>
      <c r="AQ323" s="382"/>
      <c r="AR323" s="382"/>
      <c r="AS323" s="382"/>
      <c r="AT323" s="382"/>
      <c r="AU323" s="382"/>
      <c r="AV323" s="382"/>
      <c r="AW323" s="382"/>
      <c r="AX323" s="382"/>
      <c r="AY323" s="382"/>
      <c r="AZ323" s="382"/>
      <c r="BA323" s="382"/>
      <c r="BB323" s="382"/>
      <c r="BC323" s="382"/>
      <c r="BD323" s="382"/>
      <c r="BE323" s="382"/>
      <c r="BF323" s="382"/>
      <c r="BG323" s="382"/>
      <c r="BH323" s="382"/>
      <c r="BI323" s="382"/>
      <c r="BJ323" s="382"/>
      <c r="BK323" s="382"/>
      <c r="BL323" s="382"/>
      <c r="BM323" s="382"/>
      <c r="BN323" s="382"/>
      <c r="BO323" s="382"/>
      <c r="BP323" s="382"/>
      <c r="BQ323" s="382"/>
      <c r="BR323" s="382"/>
      <c r="BS323" s="382"/>
      <c r="BT323" s="382"/>
      <c r="BU323" s="496"/>
      <c r="BV323" s="382"/>
      <c r="BW323" s="382"/>
      <c r="BX323" s="382"/>
      <c r="BY323" s="382"/>
      <c r="BZ323" s="382"/>
      <c r="CA323" s="382"/>
      <c r="CB323" s="382"/>
      <c r="CC323" s="382"/>
      <c r="CD323" s="382"/>
      <c r="CE323" s="382"/>
      <c r="CF323" s="382"/>
      <c r="CG323" s="382"/>
      <c r="CH323" s="382"/>
      <c r="CI323" s="382"/>
      <c r="CJ323" s="382"/>
      <c r="CK323" s="382"/>
      <c r="CL323" s="382"/>
      <c r="CM323" s="382"/>
      <c r="CN323" s="382"/>
      <c r="CO323" s="382"/>
      <c r="CP323" s="382"/>
      <c r="CQ323" s="382"/>
      <c r="CR323" s="382"/>
      <c r="CS323" s="382"/>
      <c r="CT323" s="382"/>
      <c r="CU323" s="382"/>
      <c r="CV323" s="382"/>
      <c r="CW323" s="800"/>
      <c r="CX323" s="382"/>
      <c r="CY323" s="382"/>
      <c r="CZ323" s="382"/>
      <c r="DA323" s="382"/>
      <c r="DB323" s="382"/>
      <c r="DC323" s="382"/>
      <c r="DD323" s="382"/>
      <c r="DE323" s="382"/>
      <c r="DF323" s="382"/>
      <c r="DG323" s="382"/>
      <c r="DH323" s="382"/>
      <c r="DI323" s="382"/>
      <c r="DJ323" s="382"/>
      <c r="DK323" s="382"/>
      <c r="DL323" s="382"/>
      <c r="DM323" s="382"/>
      <c r="DN323" s="382"/>
      <c r="DO323" s="382"/>
      <c r="DP323" s="382"/>
      <c r="DQ323" s="382"/>
      <c r="DR323" s="382"/>
      <c r="DS323" s="382"/>
      <c r="DT323" s="382"/>
      <c r="DU323" s="382"/>
      <c r="DV323" s="382"/>
      <c r="DW323" s="382"/>
      <c r="DX323" s="382"/>
      <c r="DY323" s="382"/>
      <c r="DZ323" s="228"/>
    </row>
    <row r="324" spans="2:130" s="180" customFormat="1" ht="14.25" customHeight="1" x14ac:dyDescent="0.2">
      <c r="B324" s="800"/>
      <c r="C324" s="800"/>
      <c r="D324" s="800"/>
      <c r="E324" s="769"/>
      <c r="F324" s="769"/>
      <c r="G324" s="802"/>
      <c r="H324" s="802"/>
      <c r="I324" s="802"/>
      <c r="J324" s="802"/>
      <c r="K324" s="802"/>
      <c r="L324" s="802"/>
      <c r="M324" s="802"/>
      <c r="N324" s="802"/>
      <c r="O324" s="802"/>
      <c r="P324" s="802"/>
      <c r="Q324" s="802"/>
      <c r="R324" s="802"/>
      <c r="S324" s="803"/>
      <c r="T324" s="802"/>
      <c r="U324" s="802"/>
      <c r="V324" s="802"/>
      <c r="W324" s="802"/>
      <c r="X324" s="802"/>
      <c r="Y324" s="802"/>
      <c r="Z324" s="802"/>
      <c r="AA324" s="802"/>
      <c r="AB324" s="802"/>
      <c r="AC324" s="802"/>
      <c r="AD324" s="802"/>
      <c r="AE324" s="802"/>
      <c r="AF324" s="802"/>
      <c r="AG324" s="802"/>
      <c r="AH324" s="382"/>
      <c r="AI324" s="382"/>
      <c r="AJ324" s="382"/>
      <c r="AK324" s="382"/>
      <c r="AL324" s="382"/>
      <c r="AM324" s="382"/>
      <c r="AN324" s="382"/>
      <c r="AO324" s="382"/>
      <c r="AP324" s="382"/>
      <c r="AQ324" s="382"/>
      <c r="AR324" s="382"/>
      <c r="AS324" s="382"/>
      <c r="AT324" s="382"/>
      <c r="AU324" s="382"/>
      <c r="AV324" s="382"/>
      <c r="AW324" s="382"/>
      <c r="AX324" s="382"/>
      <c r="AY324" s="382"/>
      <c r="AZ324" s="382"/>
      <c r="BA324" s="382"/>
      <c r="BB324" s="382"/>
      <c r="BC324" s="382"/>
      <c r="BD324" s="382"/>
      <c r="BE324" s="382"/>
      <c r="BF324" s="382"/>
      <c r="BG324" s="382"/>
      <c r="BH324" s="382"/>
      <c r="BI324" s="382"/>
      <c r="BJ324" s="382"/>
      <c r="BK324" s="382"/>
      <c r="BL324" s="382"/>
      <c r="BM324" s="382"/>
      <c r="BN324" s="382"/>
      <c r="BO324" s="382"/>
      <c r="BP324" s="382"/>
      <c r="BQ324" s="382"/>
      <c r="BR324" s="382"/>
      <c r="BS324" s="382"/>
      <c r="BT324" s="382"/>
      <c r="BU324" s="496"/>
      <c r="BV324" s="382"/>
      <c r="BW324" s="382"/>
      <c r="BX324" s="382"/>
      <c r="BY324" s="382"/>
      <c r="BZ324" s="382"/>
      <c r="CA324" s="382"/>
      <c r="CB324" s="382"/>
      <c r="CC324" s="382"/>
      <c r="CD324" s="382"/>
      <c r="CE324" s="382"/>
      <c r="CF324" s="382"/>
      <c r="CG324" s="382"/>
      <c r="CH324" s="382"/>
      <c r="CI324" s="382"/>
      <c r="CJ324" s="382"/>
      <c r="CK324" s="382"/>
      <c r="CL324" s="382"/>
      <c r="CM324" s="382"/>
      <c r="CN324" s="382"/>
      <c r="CO324" s="382"/>
      <c r="CP324" s="382"/>
      <c r="CQ324" s="382"/>
      <c r="CR324" s="382"/>
      <c r="CS324" s="382"/>
      <c r="CT324" s="382"/>
      <c r="CU324" s="382"/>
      <c r="CV324" s="382"/>
      <c r="CW324" s="800"/>
      <c r="CX324" s="382"/>
      <c r="CY324" s="382"/>
      <c r="CZ324" s="382"/>
      <c r="DA324" s="382"/>
      <c r="DB324" s="382"/>
      <c r="DC324" s="382"/>
      <c r="DD324" s="382"/>
      <c r="DE324" s="382"/>
      <c r="DF324" s="382"/>
      <c r="DG324" s="382"/>
      <c r="DH324" s="382"/>
      <c r="DI324" s="382"/>
      <c r="DJ324" s="382"/>
      <c r="DK324" s="382"/>
      <c r="DL324" s="382"/>
      <c r="DM324" s="382"/>
      <c r="DN324" s="382"/>
      <c r="DO324" s="382"/>
      <c r="DP324" s="382"/>
      <c r="DQ324" s="382"/>
      <c r="DR324" s="382"/>
      <c r="DS324" s="382"/>
      <c r="DT324" s="382"/>
      <c r="DU324" s="382"/>
      <c r="DV324" s="382"/>
      <c r="DW324" s="382"/>
      <c r="DX324" s="382"/>
      <c r="DY324" s="382"/>
      <c r="DZ324" s="228"/>
    </row>
    <row r="325" spans="2:130" s="180" customFormat="1" ht="14.25" customHeight="1" x14ac:dyDescent="0.2">
      <c r="B325" s="800"/>
      <c r="C325" s="800"/>
      <c r="D325" s="800"/>
      <c r="E325" s="769"/>
      <c r="F325" s="769"/>
      <c r="G325" s="802"/>
      <c r="H325" s="802"/>
      <c r="I325" s="802"/>
      <c r="J325" s="802"/>
      <c r="K325" s="802"/>
      <c r="L325" s="802"/>
      <c r="M325" s="802"/>
      <c r="N325" s="802"/>
      <c r="O325" s="802"/>
      <c r="P325" s="802"/>
      <c r="Q325" s="802"/>
      <c r="R325" s="802"/>
      <c r="S325" s="803"/>
      <c r="T325" s="802"/>
      <c r="U325" s="802"/>
      <c r="V325" s="802"/>
      <c r="W325" s="802"/>
      <c r="X325" s="802"/>
      <c r="Y325" s="802"/>
      <c r="Z325" s="802"/>
      <c r="AA325" s="802"/>
      <c r="AB325" s="802"/>
      <c r="AC325" s="802"/>
      <c r="AD325" s="802"/>
      <c r="AE325" s="802"/>
      <c r="AF325" s="802"/>
      <c r="AG325" s="802"/>
      <c r="AH325" s="382"/>
      <c r="AI325" s="382"/>
      <c r="AJ325" s="382"/>
      <c r="AK325" s="382"/>
      <c r="AL325" s="382"/>
      <c r="AM325" s="382"/>
      <c r="AN325" s="382"/>
      <c r="AO325" s="382"/>
      <c r="AP325" s="382"/>
      <c r="AQ325" s="382"/>
      <c r="AR325" s="382"/>
      <c r="AS325" s="382"/>
      <c r="AT325" s="382"/>
      <c r="AU325" s="382"/>
      <c r="AV325" s="382"/>
      <c r="AW325" s="382"/>
      <c r="AX325" s="382"/>
      <c r="AY325" s="382"/>
      <c r="AZ325" s="382"/>
      <c r="BA325" s="382"/>
      <c r="BB325" s="382"/>
      <c r="BC325" s="382"/>
      <c r="BD325" s="382"/>
      <c r="BE325" s="382"/>
      <c r="BF325" s="382"/>
      <c r="BG325" s="382"/>
      <c r="BH325" s="382"/>
      <c r="BI325" s="382"/>
      <c r="BJ325" s="382"/>
      <c r="BK325" s="382"/>
      <c r="BL325" s="382"/>
      <c r="BM325" s="382"/>
      <c r="BN325" s="382"/>
      <c r="BO325" s="382"/>
      <c r="BP325" s="382"/>
      <c r="BQ325" s="382"/>
      <c r="BR325" s="382"/>
      <c r="BS325" s="382"/>
      <c r="BT325" s="382"/>
      <c r="BU325" s="496"/>
      <c r="BV325" s="382"/>
      <c r="BW325" s="382"/>
      <c r="BX325" s="382"/>
      <c r="BY325" s="382"/>
      <c r="BZ325" s="382"/>
      <c r="CA325" s="382"/>
      <c r="CB325" s="382"/>
      <c r="CC325" s="382"/>
      <c r="CD325" s="382"/>
      <c r="CE325" s="382"/>
      <c r="CF325" s="382"/>
      <c r="CG325" s="382"/>
      <c r="CH325" s="382"/>
      <c r="CI325" s="382"/>
      <c r="CJ325" s="382"/>
      <c r="CK325" s="382"/>
      <c r="CL325" s="382"/>
      <c r="CM325" s="382"/>
      <c r="CN325" s="382"/>
      <c r="CO325" s="382"/>
      <c r="CP325" s="382"/>
      <c r="CQ325" s="382"/>
      <c r="CR325" s="382"/>
      <c r="CS325" s="382"/>
      <c r="CT325" s="382"/>
      <c r="CU325" s="382"/>
      <c r="CV325" s="382"/>
      <c r="CW325" s="800"/>
      <c r="CX325" s="382"/>
      <c r="CY325" s="382"/>
      <c r="CZ325" s="382"/>
      <c r="DA325" s="382"/>
      <c r="DB325" s="382"/>
      <c r="DC325" s="382"/>
      <c r="DD325" s="382"/>
      <c r="DE325" s="382"/>
      <c r="DF325" s="382"/>
      <c r="DG325" s="382"/>
      <c r="DH325" s="382"/>
      <c r="DI325" s="382"/>
      <c r="DJ325" s="382"/>
      <c r="DK325" s="382"/>
      <c r="DL325" s="382"/>
      <c r="DM325" s="382"/>
      <c r="DN325" s="382"/>
      <c r="DO325" s="382"/>
      <c r="DP325" s="382"/>
      <c r="DQ325" s="382"/>
      <c r="DR325" s="382"/>
      <c r="DS325" s="382"/>
      <c r="DT325" s="382"/>
      <c r="DU325" s="382"/>
      <c r="DV325" s="382"/>
      <c r="DW325" s="382"/>
      <c r="DX325" s="382"/>
      <c r="DY325" s="382"/>
      <c r="DZ325" s="228"/>
    </row>
    <row r="326" spans="2:130" s="180" customFormat="1" ht="14.25" customHeight="1" x14ac:dyDescent="0.2">
      <c r="B326" s="800"/>
      <c r="C326" s="800"/>
      <c r="D326" s="800"/>
      <c r="E326" s="769"/>
      <c r="F326" s="769"/>
      <c r="G326" s="802"/>
      <c r="H326" s="802"/>
      <c r="I326" s="802"/>
      <c r="J326" s="802"/>
      <c r="K326" s="802"/>
      <c r="L326" s="802"/>
      <c r="M326" s="802"/>
      <c r="N326" s="802"/>
      <c r="O326" s="802"/>
      <c r="P326" s="802"/>
      <c r="Q326" s="802"/>
      <c r="R326" s="802"/>
      <c r="S326" s="803"/>
      <c r="T326" s="802"/>
      <c r="U326" s="802"/>
      <c r="V326" s="802"/>
      <c r="W326" s="802"/>
      <c r="X326" s="802"/>
      <c r="Y326" s="802"/>
      <c r="Z326" s="802"/>
      <c r="AA326" s="802"/>
      <c r="AB326" s="802"/>
      <c r="AC326" s="802"/>
      <c r="AD326" s="802"/>
      <c r="AE326" s="802"/>
      <c r="AF326" s="802"/>
      <c r="AG326" s="802"/>
      <c r="AH326" s="382"/>
      <c r="AI326" s="382"/>
      <c r="AJ326" s="382"/>
      <c r="AK326" s="382"/>
      <c r="AL326" s="382"/>
      <c r="AM326" s="382"/>
      <c r="AN326" s="382"/>
      <c r="AO326" s="382"/>
      <c r="AP326" s="382"/>
      <c r="AQ326" s="382"/>
      <c r="AR326" s="382"/>
      <c r="AS326" s="382"/>
      <c r="AT326" s="382"/>
      <c r="AU326" s="382"/>
      <c r="AV326" s="382"/>
      <c r="AW326" s="382"/>
      <c r="AX326" s="382"/>
      <c r="AY326" s="382"/>
      <c r="AZ326" s="382"/>
      <c r="BA326" s="382"/>
      <c r="BB326" s="382"/>
      <c r="BC326" s="382"/>
      <c r="BD326" s="382"/>
      <c r="BE326" s="382"/>
      <c r="BF326" s="382"/>
      <c r="BG326" s="382"/>
      <c r="BH326" s="382"/>
      <c r="BI326" s="382"/>
      <c r="BJ326" s="382"/>
      <c r="BK326" s="382"/>
      <c r="BL326" s="382"/>
      <c r="BM326" s="382"/>
      <c r="BN326" s="382"/>
      <c r="BO326" s="382"/>
      <c r="BP326" s="382"/>
      <c r="BQ326" s="382"/>
      <c r="BR326" s="382"/>
      <c r="BS326" s="382"/>
      <c r="BT326" s="382"/>
      <c r="BU326" s="496"/>
      <c r="BV326" s="382"/>
      <c r="BW326" s="382"/>
      <c r="BX326" s="382"/>
      <c r="BY326" s="382"/>
      <c r="BZ326" s="382"/>
      <c r="CA326" s="382"/>
      <c r="CB326" s="382"/>
      <c r="CC326" s="382"/>
      <c r="CD326" s="382"/>
      <c r="CE326" s="382"/>
      <c r="CF326" s="382"/>
      <c r="CG326" s="382"/>
      <c r="CH326" s="382"/>
      <c r="CI326" s="382"/>
      <c r="CJ326" s="382"/>
      <c r="CK326" s="382"/>
      <c r="CL326" s="382"/>
      <c r="CM326" s="382"/>
      <c r="CN326" s="382"/>
      <c r="CO326" s="382"/>
      <c r="CP326" s="382"/>
      <c r="CQ326" s="382"/>
      <c r="CR326" s="382"/>
      <c r="CS326" s="382"/>
      <c r="CT326" s="382"/>
      <c r="CU326" s="382"/>
      <c r="CV326" s="382"/>
      <c r="CW326" s="800"/>
      <c r="CX326" s="382"/>
      <c r="CY326" s="382"/>
      <c r="CZ326" s="382"/>
      <c r="DA326" s="382"/>
      <c r="DB326" s="382"/>
      <c r="DC326" s="382"/>
      <c r="DD326" s="382"/>
      <c r="DE326" s="382"/>
      <c r="DF326" s="382"/>
      <c r="DG326" s="382"/>
      <c r="DH326" s="382"/>
      <c r="DI326" s="382"/>
      <c r="DJ326" s="382"/>
      <c r="DK326" s="382"/>
      <c r="DL326" s="382"/>
      <c r="DM326" s="382"/>
      <c r="DN326" s="382"/>
      <c r="DO326" s="382"/>
      <c r="DP326" s="382"/>
      <c r="DQ326" s="382"/>
      <c r="DR326" s="382"/>
      <c r="DS326" s="382"/>
      <c r="DT326" s="382"/>
      <c r="DU326" s="382"/>
      <c r="DV326" s="382"/>
      <c r="DW326" s="382"/>
      <c r="DX326" s="382"/>
      <c r="DY326" s="382"/>
      <c r="DZ326" s="228"/>
    </row>
    <row r="327" spans="2:130" s="180" customFormat="1" ht="14.25" customHeight="1" x14ac:dyDescent="0.2">
      <c r="B327" s="800"/>
      <c r="C327" s="800"/>
      <c r="D327" s="800"/>
      <c r="E327" s="769"/>
      <c r="F327" s="769"/>
      <c r="G327" s="802"/>
      <c r="H327" s="802"/>
      <c r="I327" s="802"/>
      <c r="J327" s="802"/>
      <c r="K327" s="802"/>
      <c r="L327" s="802"/>
      <c r="M327" s="802"/>
      <c r="N327" s="802"/>
      <c r="O327" s="802"/>
      <c r="P327" s="802"/>
      <c r="Q327" s="802"/>
      <c r="R327" s="802"/>
      <c r="S327" s="803"/>
      <c r="T327" s="802"/>
      <c r="U327" s="802"/>
      <c r="V327" s="802"/>
      <c r="W327" s="802"/>
      <c r="X327" s="802"/>
      <c r="Y327" s="802"/>
      <c r="Z327" s="802"/>
      <c r="AA327" s="802"/>
      <c r="AB327" s="802"/>
      <c r="AC327" s="802"/>
      <c r="AD327" s="802"/>
      <c r="AE327" s="802"/>
      <c r="AF327" s="802"/>
      <c r="AG327" s="802"/>
      <c r="AH327" s="382"/>
      <c r="AI327" s="382"/>
      <c r="AJ327" s="382"/>
      <c r="AK327" s="382"/>
      <c r="AL327" s="382"/>
      <c r="AM327" s="382"/>
      <c r="AN327" s="382"/>
      <c r="AO327" s="382"/>
      <c r="AP327" s="382"/>
      <c r="AQ327" s="382"/>
      <c r="AR327" s="382"/>
      <c r="AS327" s="382"/>
      <c r="AT327" s="382"/>
      <c r="AU327" s="382"/>
      <c r="AV327" s="382"/>
      <c r="AW327" s="382"/>
      <c r="AX327" s="382"/>
      <c r="AY327" s="382"/>
      <c r="AZ327" s="382"/>
      <c r="BA327" s="382"/>
      <c r="BB327" s="382"/>
      <c r="BC327" s="382"/>
      <c r="BD327" s="382"/>
      <c r="BE327" s="382"/>
      <c r="BF327" s="382"/>
      <c r="BG327" s="382"/>
      <c r="BH327" s="382"/>
      <c r="BI327" s="382"/>
      <c r="BJ327" s="382"/>
      <c r="BK327" s="382"/>
      <c r="BL327" s="382"/>
      <c r="BM327" s="382"/>
      <c r="BN327" s="382"/>
      <c r="BO327" s="382"/>
      <c r="BP327" s="382"/>
      <c r="BQ327" s="382"/>
      <c r="BR327" s="382"/>
      <c r="BS327" s="382"/>
      <c r="BT327" s="382"/>
      <c r="BU327" s="496"/>
      <c r="BV327" s="382"/>
      <c r="BW327" s="382"/>
      <c r="BX327" s="382"/>
      <c r="BY327" s="382"/>
      <c r="BZ327" s="382"/>
      <c r="CA327" s="382"/>
      <c r="CB327" s="382"/>
      <c r="CC327" s="382"/>
      <c r="CD327" s="382"/>
      <c r="CE327" s="382"/>
      <c r="CF327" s="382"/>
      <c r="CG327" s="382"/>
      <c r="CH327" s="382"/>
      <c r="CI327" s="382"/>
      <c r="CJ327" s="382"/>
      <c r="CK327" s="382"/>
      <c r="CL327" s="382"/>
      <c r="CM327" s="382"/>
      <c r="CN327" s="382"/>
      <c r="CO327" s="382"/>
      <c r="CP327" s="382"/>
      <c r="CQ327" s="382"/>
      <c r="CR327" s="382"/>
      <c r="CS327" s="382"/>
      <c r="CT327" s="382"/>
      <c r="CU327" s="382"/>
      <c r="CV327" s="382"/>
      <c r="CW327" s="800"/>
      <c r="CX327" s="382"/>
      <c r="CY327" s="382"/>
      <c r="CZ327" s="382"/>
      <c r="DA327" s="382"/>
      <c r="DB327" s="382"/>
      <c r="DC327" s="382"/>
      <c r="DD327" s="382"/>
      <c r="DE327" s="382"/>
      <c r="DF327" s="382"/>
      <c r="DG327" s="382"/>
      <c r="DH327" s="382"/>
      <c r="DI327" s="382"/>
      <c r="DJ327" s="382"/>
      <c r="DK327" s="382"/>
      <c r="DL327" s="382"/>
      <c r="DM327" s="382"/>
      <c r="DN327" s="382"/>
      <c r="DO327" s="382"/>
      <c r="DP327" s="382"/>
      <c r="DQ327" s="382"/>
      <c r="DR327" s="382"/>
      <c r="DS327" s="382"/>
      <c r="DT327" s="382"/>
      <c r="DU327" s="382"/>
      <c r="DV327" s="382"/>
      <c r="DW327" s="382"/>
      <c r="DX327" s="382"/>
      <c r="DY327" s="382"/>
      <c r="DZ327" s="228"/>
    </row>
    <row r="328" spans="2:130" s="180" customFormat="1" ht="14.25" customHeight="1" x14ac:dyDescent="0.2">
      <c r="B328" s="800"/>
      <c r="C328" s="800"/>
      <c r="D328" s="800"/>
      <c r="E328" s="769"/>
      <c r="F328" s="769"/>
      <c r="G328" s="802"/>
      <c r="H328" s="802"/>
      <c r="I328" s="802"/>
      <c r="J328" s="802"/>
      <c r="K328" s="802"/>
      <c r="L328" s="802"/>
      <c r="M328" s="802"/>
      <c r="N328" s="802"/>
      <c r="O328" s="802"/>
      <c r="P328" s="802"/>
      <c r="Q328" s="802"/>
      <c r="R328" s="802"/>
      <c r="S328" s="803"/>
      <c r="T328" s="802"/>
      <c r="U328" s="802"/>
      <c r="V328" s="802"/>
      <c r="W328" s="802"/>
      <c r="X328" s="802"/>
      <c r="Y328" s="802"/>
      <c r="Z328" s="802"/>
      <c r="AA328" s="802"/>
      <c r="AB328" s="802"/>
      <c r="AC328" s="802"/>
      <c r="AD328" s="802"/>
      <c r="AE328" s="802"/>
      <c r="AF328" s="802"/>
      <c r="AG328" s="802"/>
      <c r="AH328" s="382"/>
      <c r="AI328" s="382"/>
      <c r="AJ328" s="382"/>
      <c r="AK328" s="382"/>
      <c r="AL328" s="382"/>
      <c r="AM328" s="382"/>
      <c r="AN328" s="382"/>
      <c r="AO328" s="382"/>
      <c r="AP328" s="382"/>
      <c r="AQ328" s="382"/>
      <c r="AR328" s="382"/>
      <c r="AS328" s="382"/>
      <c r="AT328" s="382"/>
      <c r="AU328" s="382"/>
      <c r="AV328" s="382"/>
      <c r="AW328" s="382"/>
      <c r="AX328" s="382"/>
      <c r="AY328" s="382"/>
      <c r="AZ328" s="382"/>
      <c r="BA328" s="382"/>
      <c r="BB328" s="382"/>
      <c r="BC328" s="382"/>
      <c r="BD328" s="382"/>
      <c r="BE328" s="382"/>
      <c r="BF328" s="382"/>
      <c r="BG328" s="382"/>
      <c r="BH328" s="382"/>
      <c r="BI328" s="382"/>
      <c r="BJ328" s="382"/>
      <c r="BK328" s="382"/>
      <c r="BL328" s="382"/>
      <c r="BM328" s="382"/>
      <c r="BN328" s="382"/>
      <c r="BO328" s="382"/>
      <c r="BP328" s="382"/>
      <c r="BQ328" s="382"/>
      <c r="BR328" s="382"/>
      <c r="BS328" s="382"/>
      <c r="BT328" s="382"/>
      <c r="BU328" s="496"/>
      <c r="BV328" s="382"/>
      <c r="BW328" s="382"/>
      <c r="BX328" s="382"/>
      <c r="BY328" s="382"/>
      <c r="BZ328" s="382"/>
      <c r="CA328" s="382"/>
      <c r="CB328" s="382"/>
      <c r="CC328" s="382"/>
      <c r="CD328" s="382"/>
      <c r="CE328" s="382"/>
      <c r="CF328" s="382"/>
      <c r="CG328" s="382"/>
      <c r="CH328" s="382"/>
      <c r="CI328" s="382"/>
      <c r="CJ328" s="382"/>
      <c r="CK328" s="382"/>
      <c r="CL328" s="382"/>
      <c r="CM328" s="382"/>
      <c r="CN328" s="382"/>
      <c r="CO328" s="382"/>
      <c r="CP328" s="382"/>
      <c r="CQ328" s="382"/>
      <c r="CR328" s="382"/>
      <c r="CS328" s="382"/>
      <c r="CT328" s="382"/>
      <c r="CU328" s="382"/>
      <c r="CV328" s="382"/>
      <c r="CW328" s="800"/>
      <c r="CX328" s="382"/>
      <c r="CY328" s="382"/>
      <c r="CZ328" s="382"/>
      <c r="DA328" s="382"/>
      <c r="DB328" s="382"/>
      <c r="DC328" s="382"/>
      <c r="DD328" s="382"/>
      <c r="DE328" s="382"/>
      <c r="DF328" s="382"/>
      <c r="DG328" s="382"/>
      <c r="DH328" s="382"/>
      <c r="DI328" s="382"/>
      <c r="DJ328" s="382"/>
      <c r="DK328" s="382"/>
      <c r="DL328" s="382"/>
      <c r="DM328" s="382"/>
      <c r="DN328" s="382"/>
      <c r="DO328" s="382"/>
      <c r="DP328" s="382"/>
      <c r="DQ328" s="382"/>
      <c r="DR328" s="382"/>
      <c r="DS328" s="382"/>
      <c r="DT328" s="382"/>
      <c r="DU328" s="382"/>
      <c r="DV328" s="382"/>
      <c r="DW328" s="382"/>
      <c r="DX328" s="382"/>
      <c r="DY328" s="382"/>
      <c r="DZ328" s="228"/>
    </row>
    <row r="329" spans="2:130" s="180" customFormat="1" ht="14.25" customHeight="1" x14ac:dyDescent="0.2">
      <c r="B329" s="800"/>
      <c r="C329" s="800"/>
      <c r="D329" s="800"/>
      <c r="E329" s="769"/>
      <c r="F329" s="769"/>
      <c r="G329" s="802"/>
      <c r="H329" s="802"/>
      <c r="I329" s="802"/>
      <c r="J329" s="802"/>
      <c r="K329" s="802"/>
      <c r="L329" s="802"/>
      <c r="M329" s="802"/>
      <c r="N329" s="802"/>
      <c r="O329" s="802"/>
      <c r="P329" s="802"/>
      <c r="Q329" s="802"/>
      <c r="R329" s="802"/>
      <c r="S329" s="803"/>
      <c r="T329" s="802"/>
      <c r="U329" s="802"/>
      <c r="V329" s="802"/>
      <c r="W329" s="802"/>
      <c r="X329" s="802"/>
      <c r="Y329" s="802"/>
      <c r="Z329" s="802"/>
      <c r="AA329" s="802"/>
      <c r="AB329" s="802"/>
      <c r="AC329" s="802"/>
      <c r="AD329" s="802"/>
      <c r="AE329" s="802"/>
      <c r="AF329" s="802"/>
      <c r="AG329" s="802"/>
      <c r="AH329" s="382"/>
      <c r="AI329" s="382"/>
      <c r="AJ329" s="382"/>
      <c r="AK329" s="382"/>
      <c r="AL329" s="382"/>
      <c r="AM329" s="382"/>
      <c r="AN329" s="382"/>
      <c r="AO329" s="382"/>
      <c r="AP329" s="382"/>
      <c r="AQ329" s="382"/>
      <c r="AR329" s="382"/>
      <c r="AS329" s="382"/>
      <c r="AT329" s="382"/>
      <c r="AU329" s="382"/>
      <c r="AV329" s="382"/>
      <c r="AW329" s="382"/>
      <c r="AX329" s="382"/>
      <c r="AY329" s="382"/>
      <c r="AZ329" s="382"/>
      <c r="BA329" s="382"/>
      <c r="BB329" s="382"/>
      <c r="BC329" s="382"/>
      <c r="BD329" s="382"/>
      <c r="BE329" s="382"/>
      <c r="BF329" s="382"/>
      <c r="BG329" s="382"/>
      <c r="BH329" s="382"/>
      <c r="BI329" s="382"/>
      <c r="BJ329" s="382"/>
      <c r="BK329" s="382"/>
      <c r="BL329" s="382"/>
      <c r="BM329" s="382"/>
      <c r="BN329" s="382"/>
      <c r="BO329" s="382"/>
      <c r="BP329" s="382"/>
      <c r="BQ329" s="382"/>
      <c r="BR329" s="382"/>
      <c r="BS329" s="382"/>
      <c r="BT329" s="382"/>
      <c r="BU329" s="496"/>
      <c r="BV329" s="382"/>
      <c r="BW329" s="382"/>
      <c r="BX329" s="382"/>
      <c r="BY329" s="382"/>
      <c r="BZ329" s="382"/>
      <c r="CA329" s="382"/>
      <c r="CB329" s="382"/>
      <c r="CC329" s="382"/>
      <c r="CD329" s="382"/>
      <c r="CE329" s="382"/>
      <c r="CF329" s="382"/>
      <c r="CG329" s="382"/>
      <c r="CH329" s="382"/>
      <c r="CI329" s="382"/>
      <c r="CJ329" s="382"/>
      <c r="CK329" s="382"/>
      <c r="CL329" s="382"/>
      <c r="CM329" s="382"/>
      <c r="CN329" s="382"/>
      <c r="CO329" s="382"/>
      <c r="CP329" s="382"/>
      <c r="CQ329" s="382"/>
      <c r="CR329" s="382"/>
      <c r="CS329" s="382"/>
      <c r="CT329" s="382"/>
      <c r="CU329" s="382"/>
      <c r="CV329" s="382"/>
      <c r="CW329" s="800"/>
      <c r="CX329" s="382"/>
      <c r="CY329" s="382"/>
      <c r="CZ329" s="382"/>
      <c r="DA329" s="382"/>
      <c r="DB329" s="382"/>
      <c r="DC329" s="382"/>
      <c r="DD329" s="382"/>
      <c r="DE329" s="382"/>
      <c r="DF329" s="382"/>
      <c r="DG329" s="382"/>
      <c r="DH329" s="382"/>
      <c r="DI329" s="382"/>
      <c r="DJ329" s="382"/>
      <c r="DK329" s="382"/>
      <c r="DL329" s="382"/>
      <c r="DM329" s="382"/>
      <c r="DN329" s="382"/>
      <c r="DO329" s="382"/>
      <c r="DP329" s="382"/>
      <c r="DQ329" s="382"/>
      <c r="DR329" s="382"/>
      <c r="DS329" s="382"/>
      <c r="DT329" s="382"/>
      <c r="DU329" s="382"/>
      <c r="DV329" s="382"/>
      <c r="DW329" s="382"/>
      <c r="DX329" s="382"/>
      <c r="DY329" s="382"/>
      <c r="DZ329" s="228"/>
    </row>
    <row r="330" spans="2:130" s="180" customFormat="1" ht="14.25" customHeight="1" x14ac:dyDescent="0.2">
      <c r="B330" s="800"/>
      <c r="C330" s="800"/>
      <c r="D330" s="800"/>
      <c r="E330" s="769"/>
      <c r="F330" s="769"/>
      <c r="G330" s="802"/>
      <c r="H330" s="802"/>
      <c r="I330" s="802"/>
      <c r="J330" s="802"/>
      <c r="K330" s="802"/>
      <c r="L330" s="802"/>
      <c r="M330" s="802"/>
      <c r="N330" s="802"/>
      <c r="O330" s="802"/>
      <c r="P330" s="802"/>
      <c r="Q330" s="802"/>
      <c r="R330" s="802"/>
      <c r="S330" s="803"/>
      <c r="T330" s="802"/>
      <c r="U330" s="802"/>
      <c r="V330" s="802"/>
      <c r="W330" s="802"/>
      <c r="X330" s="802"/>
      <c r="Y330" s="802"/>
      <c r="Z330" s="802"/>
      <c r="AA330" s="802"/>
      <c r="AB330" s="802"/>
      <c r="AC330" s="802"/>
      <c r="AD330" s="802"/>
      <c r="AE330" s="802"/>
      <c r="AF330" s="802"/>
      <c r="AG330" s="802"/>
      <c r="AH330" s="382"/>
      <c r="AI330" s="382"/>
      <c r="AJ330" s="382"/>
      <c r="AK330" s="382"/>
      <c r="AL330" s="382"/>
      <c r="AM330" s="382"/>
      <c r="AN330" s="382"/>
      <c r="AO330" s="382"/>
      <c r="AP330" s="382"/>
      <c r="AQ330" s="382"/>
      <c r="AR330" s="382"/>
      <c r="AS330" s="382"/>
      <c r="AT330" s="382"/>
      <c r="AU330" s="382"/>
      <c r="AV330" s="382"/>
      <c r="AW330" s="382"/>
      <c r="AX330" s="382"/>
      <c r="AY330" s="382"/>
      <c r="AZ330" s="382"/>
      <c r="BA330" s="382"/>
      <c r="BB330" s="382"/>
      <c r="BC330" s="382"/>
      <c r="BD330" s="382"/>
      <c r="BE330" s="382"/>
      <c r="BF330" s="382"/>
      <c r="BG330" s="382"/>
      <c r="BH330" s="382"/>
      <c r="BI330" s="382"/>
      <c r="BJ330" s="382"/>
      <c r="BK330" s="382"/>
      <c r="BL330" s="382"/>
      <c r="BM330" s="382"/>
      <c r="BN330" s="382"/>
      <c r="BO330" s="382"/>
      <c r="BP330" s="382"/>
      <c r="BQ330" s="382"/>
      <c r="BR330" s="382"/>
      <c r="BS330" s="382"/>
      <c r="BT330" s="382"/>
      <c r="BU330" s="496"/>
      <c r="BV330" s="382"/>
      <c r="BW330" s="382"/>
      <c r="BX330" s="382"/>
      <c r="BY330" s="382"/>
      <c r="BZ330" s="382"/>
      <c r="CA330" s="382"/>
      <c r="CB330" s="382"/>
      <c r="CC330" s="382"/>
      <c r="CD330" s="382"/>
      <c r="CE330" s="382"/>
      <c r="CF330" s="382"/>
      <c r="CG330" s="382"/>
      <c r="CH330" s="382"/>
      <c r="CI330" s="382"/>
      <c r="CJ330" s="382"/>
      <c r="CK330" s="382"/>
      <c r="CL330" s="382"/>
      <c r="CM330" s="382"/>
      <c r="CN330" s="382"/>
      <c r="CO330" s="382"/>
      <c r="CP330" s="382"/>
      <c r="CQ330" s="382"/>
      <c r="CR330" s="382"/>
      <c r="CS330" s="382"/>
      <c r="CT330" s="382"/>
      <c r="CU330" s="382"/>
      <c r="CV330" s="382"/>
      <c r="CW330" s="800"/>
      <c r="CX330" s="382"/>
      <c r="CY330" s="382"/>
      <c r="CZ330" s="382"/>
      <c r="DA330" s="382"/>
      <c r="DB330" s="382"/>
      <c r="DC330" s="382"/>
      <c r="DD330" s="382"/>
      <c r="DE330" s="382"/>
      <c r="DF330" s="382"/>
      <c r="DG330" s="382"/>
      <c r="DH330" s="382"/>
      <c r="DI330" s="382"/>
      <c r="DJ330" s="382"/>
      <c r="DK330" s="382"/>
      <c r="DL330" s="382"/>
      <c r="DM330" s="382"/>
      <c r="DN330" s="382"/>
      <c r="DO330" s="382"/>
      <c r="DP330" s="382"/>
      <c r="DQ330" s="382"/>
      <c r="DR330" s="382"/>
      <c r="DS330" s="382"/>
      <c r="DT330" s="382"/>
      <c r="DU330" s="382"/>
      <c r="DV330" s="382"/>
      <c r="DW330" s="382"/>
      <c r="DX330" s="382"/>
      <c r="DY330" s="382"/>
      <c r="DZ330" s="228"/>
    </row>
    <row r="331" spans="2:130" s="180" customFormat="1" ht="14.25" customHeight="1" x14ac:dyDescent="0.2">
      <c r="B331" s="800"/>
      <c r="C331" s="800"/>
      <c r="D331" s="800"/>
      <c r="E331" s="769"/>
      <c r="F331" s="769"/>
      <c r="G331" s="802"/>
      <c r="H331" s="802"/>
      <c r="I331" s="802"/>
      <c r="J331" s="802"/>
      <c r="K331" s="802"/>
      <c r="L331" s="802"/>
      <c r="M331" s="802"/>
      <c r="N331" s="802"/>
      <c r="O331" s="802"/>
      <c r="P331" s="802"/>
      <c r="Q331" s="802"/>
      <c r="R331" s="802"/>
      <c r="S331" s="803"/>
      <c r="T331" s="802"/>
      <c r="U331" s="802"/>
      <c r="V331" s="802"/>
      <c r="W331" s="802"/>
      <c r="X331" s="802"/>
      <c r="Y331" s="802"/>
      <c r="Z331" s="802"/>
      <c r="AA331" s="802"/>
      <c r="AB331" s="802"/>
      <c r="AC331" s="802"/>
      <c r="AD331" s="802"/>
      <c r="AE331" s="802"/>
      <c r="AF331" s="802"/>
      <c r="AG331" s="802"/>
      <c r="AH331" s="382"/>
      <c r="AI331" s="382"/>
      <c r="AJ331" s="382"/>
      <c r="AK331" s="382"/>
      <c r="AL331" s="382"/>
      <c r="AM331" s="382"/>
      <c r="AN331" s="382"/>
      <c r="AO331" s="382"/>
      <c r="AP331" s="382"/>
      <c r="AQ331" s="382"/>
      <c r="AR331" s="382"/>
      <c r="AS331" s="382"/>
      <c r="AT331" s="382"/>
      <c r="AU331" s="382"/>
      <c r="AV331" s="382"/>
      <c r="AW331" s="382"/>
      <c r="AX331" s="382"/>
      <c r="AY331" s="382"/>
      <c r="AZ331" s="382"/>
      <c r="BA331" s="382"/>
      <c r="BB331" s="382"/>
      <c r="BC331" s="382"/>
      <c r="BD331" s="382"/>
      <c r="BE331" s="382"/>
      <c r="BF331" s="382"/>
      <c r="BG331" s="382"/>
      <c r="BH331" s="382"/>
      <c r="BI331" s="382"/>
      <c r="BJ331" s="382"/>
      <c r="BK331" s="382"/>
      <c r="BL331" s="382"/>
      <c r="BM331" s="382"/>
      <c r="BN331" s="382"/>
      <c r="BO331" s="382"/>
      <c r="BP331" s="382"/>
      <c r="BQ331" s="382"/>
      <c r="BR331" s="382"/>
      <c r="BS331" s="382"/>
      <c r="BT331" s="382"/>
      <c r="BU331" s="496"/>
      <c r="BV331" s="382"/>
      <c r="BW331" s="382"/>
      <c r="BX331" s="382"/>
      <c r="BY331" s="382"/>
      <c r="BZ331" s="382"/>
      <c r="CA331" s="382"/>
      <c r="CB331" s="382"/>
      <c r="CC331" s="382"/>
      <c r="CD331" s="382"/>
      <c r="CE331" s="382"/>
      <c r="CF331" s="382"/>
      <c r="CG331" s="382"/>
      <c r="CH331" s="382"/>
      <c r="CI331" s="382"/>
      <c r="CJ331" s="382"/>
      <c r="CK331" s="382"/>
      <c r="CL331" s="382"/>
      <c r="CM331" s="382"/>
      <c r="CN331" s="382"/>
      <c r="CO331" s="382"/>
      <c r="CP331" s="382"/>
      <c r="CQ331" s="382"/>
      <c r="CR331" s="382"/>
      <c r="CS331" s="382"/>
      <c r="CT331" s="382"/>
      <c r="CU331" s="382"/>
      <c r="CV331" s="382"/>
      <c r="CW331" s="800"/>
      <c r="CX331" s="382"/>
      <c r="CY331" s="382"/>
      <c r="CZ331" s="382"/>
      <c r="DA331" s="382"/>
      <c r="DB331" s="382"/>
      <c r="DC331" s="382"/>
      <c r="DD331" s="382"/>
      <c r="DE331" s="382"/>
      <c r="DF331" s="382"/>
      <c r="DG331" s="382"/>
      <c r="DH331" s="382"/>
      <c r="DI331" s="382"/>
      <c r="DJ331" s="382"/>
      <c r="DK331" s="382"/>
      <c r="DL331" s="382"/>
      <c r="DM331" s="382"/>
      <c r="DN331" s="382"/>
      <c r="DO331" s="382"/>
      <c r="DP331" s="382"/>
      <c r="DQ331" s="382"/>
      <c r="DR331" s="382"/>
      <c r="DS331" s="382"/>
      <c r="DT331" s="382"/>
      <c r="DU331" s="382"/>
      <c r="DV331" s="382"/>
      <c r="DW331" s="382"/>
      <c r="DX331" s="382"/>
      <c r="DY331" s="382"/>
      <c r="DZ331" s="228"/>
    </row>
    <row r="332" spans="2:130" s="180" customFormat="1" ht="14.25" customHeight="1" x14ac:dyDescent="0.2">
      <c r="B332" s="800"/>
      <c r="C332" s="800"/>
      <c r="D332" s="800"/>
      <c r="E332" s="769"/>
      <c r="F332" s="769"/>
      <c r="G332" s="802"/>
      <c r="H332" s="802"/>
      <c r="I332" s="802"/>
      <c r="J332" s="802"/>
      <c r="K332" s="802"/>
      <c r="L332" s="802"/>
      <c r="M332" s="802"/>
      <c r="N332" s="802"/>
      <c r="O332" s="802"/>
      <c r="P332" s="802"/>
      <c r="Q332" s="802"/>
      <c r="R332" s="802"/>
      <c r="S332" s="803"/>
      <c r="T332" s="802"/>
      <c r="U332" s="802"/>
      <c r="V332" s="802"/>
      <c r="W332" s="802"/>
      <c r="X332" s="802"/>
      <c r="Y332" s="802"/>
      <c r="Z332" s="802"/>
      <c r="AA332" s="802"/>
      <c r="AB332" s="802"/>
      <c r="AC332" s="802"/>
      <c r="AD332" s="802"/>
      <c r="AE332" s="802"/>
      <c r="AF332" s="802"/>
      <c r="AG332" s="802"/>
      <c r="AH332" s="382"/>
      <c r="AI332" s="382"/>
      <c r="AJ332" s="382"/>
      <c r="AK332" s="382"/>
      <c r="AL332" s="382"/>
      <c r="AM332" s="382"/>
      <c r="AN332" s="382"/>
      <c r="AO332" s="382"/>
      <c r="AP332" s="382"/>
      <c r="AQ332" s="382"/>
      <c r="AR332" s="382"/>
      <c r="AS332" s="382"/>
      <c r="AT332" s="382"/>
      <c r="AU332" s="382"/>
      <c r="AV332" s="382"/>
      <c r="AW332" s="382"/>
      <c r="AX332" s="382"/>
      <c r="AY332" s="382"/>
      <c r="AZ332" s="382"/>
      <c r="BA332" s="382"/>
      <c r="BB332" s="382"/>
      <c r="BC332" s="382"/>
      <c r="BD332" s="382"/>
      <c r="BE332" s="382"/>
      <c r="BF332" s="382"/>
      <c r="BG332" s="382"/>
      <c r="BH332" s="382"/>
      <c r="BI332" s="382"/>
      <c r="BJ332" s="382"/>
      <c r="BK332" s="382"/>
      <c r="BL332" s="382"/>
      <c r="BM332" s="382"/>
      <c r="BN332" s="382"/>
      <c r="BO332" s="382"/>
      <c r="BP332" s="382"/>
      <c r="BQ332" s="382"/>
      <c r="BR332" s="382"/>
      <c r="BS332" s="382"/>
      <c r="BT332" s="382"/>
      <c r="BU332" s="496"/>
      <c r="BV332" s="382"/>
      <c r="BW332" s="382"/>
      <c r="BX332" s="382"/>
      <c r="BY332" s="382"/>
      <c r="BZ332" s="382"/>
      <c r="CA332" s="382"/>
      <c r="CB332" s="382"/>
      <c r="CC332" s="382"/>
      <c r="CD332" s="382"/>
      <c r="CE332" s="382"/>
      <c r="CF332" s="382"/>
      <c r="CG332" s="382"/>
      <c r="CH332" s="382"/>
      <c r="CI332" s="382"/>
      <c r="CJ332" s="382"/>
      <c r="CK332" s="382"/>
      <c r="CL332" s="382"/>
      <c r="CM332" s="382"/>
      <c r="CN332" s="382"/>
      <c r="CO332" s="382"/>
      <c r="CP332" s="382"/>
      <c r="CQ332" s="382"/>
      <c r="CR332" s="382"/>
      <c r="CS332" s="382"/>
      <c r="CT332" s="382"/>
      <c r="CU332" s="382"/>
      <c r="CV332" s="382"/>
      <c r="CW332" s="800"/>
      <c r="CX332" s="382"/>
      <c r="CY332" s="382"/>
      <c r="CZ332" s="382"/>
      <c r="DA332" s="382"/>
      <c r="DB332" s="382"/>
      <c r="DC332" s="382"/>
      <c r="DD332" s="382"/>
      <c r="DE332" s="382"/>
      <c r="DF332" s="382"/>
      <c r="DG332" s="382"/>
      <c r="DH332" s="382"/>
      <c r="DI332" s="382"/>
      <c r="DJ332" s="382"/>
      <c r="DK332" s="382"/>
      <c r="DL332" s="382"/>
      <c r="DM332" s="382"/>
      <c r="DN332" s="382"/>
      <c r="DO332" s="382"/>
      <c r="DP332" s="382"/>
      <c r="DQ332" s="382"/>
      <c r="DR332" s="382"/>
      <c r="DS332" s="382"/>
      <c r="DT332" s="382"/>
      <c r="DU332" s="382"/>
      <c r="DV332" s="382"/>
      <c r="DW332" s="382"/>
      <c r="DX332" s="382"/>
      <c r="DY332" s="382"/>
      <c r="DZ332" s="228"/>
    </row>
    <row r="333" spans="2:130" s="180" customFormat="1" ht="14.25" customHeight="1" x14ac:dyDescent="0.2">
      <c r="B333" s="800"/>
      <c r="C333" s="800"/>
      <c r="D333" s="800"/>
      <c r="E333" s="769"/>
      <c r="F333" s="769"/>
      <c r="G333" s="802"/>
      <c r="H333" s="802"/>
      <c r="I333" s="802"/>
      <c r="J333" s="802"/>
      <c r="K333" s="802"/>
      <c r="L333" s="802"/>
      <c r="M333" s="802"/>
      <c r="N333" s="802"/>
      <c r="O333" s="802"/>
      <c r="P333" s="802"/>
      <c r="Q333" s="802"/>
      <c r="R333" s="802"/>
      <c r="S333" s="803"/>
      <c r="T333" s="802"/>
      <c r="U333" s="802"/>
      <c r="V333" s="802"/>
      <c r="W333" s="802"/>
      <c r="X333" s="802"/>
      <c r="Y333" s="802"/>
      <c r="Z333" s="802"/>
      <c r="AA333" s="802"/>
      <c r="AB333" s="802"/>
      <c r="AC333" s="802"/>
      <c r="AD333" s="802"/>
      <c r="AE333" s="802"/>
      <c r="AF333" s="802"/>
      <c r="AG333" s="802"/>
      <c r="AH333" s="382"/>
      <c r="AI333" s="382"/>
      <c r="AJ333" s="382"/>
      <c r="AK333" s="382"/>
      <c r="AL333" s="382"/>
      <c r="AM333" s="382"/>
      <c r="AN333" s="382"/>
      <c r="AO333" s="382"/>
      <c r="AP333" s="382"/>
      <c r="AQ333" s="382"/>
      <c r="AR333" s="382"/>
      <c r="AS333" s="382"/>
      <c r="AT333" s="382"/>
      <c r="AU333" s="382"/>
      <c r="AV333" s="382"/>
      <c r="AW333" s="382"/>
      <c r="AX333" s="382"/>
      <c r="AY333" s="382"/>
      <c r="AZ333" s="382"/>
      <c r="BA333" s="382"/>
      <c r="BB333" s="382"/>
      <c r="BC333" s="382"/>
      <c r="BD333" s="382"/>
      <c r="BE333" s="382"/>
      <c r="BF333" s="382"/>
      <c r="BG333" s="382"/>
      <c r="BH333" s="382"/>
      <c r="BI333" s="382"/>
      <c r="BJ333" s="382"/>
      <c r="BK333" s="382"/>
      <c r="BL333" s="382"/>
      <c r="BM333" s="382"/>
      <c r="BN333" s="382"/>
      <c r="BO333" s="382"/>
      <c r="BP333" s="382"/>
      <c r="BQ333" s="382"/>
      <c r="BR333" s="382"/>
      <c r="BS333" s="382"/>
      <c r="BT333" s="382"/>
      <c r="BU333" s="496"/>
      <c r="BV333" s="382"/>
      <c r="BW333" s="382"/>
      <c r="BX333" s="382"/>
      <c r="BY333" s="382"/>
      <c r="BZ333" s="382"/>
      <c r="CA333" s="382"/>
      <c r="CB333" s="382"/>
      <c r="CC333" s="382"/>
      <c r="CD333" s="382"/>
      <c r="CE333" s="382"/>
      <c r="CF333" s="382"/>
      <c r="CG333" s="382"/>
      <c r="CH333" s="382"/>
      <c r="CI333" s="382"/>
      <c r="CJ333" s="382"/>
      <c r="CK333" s="382"/>
      <c r="CL333" s="382"/>
      <c r="CM333" s="382"/>
      <c r="CN333" s="382"/>
      <c r="CO333" s="382"/>
      <c r="CP333" s="382"/>
      <c r="CQ333" s="382"/>
      <c r="CR333" s="382"/>
      <c r="CS333" s="382"/>
      <c r="CT333" s="382"/>
      <c r="CU333" s="382"/>
      <c r="CV333" s="382"/>
      <c r="CW333" s="800"/>
      <c r="CX333" s="382"/>
      <c r="CY333" s="382"/>
      <c r="CZ333" s="382"/>
      <c r="DA333" s="382"/>
      <c r="DB333" s="382"/>
      <c r="DC333" s="382"/>
      <c r="DD333" s="382"/>
      <c r="DE333" s="382"/>
      <c r="DF333" s="382"/>
      <c r="DG333" s="382"/>
      <c r="DH333" s="382"/>
      <c r="DI333" s="382"/>
      <c r="DJ333" s="382"/>
      <c r="DK333" s="382"/>
      <c r="DL333" s="382"/>
      <c r="DM333" s="382"/>
      <c r="DN333" s="382"/>
      <c r="DO333" s="382"/>
      <c r="DP333" s="382"/>
      <c r="DQ333" s="382"/>
      <c r="DR333" s="382"/>
      <c r="DS333" s="382"/>
      <c r="DT333" s="382"/>
      <c r="DU333" s="382"/>
      <c r="DV333" s="382"/>
      <c r="DW333" s="382"/>
      <c r="DX333" s="382"/>
      <c r="DY333" s="382"/>
      <c r="DZ333" s="228"/>
    </row>
    <row r="334" spans="2:130" s="180" customFormat="1" ht="14.25" customHeight="1" x14ac:dyDescent="0.2">
      <c r="B334" s="800"/>
      <c r="C334" s="800"/>
      <c r="D334" s="800"/>
      <c r="E334" s="769"/>
      <c r="F334" s="769"/>
      <c r="G334" s="802"/>
      <c r="H334" s="802"/>
      <c r="I334" s="802"/>
      <c r="J334" s="802"/>
      <c r="K334" s="802"/>
      <c r="L334" s="802"/>
      <c r="M334" s="802"/>
      <c r="N334" s="802"/>
      <c r="O334" s="802"/>
      <c r="P334" s="802"/>
      <c r="Q334" s="802"/>
      <c r="R334" s="802"/>
      <c r="S334" s="803"/>
      <c r="T334" s="802"/>
      <c r="U334" s="802"/>
      <c r="V334" s="802"/>
      <c r="W334" s="802"/>
      <c r="X334" s="802"/>
      <c r="Y334" s="802"/>
      <c r="Z334" s="802"/>
      <c r="AA334" s="802"/>
      <c r="AB334" s="802"/>
      <c r="AC334" s="802"/>
      <c r="AD334" s="802"/>
      <c r="AE334" s="802"/>
      <c r="AF334" s="802"/>
      <c r="AG334" s="802"/>
      <c r="AH334" s="382"/>
      <c r="AI334" s="382"/>
      <c r="AJ334" s="382"/>
      <c r="AK334" s="382"/>
      <c r="AL334" s="382"/>
      <c r="AM334" s="382"/>
      <c r="AN334" s="382"/>
      <c r="AO334" s="382"/>
      <c r="AP334" s="382"/>
      <c r="AQ334" s="382"/>
      <c r="AR334" s="382"/>
      <c r="AS334" s="382"/>
      <c r="AT334" s="382"/>
      <c r="AU334" s="382"/>
      <c r="AV334" s="382"/>
      <c r="AW334" s="382"/>
      <c r="AX334" s="382"/>
      <c r="AY334" s="382"/>
      <c r="AZ334" s="382"/>
      <c r="BA334" s="382"/>
      <c r="BB334" s="382"/>
      <c r="BC334" s="382"/>
      <c r="BD334" s="382"/>
      <c r="BE334" s="382"/>
      <c r="BF334" s="382"/>
      <c r="BG334" s="382"/>
      <c r="BH334" s="382"/>
      <c r="BI334" s="382"/>
      <c r="BJ334" s="382"/>
      <c r="BK334" s="382"/>
      <c r="BL334" s="382"/>
      <c r="BM334" s="382"/>
      <c r="BN334" s="382"/>
      <c r="BO334" s="382"/>
      <c r="BP334" s="382"/>
      <c r="BQ334" s="382"/>
      <c r="BR334" s="382"/>
      <c r="BS334" s="382"/>
      <c r="BT334" s="382"/>
      <c r="BU334" s="496"/>
      <c r="BV334" s="382"/>
      <c r="BW334" s="382"/>
      <c r="BX334" s="382"/>
      <c r="BY334" s="382"/>
      <c r="BZ334" s="382"/>
      <c r="CA334" s="382"/>
      <c r="CB334" s="382"/>
      <c r="CC334" s="382"/>
      <c r="CD334" s="382"/>
      <c r="CE334" s="382"/>
      <c r="CF334" s="382"/>
      <c r="CG334" s="382"/>
      <c r="CH334" s="382"/>
      <c r="CI334" s="382"/>
      <c r="CJ334" s="382"/>
      <c r="CK334" s="382"/>
      <c r="CL334" s="382"/>
      <c r="CM334" s="382"/>
      <c r="CN334" s="382"/>
      <c r="CO334" s="382"/>
      <c r="CP334" s="382"/>
      <c r="CQ334" s="382"/>
      <c r="CR334" s="382"/>
      <c r="CS334" s="382"/>
      <c r="CT334" s="382"/>
      <c r="CU334" s="382"/>
      <c r="CV334" s="382"/>
      <c r="CW334" s="800"/>
      <c r="CX334" s="382"/>
      <c r="CY334" s="382"/>
      <c r="CZ334" s="382"/>
      <c r="DA334" s="382"/>
      <c r="DB334" s="382"/>
      <c r="DC334" s="382"/>
      <c r="DD334" s="382"/>
      <c r="DE334" s="382"/>
      <c r="DF334" s="382"/>
      <c r="DG334" s="382"/>
      <c r="DH334" s="382"/>
      <c r="DI334" s="382"/>
      <c r="DJ334" s="382"/>
      <c r="DK334" s="382"/>
      <c r="DL334" s="382"/>
      <c r="DM334" s="382"/>
      <c r="DN334" s="382"/>
      <c r="DO334" s="382"/>
      <c r="DP334" s="382"/>
      <c r="DQ334" s="382"/>
      <c r="DR334" s="382"/>
      <c r="DS334" s="382"/>
      <c r="DT334" s="382"/>
      <c r="DU334" s="382"/>
      <c r="DV334" s="382"/>
      <c r="DW334" s="382"/>
      <c r="DX334" s="382"/>
      <c r="DY334" s="382"/>
      <c r="DZ334" s="228"/>
    </row>
    <row r="335" spans="2:130" s="180" customFormat="1" ht="14.25" customHeight="1" x14ac:dyDescent="0.2">
      <c r="B335" s="800"/>
      <c r="C335" s="800"/>
      <c r="D335" s="800"/>
      <c r="E335" s="769"/>
      <c r="F335" s="769"/>
      <c r="G335" s="802"/>
      <c r="H335" s="802"/>
      <c r="I335" s="802"/>
      <c r="J335" s="802"/>
      <c r="K335" s="802"/>
      <c r="L335" s="802"/>
      <c r="M335" s="802"/>
      <c r="N335" s="802"/>
      <c r="O335" s="802"/>
      <c r="P335" s="802"/>
      <c r="Q335" s="802"/>
      <c r="R335" s="802"/>
      <c r="S335" s="803"/>
      <c r="T335" s="802"/>
      <c r="U335" s="802"/>
      <c r="V335" s="802"/>
      <c r="W335" s="802"/>
      <c r="X335" s="802"/>
      <c r="Y335" s="802"/>
      <c r="Z335" s="802"/>
      <c r="AA335" s="802"/>
      <c r="AB335" s="802"/>
      <c r="AC335" s="802"/>
      <c r="AD335" s="802"/>
      <c r="AE335" s="802"/>
      <c r="AF335" s="802"/>
      <c r="AG335" s="802"/>
      <c r="AH335" s="382"/>
      <c r="AI335" s="382"/>
      <c r="AJ335" s="382"/>
      <c r="AK335" s="382"/>
      <c r="AL335" s="382"/>
      <c r="AM335" s="382"/>
      <c r="AN335" s="382"/>
      <c r="AO335" s="382"/>
      <c r="AP335" s="382"/>
      <c r="AQ335" s="382"/>
      <c r="AR335" s="382"/>
      <c r="AS335" s="382"/>
      <c r="AT335" s="382"/>
      <c r="AU335" s="382"/>
      <c r="AV335" s="382"/>
      <c r="AW335" s="382"/>
      <c r="AX335" s="382"/>
      <c r="AY335" s="382"/>
      <c r="AZ335" s="382"/>
      <c r="BA335" s="382"/>
      <c r="BB335" s="382"/>
      <c r="BC335" s="382"/>
      <c r="BD335" s="382"/>
      <c r="BE335" s="382"/>
      <c r="BF335" s="382"/>
      <c r="BG335" s="382"/>
      <c r="BH335" s="382"/>
      <c r="BI335" s="382"/>
      <c r="BJ335" s="382"/>
      <c r="BK335" s="382"/>
      <c r="BL335" s="382"/>
      <c r="BM335" s="382"/>
      <c r="BN335" s="382"/>
      <c r="BO335" s="382"/>
      <c r="BP335" s="382"/>
      <c r="BQ335" s="382"/>
      <c r="BR335" s="382"/>
      <c r="BS335" s="382"/>
      <c r="BT335" s="382"/>
      <c r="BU335" s="496"/>
      <c r="BV335" s="382"/>
      <c r="BW335" s="382"/>
      <c r="BX335" s="382"/>
      <c r="BY335" s="382"/>
      <c r="BZ335" s="382"/>
      <c r="CA335" s="382"/>
      <c r="CB335" s="382"/>
      <c r="CC335" s="382"/>
      <c r="CD335" s="382"/>
      <c r="CE335" s="382"/>
      <c r="CF335" s="382"/>
      <c r="CG335" s="382"/>
      <c r="CH335" s="382"/>
      <c r="CI335" s="382"/>
      <c r="CJ335" s="382"/>
      <c r="CK335" s="382"/>
      <c r="CL335" s="382"/>
      <c r="CM335" s="382"/>
      <c r="CN335" s="382"/>
      <c r="CO335" s="382"/>
      <c r="CP335" s="382"/>
      <c r="CQ335" s="382"/>
      <c r="CR335" s="382"/>
      <c r="CS335" s="382"/>
      <c r="CT335" s="382"/>
      <c r="CU335" s="382"/>
      <c r="CV335" s="382"/>
      <c r="CW335" s="800"/>
      <c r="CX335" s="382"/>
      <c r="CY335" s="382"/>
      <c r="CZ335" s="382"/>
      <c r="DA335" s="382"/>
      <c r="DB335" s="382"/>
      <c r="DC335" s="382"/>
      <c r="DD335" s="382"/>
      <c r="DE335" s="382"/>
      <c r="DF335" s="382"/>
      <c r="DG335" s="382"/>
      <c r="DH335" s="382"/>
      <c r="DI335" s="382"/>
      <c r="DJ335" s="382"/>
      <c r="DK335" s="382"/>
      <c r="DL335" s="382"/>
      <c r="DM335" s="382"/>
      <c r="DN335" s="382"/>
      <c r="DO335" s="382"/>
      <c r="DP335" s="382"/>
      <c r="DQ335" s="382"/>
      <c r="DR335" s="382"/>
      <c r="DS335" s="382"/>
      <c r="DT335" s="382"/>
      <c r="DU335" s="382"/>
      <c r="DV335" s="382"/>
      <c r="DW335" s="382"/>
      <c r="DX335" s="382"/>
      <c r="DY335" s="382"/>
      <c r="DZ335" s="228"/>
    </row>
    <row r="336" spans="2:130" s="180" customFormat="1" ht="14.25" customHeight="1" x14ac:dyDescent="0.2">
      <c r="B336" s="800"/>
      <c r="C336" s="800"/>
      <c r="D336" s="800"/>
      <c r="E336" s="769"/>
      <c r="F336" s="769"/>
      <c r="G336" s="802"/>
      <c r="H336" s="802"/>
      <c r="I336" s="802"/>
      <c r="J336" s="802"/>
      <c r="K336" s="802"/>
      <c r="L336" s="802"/>
      <c r="M336" s="802"/>
      <c r="N336" s="802"/>
      <c r="O336" s="802"/>
      <c r="P336" s="802"/>
      <c r="Q336" s="802"/>
      <c r="R336" s="802"/>
      <c r="S336" s="803"/>
      <c r="T336" s="802"/>
      <c r="U336" s="802"/>
      <c r="V336" s="802"/>
      <c r="W336" s="802"/>
      <c r="X336" s="802"/>
      <c r="Y336" s="802"/>
      <c r="Z336" s="802"/>
      <c r="AA336" s="802"/>
      <c r="AB336" s="802"/>
      <c r="AC336" s="802"/>
      <c r="AD336" s="802"/>
      <c r="AE336" s="802"/>
      <c r="AF336" s="802"/>
      <c r="AG336" s="802"/>
      <c r="AH336" s="382"/>
      <c r="AI336" s="382"/>
      <c r="AJ336" s="382"/>
      <c r="AK336" s="382"/>
      <c r="AL336" s="382"/>
      <c r="AM336" s="382"/>
      <c r="AN336" s="382"/>
      <c r="AO336" s="382"/>
      <c r="AP336" s="382"/>
      <c r="AQ336" s="382"/>
      <c r="AR336" s="382"/>
      <c r="AS336" s="382"/>
      <c r="AT336" s="382"/>
      <c r="AU336" s="382"/>
      <c r="AV336" s="382"/>
      <c r="AW336" s="382"/>
      <c r="AX336" s="382"/>
      <c r="AY336" s="382"/>
      <c r="AZ336" s="382"/>
      <c r="BA336" s="382"/>
      <c r="BB336" s="382"/>
      <c r="BC336" s="382"/>
      <c r="BD336" s="382"/>
      <c r="BE336" s="382"/>
      <c r="BF336" s="382"/>
      <c r="BG336" s="382"/>
      <c r="BH336" s="382"/>
      <c r="BI336" s="382"/>
      <c r="BJ336" s="382"/>
      <c r="BK336" s="382"/>
      <c r="BL336" s="382"/>
      <c r="BM336" s="382"/>
      <c r="BN336" s="382"/>
      <c r="BO336" s="382"/>
      <c r="BP336" s="382"/>
      <c r="BQ336" s="382"/>
      <c r="BR336" s="382"/>
      <c r="BS336" s="382"/>
      <c r="BT336" s="382"/>
      <c r="BU336" s="496"/>
      <c r="BV336" s="382"/>
      <c r="BW336" s="382"/>
      <c r="BX336" s="382"/>
      <c r="BY336" s="382"/>
      <c r="BZ336" s="382"/>
      <c r="CA336" s="382"/>
      <c r="CB336" s="382"/>
      <c r="CC336" s="382"/>
      <c r="CD336" s="382"/>
      <c r="CE336" s="382"/>
      <c r="CF336" s="382"/>
      <c r="CG336" s="382"/>
      <c r="CH336" s="382"/>
      <c r="CI336" s="382"/>
      <c r="CJ336" s="382"/>
      <c r="CK336" s="382"/>
      <c r="CL336" s="382"/>
      <c r="CM336" s="382"/>
      <c r="CN336" s="382"/>
      <c r="CO336" s="382"/>
      <c r="CP336" s="382"/>
      <c r="CQ336" s="382"/>
      <c r="CR336" s="382"/>
      <c r="CS336" s="382"/>
      <c r="CT336" s="382"/>
      <c r="CU336" s="382"/>
      <c r="CV336" s="382"/>
      <c r="CW336" s="800"/>
      <c r="CX336" s="382"/>
      <c r="CY336" s="382"/>
      <c r="CZ336" s="382"/>
      <c r="DA336" s="382"/>
      <c r="DB336" s="382"/>
      <c r="DC336" s="382"/>
      <c r="DD336" s="382"/>
      <c r="DE336" s="382"/>
      <c r="DF336" s="382"/>
      <c r="DG336" s="382"/>
      <c r="DH336" s="382"/>
      <c r="DI336" s="382"/>
      <c r="DJ336" s="382"/>
      <c r="DK336" s="382"/>
      <c r="DL336" s="382"/>
      <c r="DM336" s="382"/>
      <c r="DN336" s="382"/>
      <c r="DO336" s="382"/>
      <c r="DP336" s="382"/>
      <c r="DQ336" s="382"/>
      <c r="DR336" s="382"/>
      <c r="DS336" s="382"/>
      <c r="DT336" s="382"/>
      <c r="DU336" s="382"/>
      <c r="DV336" s="382"/>
      <c r="DW336" s="382"/>
      <c r="DX336" s="382"/>
      <c r="DY336" s="382"/>
      <c r="DZ336" s="228"/>
    </row>
    <row r="337" spans="2:130" s="180" customFormat="1" ht="14.25" customHeight="1" x14ac:dyDescent="0.2">
      <c r="B337" s="800"/>
      <c r="C337" s="800"/>
      <c r="D337" s="800"/>
      <c r="E337" s="769"/>
      <c r="F337" s="769"/>
      <c r="G337" s="802"/>
      <c r="H337" s="802"/>
      <c r="I337" s="802"/>
      <c r="J337" s="802"/>
      <c r="K337" s="802"/>
      <c r="L337" s="802"/>
      <c r="M337" s="802"/>
      <c r="N337" s="802"/>
      <c r="O337" s="802"/>
      <c r="P337" s="802"/>
      <c r="Q337" s="802"/>
      <c r="R337" s="802"/>
      <c r="S337" s="803"/>
      <c r="T337" s="802"/>
      <c r="U337" s="802"/>
      <c r="V337" s="802"/>
      <c r="W337" s="802"/>
      <c r="X337" s="802"/>
      <c r="Y337" s="802"/>
      <c r="Z337" s="802"/>
      <c r="AA337" s="802"/>
      <c r="AB337" s="802"/>
      <c r="AC337" s="802"/>
      <c r="AD337" s="802"/>
      <c r="AE337" s="802"/>
      <c r="AF337" s="802"/>
      <c r="AG337" s="802"/>
      <c r="AH337" s="382"/>
      <c r="AI337" s="382"/>
      <c r="AJ337" s="382"/>
      <c r="AK337" s="382"/>
      <c r="AL337" s="382"/>
      <c r="AM337" s="382"/>
      <c r="AN337" s="382"/>
      <c r="AO337" s="382"/>
      <c r="AP337" s="382"/>
      <c r="AQ337" s="382"/>
      <c r="AR337" s="382"/>
      <c r="AS337" s="382"/>
      <c r="AT337" s="382"/>
      <c r="AU337" s="382"/>
      <c r="AV337" s="382"/>
      <c r="AW337" s="382"/>
      <c r="AX337" s="382"/>
      <c r="AY337" s="382"/>
      <c r="AZ337" s="382"/>
      <c r="BA337" s="382"/>
      <c r="BB337" s="382"/>
      <c r="BC337" s="382"/>
      <c r="BD337" s="382"/>
      <c r="BE337" s="382"/>
      <c r="BF337" s="382"/>
      <c r="BG337" s="382"/>
      <c r="BH337" s="382"/>
      <c r="BI337" s="382"/>
      <c r="BJ337" s="382"/>
      <c r="BK337" s="382"/>
      <c r="BL337" s="382"/>
      <c r="BM337" s="382"/>
      <c r="BN337" s="382"/>
      <c r="BO337" s="382"/>
      <c r="BP337" s="382"/>
      <c r="BQ337" s="382"/>
      <c r="BR337" s="382"/>
      <c r="BS337" s="382"/>
      <c r="BT337" s="382"/>
      <c r="BU337" s="496"/>
      <c r="BV337" s="382"/>
      <c r="BW337" s="382"/>
      <c r="BX337" s="382"/>
      <c r="BY337" s="382"/>
      <c r="BZ337" s="382"/>
      <c r="CA337" s="382"/>
      <c r="CB337" s="382"/>
      <c r="CC337" s="382"/>
      <c r="CD337" s="382"/>
      <c r="CE337" s="382"/>
      <c r="CF337" s="382"/>
      <c r="CG337" s="382"/>
      <c r="CH337" s="382"/>
      <c r="CI337" s="382"/>
      <c r="CJ337" s="382"/>
      <c r="CK337" s="382"/>
      <c r="CL337" s="382"/>
      <c r="CM337" s="382"/>
      <c r="CN337" s="382"/>
      <c r="CO337" s="382"/>
      <c r="CP337" s="382"/>
      <c r="CQ337" s="382"/>
      <c r="CR337" s="382"/>
      <c r="CS337" s="382"/>
      <c r="CT337" s="382"/>
      <c r="CU337" s="382"/>
      <c r="CV337" s="382"/>
      <c r="CW337" s="800"/>
      <c r="CX337" s="382"/>
      <c r="CY337" s="382"/>
      <c r="CZ337" s="382"/>
      <c r="DA337" s="382"/>
      <c r="DB337" s="382"/>
      <c r="DC337" s="382"/>
      <c r="DD337" s="382"/>
      <c r="DE337" s="382"/>
      <c r="DF337" s="382"/>
      <c r="DG337" s="382"/>
      <c r="DH337" s="382"/>
      <c r="DI337" s="382"/>
      <c r="DJ337" s="382"/>
      <c r="DK337" s="382"/>
      <c r="DL337" s="382"/>
      <c r="DM337" s="382"/>
      <c r="DN337" s="382"/>
      <c r="DO337" s="382"/>
      <c r="DP337" s="382"/>
      <c r="DQ337" s="382"/>
      <c r="DR337" s="382"/>
      <c r="DS337" s="382"/>
      <c r="DT337" s="382"/>
      <c r="DU337" s="382"/>
      <c r="DV337" s="382"/>
      <c r="DW337" s="382"/>
      <c r="DX337" s="382"/>
      <c r="DY337" s="382"/>
      <c r="DZ337" s="228"/>
    </row>
    <row r="338" spans="2:130" s="180" customFormat="1" ht="14.25" customHeight="1" x14ac:dyDescent="0.2">
      <c r="B338" s="800"/>
      <c r="C338" s="800"/>
      <c r="D338" s="800"/>
      <c r="E338" s="769"/>
      <c r="F338" s="769"/>
      <c r="G338" s="802"/>
      <c r="H338" s="802"/>
      <c r="I338" s="802"/>
      <c r="J338" s="802"/>
      <c r="K338" s="802"/>
      <c r="L338" s="802"/>
      <c r="M338" s="802"/>
      <c r="N338" s="802"/>
      <c r="O338" s="802"/>
      <c r="P338" s="802"/>
      <c r="Q338" s="802"/>
      <c r="R338" s="802"/>
      <c r="S338" s="803"/>
      <c r="T338" s="802"/>
      <c r="U338" s="802"/>
      <c r="V338" s="802"/>
      <c r="W338" s="802"/>
      <c r="X338" s="802"/>
      <c r="Y338" s="802"/>
      <c r="Z338" s="802"/>
      <c r="AA338" s="802"/>
      <c r="AB338" s="802"/>
      <c r="AC338" s="802"/>
      <c r="AD338" s="802"/>
      <c r="AE338" s="802"/>
      <c r="AF338" s="802"/>
      <c r="AG338" s="802"/>
      <c r="AH338" s="382"/>
      <c r="AI338" s="382"/>
      <c r="AJ338" s="382"/>
      <c r="AK338" s="382"/>
      <c r="AL338" s="382"/>
      <c r="AM338" s="382"/>
      <c r="AN338" s="382"/>
      <c r="AO338" s="382"/>
      <c r="AP338" s="382"/>
      <c r="AQ338" s="382"/>
      <c r="AR338" s="382"/>
      <c r="AS338" s="382"/>
      <c r="AT338" s="382"/>
      <c r="AU338" s="382"/>
      <c r="AV338" s="382"/>
      <c r="AW338" s="382"/>
      <c r="AX338" s="382"/>
      <c r="AY338" s="382"/>
      <c r="AZ338" s="382"/>
      <c r="BA338" s="382"/>
      <c r="BB338" s="382"/>
      <c r="BC338" s="382"/>
      <c r="BD338" s="382"/>
      <c r="BE338" s="382"/>
      <c r="BF338" s="382"/>
      <c r="BG338" s="382"/>
      <c r="BH338" s="382"/>
      <c r="BI338" s="382"/>
      <c r="BJ338" s="382"/>
      <c r="BK338" s="382"/>
      <c r="BL338" s="382"/>
      <c r="BM338" s="382"/>
      <c r="BN338" s="382"/>
      <c r="BO338" s="382"/>
      <c r="BP338" s="382"/>
      <c r="BQ338" s="382"/>
      <c r="BR338" s="382"/>
      <c r="BS338" s="382"/>
      <c r="BT338" s="382"/>
      <c r="BU338" s="496"/>
      <c r="BV338" s="382"/>
      <c r="BW338" s="382"/>
      <c r="BX338" s="382"/>
      <c r="BY338" s="382"/>
      <c r="BZ338" s="382"/>
      <c r="CA338" s="382"/>
      <c r="CB338" s="382"/>
      <c r="CC338" s="382"/>
      <c r="CD338" s="382"/>
      <c r="CE338" s="382"/>
      <c r="CF338" s="382"/>
      <c r="CG338" s="382"/>
      <c r="CH338" s="382"/>
      <c r="CI338" s="382"/>
      <c r="CJ338" s="382"/>
      <c r="CK338" s="382"/>
      <c r="CL338" s="382"/>
      <c r="CM338" s="382"/>
      <c r="CN338" s="382"/>
      <c r="CO338" s="382"/>
      <c r="CP338" s="382"/>
      <c r="CQ338" s="382"/>
      <c r="CR338" s="382"/>
      <c r="CS338" s="382"/>
      <c r="CT338" s="382"/>
      <c r="CU338" s="382"/>
      <c r="CV338" s="382"/>
      <c r="CW338" s="800"/>
      <c r="CX338" s="382"/>
      <c r="CY338" s="382"/>
      <c r="CZ338" s="382"/>
      <c r="DA338" s="382"/>
      <c r="DB338" s="382"/>
      <c r="DC338" s="382"/>
      <c r="DD338" s="382"/>
      <c r="DE338" s="382"/>
      <c r="DF338" s="382"/>
      <c r="DG338" s="382"/>
      <c r="DH338" s="382"/>
      <c r="DI338" s="382"/>
      <c r="DJ338" s="382"/>
      <c r="DK338" s="382"/>
      <c r="DL338" s="382"/>
      <c r="DM338" s="382"/>
      <c r="DN338" s="382"/>
      <c r="DO338" s="382"/>
      <c r="DP338" s="382"/>
      <c r="DQ338" s="382"/>
      <c r="DR338" s="382"/>
      <c r="DS338" s="382"/>
      <c r="DT338" s="382"/>
      <c r="DU338" s="382"/>
      <c r="DV338" s="382"/>
      <c r="DW338" s="382"/>
      <c r="DX338" s="382"/>
      <c r="DY338" s="382"/>
      <c r="DZ338" s="228"/>
    </row>
    <row r="339" spans="2:130" s="180" customFormat="1" ht="14.25" customHeight="1" x14ac:dyDescent="0.2">
      <c r="B339" s="800"/>
      <c r="C339" s="800"/>
      <c r="D339" s="800"/>
      <c r="E339" s="769"/>
      <c r="F339" s="769"/>
      <c r="G339" s="802"/>
      <c r="H339" s="802"/>
      <c r="I339" s="802"/>
      <c r="J339" s="802"/>
      <c r="K339" s="802"/>
      <c r="L339" s="802"/>
      <c r="M339" s="802"/>
      <c r="N339" s="802"/>
      <c r="O339" s="802"/>
      <c r="P339" s="802"/>
      <c r="Q339" s="802"/>
      <c r="R339" s="802"/>
      <c r="S339" s="803"/>
      <c r="T339" s="802"/>
      <c r="U339" s="802"/>
      <c r="V339" s="802"/>
      <c r="W339" s="802"/>
      <c r="X339" s="802"/>
      <c r="Y339" s="802"/>
      <c r="Z339" s="802"/>
      <c r="AA339" s="802"/>
      <c r="AB339" s="802"/>
      <c r="AC339" s="802"/>
      <c r="AD339" s="802"/>
      <c r="AE339" s="802"/>
      <c r="AF339" s="802"/>
      <c r="AG339" s="802"/>
      <c r="AH339" s="382"/>
      <c r="AI339" s="382"/>
      <c r="AJ339" s="382"/>
      <c r="AK339" s="382"/>
      <c r="AL339" s="382"/>
      <c r="AM339" s="382"/>
      <c r="AN339" s="382"/>
      <c r="AO339" s="382"/>
      <c r="AP339" s="382"/>
      <c r="AQ339" s="382"/>
      <c r="AR339" s="382"/>
      <c r="AS339" s="382"/>
      <c r="AT339" s="382"/>
      <c r="AU339" s="382"/>
      <c r="AV339" s="382"/>
      <c r="AW339" s="382"/>
      <c r="AX339" s="382"/>
      <c r="AY339" s="382"/>
      <c r="AZ339" s="382"/>
      <c r="BA339" s="382"/>
      <c r="BB339" s="382"/>
      <c r="BC339" s="382"/>
      <c r="BD339" s="382"/>
      <c r="BE339" s="382"/>
      <c r="BF339" s="382"/>
      <c r="BG339" s="382"/>
      <c r="BH339" s="382"/>
      <c r="BI339" s="382"/>
      <c r="BJ339" s="382"/>
      <c r="BK339" s="382"/>
      <c r="BL339" s="382"/>
      <c r="BM339" s="382"/>
      <c r="BN339" s="382"/>
      <c r="BO339" s="382"/>
      <c r="BP339" s="382"/>
      <c r="BQ339" s="382"/>
      <c r="BR339" s="382"/>
      <c r="BS339" s="382"/>
      <c r="BT339" s="382"/>
      <c r="BU339" s="496"/>
      <c r="BV339" s="382"/>
      <c r="BW339" s="382"/>
      <c r="BX339" s="382"/>
      <c r="BY339" s="382"/>
      <c r="BZ339" s="382"/>
      <c r="CA339" s="382"/>
      <c r="CB339" s="382"/>
      <c r="CC339" s="382"/>
      <c r="CD339" s="382"/>
      <c r="CE339" s="382"/>
      <c r="CF339" s="382"/>
      <c r="CG339" s="382"/>
      <c r="CH339" s="382"/>
      <c r="CI339" s="382"/>
      <c r="CJ339" s="382"/>
      <c r="CK339" s="382"/>
      <c r="CL339" s="382"/>
      <c r="CM339" s="382"/>
      <c r="CN339" s="382"/>
      <c r="CO339" s="382"/>
      <c r="CP339" s="382"/>
      <c r="CQ339" s="382"/>
      <c r="CR339" s="382"/>
      <c r="CS339" s="382"/>
      <c r="CT339" s="382"/>
      <c r="CU339" s="382"/>
      <c r="CV339" s="382"/>
      <c r="CW339" s="800"/>
      <c r="CX339" s="382"/>
      <c r="CY339" s="382"/>
      <c r="CZ339" s="382"/>
      <c r="DA339" s="382"/>
      <c r="DB339" s="382"/>
      <c r="DC339" s="382"/>
      <c r="DD339" s="382"/>
      <c r="DE339" s="382"/>
      <c r="DF339" s="382"/>
      <c r="DG339" s="382"/>
      <c r="DH339" s="382"/>
      <c r="DI339" s="382"/>
      <c r="DJ339" s="382"/>
      <c r="DK339" s="382"/>
      <c r="DL339" s="382"/>
      <c r="DM339" s="382"/>
      <c r="DN339" s="382"/>
      <c r="DO339" s="382"/>
      <c r="DP339" s="382"/>
      <c r="DQ339" s="382"/>
      <c r="DR339" s="382"/>
      <c r="DS339" s="382"/>
      <c r="DT339" s="382"/>
      <c r="DU339" s="382"/>
      <c r="DV339" s="382"/>
      <c r="DW339" s="382"/>
      <c r="DX339" s="382"/>
      <c r="DY339" s="382"/>
      <c r="DZ339" s="228"/>
    </row>
    <row r="340" spans="2:130" s="180" customFormat="1" ht="14.25" customHeight="1" x14ac:dyDescent="0.2">
      <c r="B340" s="800"/>
      <c r="C340" s="800"/>
      <c r="D340" s="800"/>
      <c r="E340" s="769"/>
      <c r="F340" s="769"/>
      <c r="G340" s="802"/>
      <c r="H340" s="802"/>
      <c r="I340" s="802"/>
      <c r="J340" s="802"/>
      <c r="K340" s="802"/>
      <c r="L340" s="802"/>
      <c r="M340" s="802"/>
      <c r="N340" s="802"/>
      <c r="O340" s="802"/>
      <c r="P340" s="802"/>
      <c r="Q340" s="802"/>
      <c r="R340" s="802"/>
      <c r="S340" s="803"/>
      <c r="T340" s="802"/>
      <c r="U340" s="802"/>
      <c r="V340" s="802"/>
      <c r="W340" s="802"/>
      <c r="X340" s="802"/>
      <c r="Y340" s="802"/>
      <c r="Z340" s="802"/>
      <c r="AA340" s="802"/>
      <c r="AB340" s="802"/>
      <c r="AC340" s="802"/>
      <c r="AD340" s="802"/>
      <c r="AE340" s="802"/>
      <c r="AF340" s="802"/>
      <c r="AG340" s="802"/>
      <c r="AH340" s="382"/>
      <c r="AI340" s="382"/>
      <c r="AJ340" s="382"/>
      <c r="AK340" s="382"/>
      <c r="AL340" s="382"/>
      <c r="AM340" s="382"/>
      <c r="AN340" s="382"/>
      <c r="AO340" s="382"/>
      <c r="AP340" s="382"/>
      <c r="AQ340" s="382"/>
      <c r="AR340" s="382"/>
      <c r="AS340" s="382"/>
      <c r="AT340" s="382"/>
      <c r="AU340" s="382"/>
      <c r="AV340" s="382"/>
      <c r="AW340" s="382"/>
      <c r="AX340" s="382"/>
      <c r="AY340" s="382"/>
      <c r="AZ340" s="382"/>
      <c r="BA340" s="382"/>
      <c r="BB340" s="382"/>
      <c r="BC340" s="382"/>
      <c r="BD340" s="382"/>
      <c r="BE340" s="382"/>
      <c r="BF340" s="382"/>
      <c r="BG340" s="382"/>
      <c r="BH340" s="382"/>
      <c r="BI340" s="382"/>
      <c r="BJ340" s="382"/>
      <c r="BK340" s="382"/>
      <c r="BL340" s="382"/>
      <c r="BM340" s="382"/>
      <c r="BN340" s="382"/>
      <c r="BO340" s="382"/>
      <c r="BP340" s="382"/>
      <c r="BQ340" s="382"/>
      <c r="BR340" s="382"/>
      <c r="BS340" s="382"/>
      <c r="BT340" s="382"/>
      <c r="BU340" s="496"/>
      <c r="BV340" s="382"/>
      <c r="BW340" s="382"/>
      <c r="BX340" s="382"/>
      <c r="BY340" s="382"/>
      <c r="BZ340" s="382"/>
      <c r="CA340" s="382"/>
      <c r="CB340" s="382"/>
      <c r="CC340" s="382"/>
      <c r="CD340" s="382"/>
      <c r="CE340" s="382"/>
      <c r="CF340" s="382"/>
      <c r="CG340" s="382"/>
      <c r="CH340" s="382"/>
      <c r="CI340" s="382"/>
      <c r="CJ340" s="382"/>
      <c r="CK340" s="382"/>
      <c r="CL340" s="382"/>
      <c r="CM340" s="382"/>
      <c r="CN340" s="382"/>
      <c r="CO340" s="382"/>
      <c r="CP340" s="382"/>
      <c r="CQ340" s="382"/>
      <c r="CR340" s="382"/>
      <c r="CS340" s="382"/>
      <c r="CT340" s="382"/>
      <c r="CU340" s="382"/>
      <c r="CV340" s="382"/>
      <c r="CW340" s="800"/>
      <c r="CX340" s="382"/>
      <c r="CY340" s="382"/>
      <c r="CZ340" s="382"/>
      <c r="DA340" s="382"/>
      <c r="DB340" s="382"/>
      <c r="DC340" s="382"/>
      <c r="DD340" s="382"/>
      <c r="DE340" s="382"/>
      <c r="DF340" s="382"/>
      <c r="DG340" s="382"/>
      <c r="DH340" s="382"/>
      <c r="DI340" s="382"/>
      <c r="DJ340" s="382"/>
      <c r="DK340" s="382"/>
      <c r="DL340" s="382"/>
      <c r="DM340" s="382"/>
      <c r="DN340" s="382"/>
      <c r="DO340" s="382"/>
      <c r="DP340" s="382"/>
      <c r="DQ340" s="382"/>
      <c r="DR340" s="382"/>
      <c r="DS340" s="382"/>
      <c r="DT340" s="382"/>
      <c r="DU340" s="382"/>
      <c r="DV340" s="382"/>
      <c r="DW340" s="382"/>
      <c r="DX340" s="382"/>
      <c r="DY340" s="382"/>
      <c r="DZ340" s="228"/>
    </row>
    <row r="341" spans="2:130" s="180" customFormat="1" ht="14.25" customHeight="1" x14ac:dyDescent="0.2">
      <c r="B341" s="800"/>
      <c r="C341" s="800"/>
      <c r="D341" s="800"/>
      <c r="E341" s="769"/>
      <c r="F341" s="769"/>
      <c r="G341" s="802"/>
      <c r="H341" s="802"/>
      <c r="I341" s="802"/>
      <c r="J341" s="802"/>
      <c r="K341" s="802"/>
      <c r="L341" s="802"/>
      <c r="M341" s="802"/>
      <c r="N341" s="802"/>
      <c r="O341" s="802"/>
      <c r="P341" s="802"/>
      <c r="Q341" s="802"/>
      <c r="R341" s="802"/>
      <c r="S341" s="803"/>
      <c r="T341" s="802"/>
      <c r="U341" s="802"/>
      <c r="V341" s="802"/>
      <c r="W341" s="802"/>
      <c r="X341" s="802"/>
      <c r="Y341" s="802"/>
      <c r="Z341" s="802"/>
      <c r="AA341" s="802"/>
      <c r="AB341" s="802"/>
      <c r="AC341" s="802"/>
      <c r="AD341" s="802"/>
      <c r="AE341" s="802"/>
      <c r="AF341" s="802"/>
      <c r="AG341" s="802"/>
      <c r="AH341" s="382"/>
      <c r="AI341" s="382"/>
      <c r="AJ341" s="382"/>
      <c r="AK341" s="382"/>
      <c r="AL341" s="382"/>
      <c r="AM341" s="382"/>
      <c r="AN341" s="382"/>
      <c r="AO341" s="382"/>
      <c r="AP341" s="382"/>
      <c r="AQ341" s="382"/>
      <c r="AR341" s="382"/>
      <c r="AS341" s="382"/>
      <c r="AT341" s="382"/>
      <c r="AU341" s="382"/>
      <c r="AV341" s="382"/>
      <c r="AW341" s="382"/>
      <c r="AX341" s="382"/>
      <c r="AY341" s="382"/>
      <c r="AZ341" s="382"/>
      <c r="BA341" s="382"/>
      <c r="BB341" s="382"/>
      <c r="BC341" s="382"/>
      <c r="BD341" s="382"/>
      <c r="BE341" s="382"/>
      <c r="BF341" s="382"/>
      <c r="BG341" s="382"/>
      <c r="BH341" s="382"/>
      <c r="BI341" s="382"/>
      <c r="BJ341" s="382"/>
      <c r="BK341" s="382"/>
      <c r="BL341" s="382"/>
      <c r="BM341" s="382"/>
      <c r="BN341" s="382"/>
      <c r="BO341" s="382"/>
      <c r="BP341" s="382"/>
      <c r="BQ341" s="382"/>
      <c r="BR341" s="382"/>
      <c r="BS341" s="382"/>
      <c r="BT341" s="382"/>
      <c r="BU341" s="496"/>
      <c r="BV341" s="382"/>
      <c r="BW341" s="382"/>
      <c r="BX341" s="382"/>
      <c r="BY341" s="382"/>
      <c r="BZ341" s="382"/>
      <c r="CA341" s="382"/>
      <c r="CB341" s="382"/>
      <c r="CC341" s="382"/>
      <c r="CD341" s="382"/>
      <c r="CE341" s="382"/>
      <c r="CF341" s="382"/>
      <c r="CG341" s="382"/>
      <c r="CH341" s="382"/>
      <c r="CI341" s="382"/>
      <c r="CJ341" s="382"/>
      <c r="CK341" s="382"/>
      <c r="CL341" s="382"/>
      <c r="CM341" s="382"/>
      <c r="CN341" s="382"/>
      <c r="CO341" s="382"/>
      <c r="CP341" s="382"/>
      <c r="CQ341" s="382"/>
      <c r="CR341" s="382"/>
      <c r="CS341" s="382"/>
      <c r="CT341" s="382"/>
      <c r="CU341" s="382"/>
      <c r="CV341" s="382"/>
      <c r="CW341" s="800"/>
      <c r="CX341" s="382"/>
      <c r="CY341" s="382"/>
      <c r="CZ341" s="382"/>
      <c r="DA341" s="382"/>
      <c r="DB341" s="382"/>
      <c r="DC341" s="382"/>
      <c r="DD341" s="382"/>
      <c r="DE341" s="382"/>
      <c r="DF341" s="382"/>
      <c r="DG341" s="382"/>
      <c r="DH341" s="382"/>
      <c r="DI341" s="382"/>
      <c r="DJ341" s="382"/>
      <c r="DK341" s="382"/>
      <c r="DL341" s="382"/>
      <c r="DM341" s="382"/>
      <c r="DN341" s="382"/>
      <c r="DO341" s="382"/>
      <c r="DP341" s="382"/>
      <c r="DQ341" s="382"/>
      <c r="DR341" s="382"/>
      <c r="DS341" s="382"/>
      <c r="DT341" s="382"/>
      <c r="DU341" s="382"/>
      <c r="DV341" s="382"/>
      <c r="DW341" s="382"/>
      <c r="DX341" s="382"/>
      <c r="DY341" s="382"/>
      <c r="DZ341" s="228"/>
    </row>
    <row r="342" spans="2:130" s="180" customFormat="1" ht="14.25" customHeight="1" x14ac:dyDescent="0.2">
      <c r="B342" s="800"/>
      <c r="C342" s="800"/>
      <c r="D342" s="800"/>
      <c r="E342" s="769"/>
      <c r="F342" s="769"/>
      <c r="G342" s="802"/>
      <c r="H342" s="802"/>
      <c r="I342" s="802"/>
      <c r="J342" s="802"/>
      <c r="K342" s="802"/>
      <c r="L342" s="802"/>
      <c r="M342" s="802"/>
      <c r="N342" s="802"/>
      <c r="O342" s="802"/>
      <c r="P342" s="802"/>
      <c r="Q342" s="802"/>
      <c r="R342" s="802"/>
      <c r="S342" s="803"/>
      <c r="T342" s="802"/>
      <c r="U342" s="802"/>
      <c r="V342" s="802"/>
      <c r="W342" s="802"/>
      <c r="X342" s="802"/>
      <c r="Y342" s="802"/>
      <c r="Z342" s="802"/>
      <c r="AA342" s="802"/>
      <c r="AB342" s="802"/>
      <c r="AC342" s="802"/>
      <c r="AD342" s="802"/>
      <c r="AE342" s="802"/>
      <c r="AF342" s="802"/>
      <c r="AG342" s="802"/>
      <c r="AH342" s="382"/>
      <c r="AI342" s="382"/>
      <c r="AJ342" s="382"/>
      <c r="AK342" s="382"/>
      <c r="AL342" s="382"/>
      <c r="AM342" s="382"/>
      <c r="AN342" s="382"/>
      <c r="AO342" s="382"/>
      <c r="AP342" s="382"/>
      <c r="AQ342" s="382"/>
      <c r="AR342" s="382"/>
      <c r="AS342" s="382"/>
      <c r="AT342" s="382"/>
      <c r="AU342" s="382"/>
      <c r="AV342" s="382"/>
      <c r="AW342" s="382"/>
      <c r="AX342" s="382"/>
      <c r="AY342" s="382"/>
      <c r="AZ342" s="382"/>
      <c r="BA342" s="382"/>
      <c r="BB342" s="382"/>
      <c r="BC342" s="382"/>
      <c r="BD342" s="382"/>
      <c r="BE342" s="382"/>
      <c r="BF342" s="382"/>
      <c r="BG342" s="382"/>
      <c r="BH342" s="382"/>
      <c r="BI342" s="382"/>
      <c r="BJ342" s="382"/>
      <c r="BK342" s="382"/>
      <c r="BL342" s="382"/>
      <c r="BM342" s="382"/>
      <c r="BN342" s="382"/>
      <c r="BO342" s="382"/>
      <c r="BP342" s="382"/>
      <c r="BQ342" s="382"/>
      <c r="BR342" s="382"/>
      <c r="BS342" s="382"/>
      <c r="BT342" s="382"/>
      <c r="BU342" s="496"/>
      <c r="BV342" s="382"/>
      <c r="BW342" s="382"/>
      <c r="BX342" s="382"/>
      <c r="BY342" s="382"/>
      <c r="BZ342" s="382"/>
      <c r="CA342" s="382"/>
      <c r="CB342" s="382"/>
      <c r="CC342" s="382"/>
      <c r="CD342" s="382"/>
      <c r="CE342" s="382"/>
      <c r="CF342" s="382"/>
      <c r="CG342" s="382"/>
      <c r="CH342" s="382"/>
      <c r="CI342" s="382"/>
      <c r="CJ342" s="382"/>
      <c r="CK342" s="382"/>
      <c r="CL342" s="382"/>
      <c r="CM342" s="382"/>
      <c r="CN342" s="382"/>
      <c r="CO342" s="382"/>
      <c r="CP342" s="382"/>
      <c r="CQ342" s="382"/>
      <c r="CR342" s="382"/>
      <c r="CS342" s="382"/>
      <c r="CT342" s="382"/>
      <c r="CU342" s="382"/>
      <c r="CV342" s="382"/>
      <c r="CW342" s="800"/>
      <c r="CX342" s="382"/>
      <c r="CY342" s="382"/>
      <c r="CZ342" s="382"/>
      <c r="DA342" s="382"/>
      <c r="DB342" s="382"/>
      <c r="DC342" s="382"/>
      <c r="DD342" s="382"/>
      <c r="DE342" s="382"/>
      <c r="DF342" s="382"/>
      <c r="DG342" s="382"/>
      <c r="DH342" s="382"/>
      <c r="DI342" s="382"/>
      <c r="DJ342" s="382"/>
      <c r="DK342" s="382"/>
      <c r="DL342" s="382"/>
      <c r="DM342" s="382"/>
      <c r="DN342" s="382"/>
      <c r="DO342" s="382"/>
      <c r="DP342" s="382"/>
      <c r="DQ342" s="382"/>
      <c r="DR342" s="382"/>
      <c r="DS342" s="382"/>
      <c r="DT342" s="382"/>
      <c r="DU342" s="382"/>
      <c r="DV342" s="382"/>
      <c r="DW342" s="382"/>
      <c r="DX342" s="382"/>
      <c r="DY342" s="382"/>
      <c r="DZ342" s="228"/>
    </row>
    <row r="343" spans="2:130" s="180" customFormat="1" ht="14.25" customHeight="1" x14ac:dyDescent="0.2">
      <c r="B343" s="800"/>
      <c r="C343" s="800"/>
      <c r="D343" s="800"/>
      <c r="E343" s="769"/>
      <c r="F343" s="769"/>
      <c r="G343" s="802"/>
      <c r="H343" s="802"/>
      <c r="I343" s="802"/>
      <c r="J343" s="802"/>
      <c r="K343" s="802"/>
      <c r="L343" s="802"/>
      <c r="M343" s="802"/>
      <c r="N343" s="802"/>
      <c r="O343" s="802"/>
      <c r="P343" s="802"/>
      <c r="Q343" s="802"/>
      <c r="R343" s="802"/>
      <c r="S343" s="803"/>
      <c r="T343" s="802"/>
      <c r="U343" s="802"/>
      <c r="V343" s="802"/>
      <c r="W343" s="802"/>
      <c r="X343" s="802"/>
      <c r="Y343" s="802"/>
      <c r="Z343" s="802"/>
      <c r="AA343" s="802"/>
      <c r="AB343" s="802"/>
      <c r="AC343" s="802"/>
      <c r="AD343" s="802"/>
      <c r="AE343" s="802"/>
      <c r="AF343" s="802"/>
      <c r="AG343" s="802"/>
      <c r="AH343" s="382"/>
      <c r="AI343" s="382"/>
      <c r="AJ343" s="382"/>
      <c r="AK343" s="382"/>
      <c r="AL343" s="382"/>
      <c r="AM343" s="382"/>
      <c r="AN343" s="382"/>
      <c r="AO343" s="382"/>
      <c r="AP343" s="382"/>
      <c r="AQ343" s="382"/>
      <c r="AR343" s="382"/>
      <c r="AS343" s="382"/>
      <c r="AT343" s="382"/>
      <c r="AU343" s="382"/>
      <c r="AV343" s="382"/>
      <c r="AW343" s="382"/>
      <c r="AX343" s="382"/>
      <c r="AY343" s="382"/>
      <c r="AZ343" s="382"/>
      <c r="BA343" s="382"/>
      <c r="BB343" s="382"/>
      <c r="BC343" s="382"/>
      <c r="BD343" s="382"/>
      <c r="BE343" s="382"/>
      <c r="BF343" s="382"/>
      <c r="BG343" s="382"/>
      <c r="BH343" s="382"/>
      <c r="BI343" s="382"/>
      <c r="BJ343" s="382"/>
      <c r="BK343" s="382"/>
      <c r="BL343" s="382"/>
      <c r="BM343" s="382"/>
      <c r="BN343" s="382"/>
      <c r="BO343" s="382"/>
      <c r="BP343" s="382"/>
      <c r="BQ343" s="382"/>
      <c r="BR343" s="382"/>
      <c r="BS343" s="382"/>
      <c r="BT343" s="382"/>
      <c r="BU343" s="496"/>
      <c r="BV343" s="382"/>
      <c r="BW343" s="382"/>
      <c r="BX343" s="382"/>
      <c r="BY343" s="382"/>
      <c r="BZ343" s="382"/>
      <c r="CA343" s="382"/>
      <c r="CB343" s="382"/>
      <c r="CC343" s="382"/>
      <c r="CD343" s="382"/>
      <c r="CE343" s="382"/>
      <c r="CF343" s="382"/>
      <c r="CG343" s="382"/>
      <c r="CH343" s="382"/>
      <c r="CI343" s="382"/>
      <c r="CJ343" s="382"/>
      <c r="CK343" s="382"/>
      <c r="CL343" s="382"/>
      <c r="CM343" s="382"/>
      <c r="CN343" s="382"/>
      <c r="CO343" s="382"/>
      <c r="CP343" s="382"/>
      <c r="CQ343" s="382"/>
      <c r="CR343" s="382"/>
      <c r="CS343" s="382"/>
      <c r="CT343" s="382"/>
      <c r="CU343" s="382"/>
      <c r="CV343" s="382"/>
      <c r="CW343" s="800"/>
      <c r="CX343" s="382"/>
      <c r="CY343" s="382"/>
      <c r="CZ343" s="382"/>
      <c r="DA343" s="382"/>
      <c r="DB343" s="382"/>
      <c r="DC343" s="382"/>
      <c r="DD343" s="382"/>
      <c r="DE343" s="382"/>
      <c r="DF343" s="382"/>
      <c r="DG343" s="382"/>
      <c r="DH343" s="382"/>
      <c r="DI343" s="382"/>
      <c r="DJ343" s="382"/>
      <c r="DK343" s="382"/>
      <c r="DL343" s="382"/>
      <c r="DM343" s="382"/>
      <c r="DN343" s="382"/>
      <c r="DO343" s="382"/>
      <c r="DP343" s="382"/>
      <c r="DQ343" s="382"/>
      <c r="DR343" s="382"/>
      <c r="DS343" s="382"/>
      <c r="DT343" s="382"/>
      <c r="DU343" s="382"/>
      <c r="DV343" s="382"/>
      <c r="DW343" s="382"/>
      <c r="DX343" s="382"/>
      <c r="DY343" s="382"/>
      <c r="DZ343" s="228"/>
    </row>
    <row r="344" spans="2:130" s="180" customFormat="1" ht="14.25" customHeight="1" x14ac:dyDescent="0.2">
      <c r="B344" s="800"/>
      <c r="C344" s="800"/>
      <c r="D344" s="800"/>
      <c r="E344" s="769"/>
      <c r="F344" s="769"/>
      <c r="G344" s="802"/>
      <c r="H344" s="802"/>
      <c r="I344" s="802"/>
      <c r="J344" s="802"/>
      <c r="K344" s="802"/>
      <c r="L344" s="802"/>
      <c r="M344" s="802"/>
      <c r="N344" s="802"/>
      <c r="O344" s="802"/>
      <c r="P344" s="802"/>
      <c r="Q344" s="802"/>
      <c r="R344" s="802"/>
      <c r="S344" s="803"/>
      <c r="T344" s="802"/>
      <c r="U344" s="802"/>
      <c r="V344" s="802"/>
      <c r="W344" s="802"/>
      <c r="X344" s="802"/>
      <c r="Y344" s="802"/>
      <c r="Z344" s="802"/>
      <c r="AA344" s="802"/>
      <c r="AB344" s="802"/>
      <c r="AC344" s="802"/>
      <c r="AD344" s="802"/>
      <c r="AE344" s="802"/>
      <c r="AF344" s="802"/>
      <c r="AG344" s="802"/>
      <c r="AH344" s="382"/>
      <c r="AI344" s="382"/>
      <c r="AJ344" s="382"/>
      <c r="AK344" s="382"/>
      <c r="AL344" s="382"/>
      <c r="AM344" s="382"/>
      <c r="AN344" s="382"/>
      <c r="AO344" s="382"/>
      <c r="AP344" s="382"/>
      <c r="AQ344" s="382"/>
      <c r="AR344" s="382"/>
      <c r="AS344" s="382"/>
      <c r="AT344" s="382"/>
      <c r="AU344" s="382"/>
      <c r="AV344" s="382"/>
      <c r="AW344" s="382"/>
      <c r="AX344" s="382"/>
      <c r="AY344" s="382"/>
      <c r="AZ344" s="382"/>
      <c r="BA344" s="382"/>
      <c r="BB344" s="382"/>
      <c r="BC344" s="382"/>
      <c r="BD344" s="382"/>
      <c r="BE344" s="382"/>
      <c r="BF344" s="382"/>
      <c r="BG344" s="382"/>
      <c r="BH344" s="382"/>
      <c r="BI344" s="382"/>
      <c r="BJ344" s="382"/>
      <c r="BK344" s="382"/>
      <c r="BL344" s="382"/>
      <c r="BM344" s="382"/>
      <c r="BN344" s="382"/>
      <c r="BO344" s="382"/>
      <c r="BP344" s="382"/>
      <c r="BQ344" s="382"/>
      <c r="BR344" s="382"/>
      <c r="BS344" s="382"/>
      <c r="BT344" s="382"/>
      <c r="BU344" s="496"/>
      <c r="BV344" s="382"/>
      <c r="BW344" s="382"/>
      <c r="BX344" s="382"/>
      <c r="BY344" s="382"/>
      <c r="BZ344" s="382"/>
      <c r="CA344" s="382"/>
      <c r="CB344" s="382"/>
      <c r="CC344" s="382"/>
      <c r="CD344" s="382"/>
      <c r="CE344" s="382"/>
      <c r="CF344" s="382"/>
      <c r="CG344" s="382"/>
      <c r="CH344" s="382"/>
      <c r="CI344" s="382"/>
      <c r="CJ344" s="382"/>
      <c r="CK344" s="382"/>
      <c r="CL344" s="382"/>
      <c r="CM344" s="382"/>
      <c r="CN344" s="382"/>
      <c r="CO344" s="382"/>
      <c r="CP344" s="382"/>
      <c r="CQ344" s="382"/>
      <c r="CR344" s="382"/>
      <c r="CS344" s="382"/>
      <c r="CT344" s="382"/>
      <c r="CU344" s="382"/>
      <c r="CV344" s="382"/>
      <c r="CW344" s="800"/>
      <c r="CX344" s="382"/>
      <c r="CY344" s="382"/>
      <c r="CZ344" s="382"/>
      <c r="DA344" s="382"/>
      <c r="DB344" s="382"/>
      <c r="DC344" s="382"/>
      <c r="DD344" s="382"/>
      <c r="DE344" s="382"/>
      <c r="DF344" s="382"/>
      <c r="DG344" s="382"/>
      <c r="DH344" s="382"/>
      <c r="DI344" s="382"/>
      <c r="DJ344" s="382"/>
      <c r="DK344" s="382"/>
      <c r="DL344" s="382"/>
      <c r="DM344" s="382"/>
      <c r="DN344" s="382"/>
      <c r="DO344" s="382"/>
      <c r="DP344" s="382"/>
      <c r="DQ344" s="382"/>
      <c r="DR344" s="382"/>
      <c r="DS344" s="382"/>
      <c r="DT344" s="382"/>
      <c r="DU344" s="382"/>
      <c r="DV344" s="382"/>
      <c r="DW344" s="382"/>
      <c r="DX344" s="382"/>
      <c r="DY344" s="382"/>
      <c r="DZ344" s="228"/>
    </row>
    <row r="345" spans="2:130" s="180" customFormat="1" ht="14.25" customHeight="1" x14ac:dyDescent="0.2">
      <c r="B345" s="800"/>
      <c r="C345" s="800"/>
      <c r="D345" s="800"/>
      <c r="E345" s="769"/>
      <c r="F345" s="769"/>
      <c r="G345" s="802"/>
      <c r="H345" s="802"/>
      <c r="I345" s="802"/>
      <c r="J345" s="802"/>
      <c r="K345" s="802"/>
      <c r="L345" s="802"/>
      <c r="M345" s="802"/>
      <c r="N345" s="802"/>
      <c r="O345" s="802"/>
      <c r="P345" s="802"/>
      <c r="Q345" s="802"/>
      <c r="R345" s="802"/>
      <c r="S345" s="803"/>
      <c r="T345" s="802"/>
      <c r="U345" s="802"/>
      <c r="V345" s="802"/>
      <c r="W345" s="802"/>
      <c r="X345" s="802"/>
      <c r="Y345" s="802"/>
      <c r="Z345" s="802"/>
      <c r="AA345" s="802"/>
      <c r="AB345" s="802"/>
      <c r="AC345" s="802"/>
      <c r="AD345" s="802"/>
      <c r="AE345" s="802"/>
      <c r="AF345" s="802"/>
      <c r="AG345" s="802"/>
      <c r="AH345" s="382"/>
      <c r="AI345" s="382"/>
      <c r="AJ345" s="382"/>
      <c r="AK345" s="382"/>
      <c r="AL345" s="382"/>
      <c r="AM345" s="382"/>
      <c r="AN345" s="382"/>
      <c r="AO345" s="382"/>
      <c r="AP345" s="382"/>
      <c r="AQ345" s="382"/>
      <c r="AR345" s="382"/>
      <c r="AS345" s="382"/>
      <c r="AT345" s="382"/>
      <c r="AU345" s="382"/>
      <c r="AV345" s="382"/>
      <c r="AW345" s="382"/>
      <c r="AX345" s="382"/>
      <c r="AY345" s="382"/>
      <c r="AZ345" s="382"/>
      <c r="BA345" s="382"/>
      <c r="BB345" s="382"/>
      <c r="BC345" s="382"/>
      <c r="BD345" s="382"/>
      <c r="BE345" s="382"/>
      <c r="BF345" s="382"/>
      <c r="BG345" s="382"/>
      <c r="BH345" s="382"/>
      <c r="BI345" s="382"/>
      <c r="BJ345" s="382"/>
      <c r="BK345" s="382"/>
      <c r="BL345" s="382"/>
      <c r="BM345" s="382"/>
      <c r="BN345" s="382"/>
      <c r="BO345" s="382"/>
      <c r="BP345" s="382"/>
      <c r="BQ345" s="382"/>
      <c r="BR345" s="382"/>
      <c r="BS345" s="382"/>
      <c r="BT345" s="382"/>
      <c r="BU345" s="496"/>
      <c r="BV345" s="382"/>
      <c r="BW345" s="382"/>
      <c r="BX345" s="382"/>
      <c r="BY345" s="382"/>
      <c r="BZ345" s="382"/>
      <c r="CA345" s="382"/>
      <c r="CB345" s="382"/>
      <c r="CC345" s="382"/>
      <c r="CD345" s="382"/>
      <c r="CE345" s="382"/>
      <c r="CF345" s="382"/>
      <c r="CG345" s="382"/>
      <c r="CH345" s="382"/>
      <c r="CI345" s="382"/>
      <c r="CJ345" s="382"/>
      <c r="CK345" s="382"/>
      <c r="CL345" s="382"/>
      <c r="CM345" s="382"/>
      <c r="CN345" s="382"/>
      <c r="CO345" s="382"/>
      <c r="CP345" s="382"/>
      <c r="CQ345" s="382"/>
      <c r="CR345" s="382"/>
      <c r="CS345" s="382"/>
      <c r="CT345" s="382"/>
      <c r="CU345" s="382"/>
      <c r="CV345" s="382"/>
      <c r="CW345" s="800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  <c r="DS345" s="382"/>
      <c r="DT345" s="382"/>
      <c r="DU345" s="382"/>
      <c r="DV345" s="382"/>
      <c r="DW345" s="382"/>
      <c r="DX345" s="382"/>
      <c r="DY345" s="382"/>
      <c r="DZ345" s="228"/>
    </row>
    <row r="346" spans="2:130" s="180" customFormat="1" ht="14.25" customHeight="1" x14ac:dyDescent="0.2">
      <c r="B346" s="800"/>
      <c r="C346" s="800"/>
      <c r="D346" s="800"/>
      <c r="E346" s="769"/>
      <c r="F346" s="769"/>
      <c r="G346" s="802"/>
      <c r="H346" s="802"/>
      <c r="I346" s="802"/>
      <c r="J346" s="802"/>
      <c r="K346" s="802"/>
      <c r="L346" s="802"/>
      <c r="M346" s="802"/>
      <c r="N346" s="802"/>
      <c r="O346" s="802"/>
      <c r="P346" s="802"/>
      <c r="Q346" s="802"/>
      <c r="R346" s="802"/>
      <c r="S346" s="803"/>
      <c r="T346" s="802"/>
      <c r="U346" s="802"/>
      <c r="V346" s="802"/>
      <c r="W346" s="802"/>
      <c r="X346" s="802"/>
      <c r="Y346" s="802"/>
      <c r="Z346" s="802"/>
      <c r="AA346" s="802"/>
      <c r="AB346" s="802"/>
      <c r="AC346" s="802"/>
      <c r="AD346" s="802"/>
      <c r="AE346" s="802"/>
      <c r="AF346" s="802"/>
      <c r="AG346" s="802"/>
      <c r="AH346" s="382"/>
      <c r="AI346" s="382"/>
      <c r="AJ346" s="382"/>
      <c r="AK346" s="382"/>
      <c r="AL346" s="382"/>
      <c r="AM346" s="382"/>
      <c r="AN346" s="382"/>
      <c r="AO346" s="382"/>
      <c r="AP346" s="382"/>
      <c r="AQ346" s="382"/>
      <c r="AR346" s="382"/>
      <c r="AS346" s="382"/>
      <c r="AT346" s="382"/>
      <c r="AU346" s="382"/>
      <c r="AV346" s="382"/>
      <c r="AW346" s="382"/>
      <c r="AX346" s="382"/>
      <c r="AY346" s="382"/>
      <c r="AZ346" s="382"/>
      <c r="BA346" s="382"/>
      <c r="BB346" s="382"/>
      <c r="BC346" s="382"/>
      <c r="BD346" s="382"/>
      <c r="BE346" s="382"/>
      <c r="BF346" s="382"/>
      <c r="BG346" s="382"/>
      <c r="BH346" s="382"/>
      <c r="BI346" s="382"/>
      <c r="BJ346" s="382"/>
      <c r="BK346" s="382"/>
      <c r="BL346" s="382"/>
      <c r="BM346" s="382"/>
      <c r="BN346" s="382"/>
      <c r="BO346" s="382"/>
      <c r="BP346" s="382"/>
      <c r="BQ346" s="382"/>
      <c r="BR346" s="382"/>
      <c r="BS346" s="382"/>
      <c r="BT346" s="382"/>
      <c r="BU346" s="496"/>
      <c r="BV346" s="382"/>
      <c r="BW346" s="382"/>
      <c r="BX346" s="382"/>
      <c r="BY346" s="382"/>
      <c r="BZ346" s="382"/>
      <c r="CA346" s="382"/>
      <c r="CB346" s="382"/>
      <c r="CC346" s="382"/>
      <c r="CD346" s="382"/>
      <c r="CE346" s="382"/>
      <c r="CF346" s="382"/>
      <c r="CG346" s="382"/>
      <c r="CH346" s="382"/>
      <c r="CI346" s="382"/>
      <c r="CJ346" s="382"/>
      <c r="CK346" s="382"/>
      <c r="CL346" s="382"/>
      <c r="CM346" s="382"/>
      <c r="CN346" s="382"/>
      <c r="CO346" s="382"/>
      <c r="CP346" s="382"/>
      <c r="CQ346" s="382"/>
      <c r="CR346" s="382"/>
      <c r="CS346" s="382"/>
      <c r="CT346" s="382"/>
      <c r="CU346" s="382"/>
      <c r="CV346" s="382"/>
      <c r="CW346" s="800"/>
      <c r="CX346" s="382"/>
      <c r="CY346" s="382"/>
      <c r="CZ346" s="382"/>
      <c r="DA346" s="382"/>
      <c r="DB346" s="382"/>
      <c r="DC346" s="382"/>
      <c r="DD346" s="382"/>
      <c r="DE346" s="382"/>
      <c r="DF346" s="382"/>
      <c r="DG346" s="382"/>
      <c r="DH346" s="382"/>
      <c r="DI346" s="382"/>
      <c r="DJ346" s="382"/>
      <c r="DK346" s="382"/>
      <c r="DL346" s="382"/>
      <c r="DM346" s="382"/>
      <c r="DN346" s="382"/>
      <c r="DO346" s="382"/>
      <c r="DP346" s="382"/>
      <c r="DQ346" s="382"/>
      <c r="DR346" s="382"/>
      <c r="DS346" s="382"/>
      <c r="DT346" s="382"/>
      <c r="DU346" s="382"/>
      <c r="DV346" s="382"/>
      <c r="DW346" s="382"/>
      <c r="DX346" s="382"/>
      <c r="DY346" s="382"/>
      <c r="DZ346" s="228"/>
    </row>
    <row r="347" spans="2:130" s="180" customFormat="1" ht="14.25" customHeight="1" x14ac:dyDescent="0.2">
      <c r="B347" s="800"/>
      <c r="C347" s="800"/>
      <c r="D347" s="800"/>
      <c r="E347" s="769"/>
      <c r="F347" s="769"/>
      <c r="G347" s="802"/>
      <c r="H347" s="802"/>
      <c r="I347" s="802"/>
      <c r="J347" s="802"/>
      <c r="K347" s="802"/>
      <c r="L347" s="802"/>
      <c r="M347" s="802"/>
      <c r="N347" s="802"/>
      <c r="O347" s="802"/>
      <c r="P347" s="802"/>
      <c r="Q347" s="802"/>
      <c r="R347" s="802"/>
      <c r="S347" s="803"/>
      <c r="T347" s="802"/>
      <c r="U347" s="802"/>
      <c r="V347" s="802"/>
      <c r="W347" s="802"/>
      <c r="X347" s="802"/>
      <c r="Y347" s="802"/>
      <c r="Z347" s="802"/>
      <c r="AA347" s="802"/>
      <c r="AB347" s="802"/>
      <c r="AC347" s="802"/>
      <c r="AD347" s="802"/>
      <c r="AE347" s="802"/>
      <c r="AF347" s="802"/>
      <c r="AG347" s="802"/>
      <c r="AH347" s="382"/>
      <c r="AI347" s="382"/>
      <c r="AJ347" s="382"/>
      <c r="AK347" s="382"/>
      <c r="AL347" s="382"/>
      <c r="AM347" s="382"/>
      <c r="AN347" s="382"/>
      <c r="AO347" s="382"/>
      <c r="AP347" s="382"/>
      <c r="AQ347" s="382"/>
      <c r="AR347" s="382"/>
      <c r="AS347" s="382"/>
      <c r="AT347" s="382"/>
      <c r="AU347" s="382"/>
      <c r="AV347" s="382"/>
      <c r="AW347" s="382"/>
      <c r="AX347" s="382"/>
      <c r="AY347" s="382"/>
      <c r="AZ347" s="382"/>
      <c r="BA347" s="382"/>
      <c r="BB347" s="382"/>
      <c r="BC347" s="382"/>
      <c r="BD347" s="382"/>
      <c r="BE347" s="382"/>
      <c r="BF347" s="382"/>
      <c r="BG347" s="382"/>
      <c r="BH347" s="382"/>
      <c r="BI347" s="382"/>
      <c r="BJ347" s="382"/>
      <c r="BK347" s="382"/>
      <c r="BL347" s="382"/>
      <c r="BM347" s="382"/>
      <c r="BN347" s="382"/>
      <c r="BO347" s="382"/>
      <c r="BP347" s="382"/>
      <c r="BQ347" s="382"/>
      <c r="BR347" s="382"/>
      <c r="BS347" s="382"/>
      <c r="BT347" s="382"/>
      <c r="BU347" s="496"/>
      <c r="BV347" s="382"/>
      <c r="BW347" s="382"/>
      <c r="BX347" s="382"/>
      <c r="BY347" s="382"/>
      <c r="BZ347" s="382"/>
      <c r="CA347" s="382"/>
      <c r="CB347" s="382"/>
      <c r="CC347" s="382"/>
      <c r="CD347" s="382"/>
      <c r="CE347" s="382"/>
      <c r="CF347" s="382"/>
      <c r="CG347" s="382"/>
      <c r="CH347" s="382"/>
      <c r="CI347" s="382"/>
      <c r="CJ347" s="382"/>
      <c r="CK347" s="382"/>
      <c r="CL347" s="382"/>
      <c r="CM347" s="382"/>
      <c r="CN347" s="382"/>
      <c r="CO347" s="382"/>
      <c r="CP347" s="382"/>
      <c r="CQ347" s="382"/>
      <c r="CR347" s="382"/>
      <c r="CS347" s="382"/>
      <c r="CT347" s="382"/>
      <c r="CU347" s="382"/>
      <c r="CV347" s="382"/>
      <c r="CW347" s="800"/>
      <c r="CX347" s="382"/>
      <c r="CY347" s="382"/>
      <c r="CZ347" s="382"/>
      <c r="DA347" s="382"/>
      <c r="DB347" s="382"/>
      <c r="DC347" s="382"/>
      <c r="DD347" s="382"/>
      <c r="DE347" s="382"/>
      <c r="DF347" s="382"/>
      <c r="DG347" s="382"/>
      <c r="DH347" s="382"/>
      <c r="DI347" s="382"/>
      <c r="DJ347" s="382"/>
      <c r="DK347" s="382"/>
      <c r="DL347" s="382"/>
      <c r="DM347" s="382"/>
      <c r="DN347" s="382"/>
      <c r="DO347" s="382"/>
      <c r="DP347" s="382"/>
      <c r="DQ347" s="382"/>
      <c r="DR347" s="382"/>
      <c r="DS347" s="382"/>
      <c r="DT347" s="382"/>
      <c r="DU347" s="382"/>
      <c r="DV347" s="382"/>
      <c r="DW347" s="382"/>
      <c r="DX347" s="382"/>
      <c r="DY347" s="382"/>
      <c r="DZ347" s="228"/>
    </row>
    <row r="348" spans="2:130" s="180" customFormat="1" ht="14.25" customHeight="1" x14ac:dyDescent="0.2">
      <c r="B348" s="800"/>
      <c r="C348" s="800"/>
      <c r="D348" s="800"/>
      <c r="E348" s="769"/>
      <c r="F348" s="769"/>
      <c r="G348" s="802"/>
      <c r="H348" s="802"/>
      <c r="I348" s="802"/>
      <c r="J348" s="802"/>
      <c r="K348" s="802"/>
      <c r="L348" s="802"/>
      <c r="M348" s="802"/>
      <c r="N348" s="802"/>
      <c r="O348" s="802"/>
      <c r="P348" s="802"/>
      <c r="Q348" s="802"/>
      <c r="R348" s="802"/>
      <c r="S348" s="803"/>
      <c r="T348" s="802"/>
      <c r="U348" s="802"/>
      <c r="V348" s="802"/>
      <c r="W348" s="802"/>
      <c r="X348" s="802"/>
      <c r="Y348" s="802"/>
      <c r="Z348" s="802"/>
      <c r="AA348" s="802"/>
      <c r="AB348" s="802"/>
      <c r="AC348" s="802"/>
      <c r="AD348" s="802"/>
      <c r="AE348" s="802"/>
      <c r="AF348" s="802"/>
      <c r="AG348" s="802"/>
      <c r="AH348" s="382"/>
      <c r="AI348" s="382"/>
      <c r="AJ348" s="382"/>
      <c r="AK348" s="382"/>
      <c r="AL348" s="382"/>
      <c r="AM348" s="382"/>
      <c r="AN348" s="382"/>
      <c r="AO348" s="382"/>
      <c r="AP348" s="382"/>
      <c r="AQ348" s="382"/>
      <c r="AR348" s="382"/>
      <c r="AS348" s="382"/>
      <c r="AT348" s="382"/>
      <c r="AU348" s="382"/>
      <c r="AV348" s="382"/>
      <c r="AW348" s="382"/>
      <c r="AX348" s="382"/>
      <c r="AY348" s="382"/>
      <c r="AZ348" s="382"/>
      <c r="BA348" s="382"/>
      <c r="BB348" s="382"/>
      <c r="BC348" s="382"/>
      <c r="BD348" s="382"/>
      <c r="BE348" s="382"/>
      <c r="BF348" s="382"/>
      <c r="BG348" s="382"/>
      <c r="BH348" s="382"/>
      <c r="BI348" s="382"/>
      <c r="BJ348" s="382"/>
      <c r="BK348" s="382"/>
      <c r="BL348" s="382"/>
      <c r="BM348" s="382"/>
      <c r="BN348" s="382"/>
      <c r="BO348" s="382"/>
      <c r="BP348" s="382"/>
      <c r="BQ348" s="382"/>
      <c r="BR348" s="382"/>
      <c r="BS348" s="382"/>
      <c r="BT348" s="382"/>
      <c r="BU348" s="496"/>
      <c r="BV348" s="382"/>
      <c r="BW348" s="382"/>
      <c r="BX348" s="382"/>
      <c r="BY348" s="382"/>
      <c r="BZ348" s="382"/>
      <c r="CA348" s="382"/>
      <c r="CB348" s="382"/>
      <c r="CC348" s="382"/>
      <c r="CD348" s="382"/>
      <c r="CE348" s="382"/>
      <c r="CF348" s="382"/>
      <c r="CG348" s="382"/>
      <c r="CH348" s="382"/>
      <c r="CI348" s="382"/>
      <c r="CJ348" s="382"/>
      <c r="CK348" s="382"/>
      <c r="CL348" s="382"/>
      <c r="CM348" s="382"/>
      <c r="CN348" s="382"/>
      <c r="CO348" s="382"/>
      <c r="CP348" s="382"/>
      <c r="CQ348" s="382"/>
      <c r="CR348" s="382"/>
      <c r="CS348" s="382"/>
      <c r="CT348" s="382"/>
      <c r="CU348" s="382"/>
      <c r="CV348" s="382"/>
      <c r="CW348" s="800"/>
      <c r="CX348" s="382"/>
      <c r="CY348" s="382"/>
      <c r="CZ348" s="382"/>
      <c r="DA348" s="382"/>
      <c r="DB348" s="382"/>
      <c r="DC348" s="382"/>
      <c r="DD348" s="382"/>
      <c r="DE348" s="382"/>
      <c r="DF348" s="382"/>
      <c r="DG348" s="382"/>
      <c r="DH348" s="382"/>
      <c r="DI348" s="382"/>
      <c r="DJ348" s="382"/>
      <c r="DK348" s="382"/>
      <c r="DL348" s="382"/>
      <c r="DM348" s="382"/>
      <c r="DN348" s="382"/>
      <c r="DO348" s="382"/>
      <c r="DP348" s="382"/>
      <c r="DQ348" s="382"/>
      <c r="DR348" s="382"/>
      <c r="DS348" s="382"/>
      <c r="DT348" s="382"/>
      <c r="DU348" s="382"/>
      <c r="DV348" s="382"/>
      <c r="DW348" s="382"/>
      <c r="DX348" s="382"/>
      <c r="DY348" s="382"/>
      <c r="DZ348" s="228"/>
    </row>
    <row r="349" spans="2:130" s="180" customFormat="1" ht="14.25" customHeight="1" x14ac:dyDescent="0.2">
      <c r="B349" s="800"/>
      <c r="C349" s="800"/>
      <c r="D349" s="800"/>
      <c r="E349" s="769"/>
      <c r="F349" s="769"/>
      <c r="G349" s="802"/>
      <c r="H349" s="802"/>
      <c r="I349" s="802"/>
      <c r="J349" s="802"/>
      <c r="K349" s="802"/>
      <c r="L349" s="802"/>
      <c r="M349" s="802"/>
      <c r="N349" s="802"/>
      <c r="O349" s="802"/>
      <c r="P349" s="802"/>
      <c r="Q349" s="802"/>
      <c r="R349" s="802"/>
      <c r="S349" s="803"/>
      <c r="T349" s="802"/>
      <c r="U349" s="802"/>
      <c r="V349" s="802"/>
      <c r="W349" s="802"/>
      <c r="X349" s="802"/>
      <c r="Y349" s="802"/>
      <c r="Z349" s="802"/>
      <c r="AA349" s="802"/>
      <c r="AB349" s="802"/>
      <c r="AC349" s="802"/>
      <c r="AD349" s="802"/>
      <c r="AE349" s="802"/>
      <c r="AF349" s="802"/>
      <c r="AG349" s="802"/>
      <c r="AH349" s="382"/>
      <c r="AI349" s="382"/>
      <c r="AJ349" s="382"/>
      <c r="AK349" s="382"/>
      <c r="AL349" s="382"/>
      <c r="AM349" s="382"/>
      <c r="AN349" s="382"/>
      <c r="AO349" s="382"/>
      <c r="AP349" s="382"/>
      <c r="AQ349" s="382"/>
      <c r="AR349" s="382"/>
      <c r="AS349" s="382"/>
      <c r="AT349" s="382"/>
      <c r="AU349" s="382"/>
      <c r="AV349" s="382"/>
      <c r="AW349" s="382"/>
      <c r="AX349" s="382"/>
      <c r="AY349" s="382"/>
      <c r="AZ349" s="382"/>
      <c r="BA349" s="382"/>
      <c r="BB349" s="382"/>
      <c r="BC349" s="382"/>
      <c r="BD349" s="382"/>
      <c r="BE349" s="382"/>
      <c r="BF349" s="382"/>
      <c r="BG349" s="382"/>
      <c r="BH349" s="382"/>
      <c r="BI349" s="382"/>
      <c r="BJ349" s="382"/>
      <c r="BK349" s="382"/>
      <c r="BL349" s="382"/>
      <c r="BM349" s="382"/>
      <c r="BN349" s="382"/>
      <c r="BO349" s="382"/>
      <c r="BP349" s="382"/>
      <c r="BQ349" s="382"/>
      <c r="BR349" s="382"/>
      <c r="BS349" s="382"/>
      <c r="BT349" s="382"/>
      <c r="BU349" s="496"/>
      <c r="BV349" s="382"/>
      <c r="BW349" s="382"/>
      <c r="BX349" s="382"/>
      <c r="BY349" s="382"/>
      <c r="BZ349" s="382"/>
      <c r="CA349" s="382"/>
      <c r="CB349" s="382"/>
      <c r="CC349" s="382"/>
      <c r="CD349" s="382"/>
      <c r="CE349" s="382"/>
      <c r="CF349" s="382"/>
      <c r="CG349" s="382"/>
      <c r="CH349" s="382"/>
      <c r="CI349" s="382"/>
      <c r="CJ349" s="382"/>
      <c r="CK349" s="382"/>
      <c r="CL349" s="382"/>
      <c r="CM349" s="382"/>
      <c r="CN349" s="382"/>
      <c r="CO349" s="382"/>
      <c r="CP349" s="382"/>
      <c r="CQ349" s="382"/>
      <c r="CR349" s="382"/>
      <c r="CS349" s="382"/>
      <c r="CT349" s="382"/>
      <c r="CU349" s="382"/>
      <c r="CV349" s="382"/>
      <c r="CW349" s="800"/>
      <c r="CX349" s="382"/>
      <c r="CY349" s="382"/>
      <c r="CZ349" s="382"/>
      <c r="DA349" s="382"/>
      <c r="DB349" s="382"/>
      <c r="DC349" s="382"/>
      <c r="DD349" s="382"/>
      <c r="DE349" s="382"/>
      <c r="DF349" s="382"/>
      <c r="DG349" s="382"/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  <c r="DS349" s="382"/>
      <c r="DT349" s="382"/>
      <c r="DU349" s="382"/>
      <c r="DV349" s="382"/>
      <c r="DW349" s="382"/>
      <c r="DX349" s="382"/>
      <c r="DY349" s="382"/>
      <c r="DZ349" s="228"/>
    </row>
    <row r="350" spans="2:130" s="180" customFormat="1" ht="14.25" customHeight="1" x14ac:dyDescent="0.2">
      <c r="B350" s="800"/>
      <c r="C350" s="800"/>
      <c r="D350" s="800"/>
      <c r="E350" s="769"/>
      <c r="F350" s="769"/>
      <c r="G350" s="802"/>
      <c r="H350" s="802"/>
      <c r="I350" s="802"/>
      <c r="J350" s="802"/>
      <c r="K350" s="802"/>
      <c r="L350" s="802"/>
      <c r="M350" s="802"/>
      <c r="N350" s="802"/>
      <c r="O350" s="802"/>
      <c r="P350" s="802"/>
      <c r="Q350" s="802"/>
      <c r="R350" s="802"/>
      <c r="S350" s="803"/>
      <c r="T350" s="802"/>
      <c r="U350" s="802"/>
      <c r="V350" s="802"/>
      <c r="W350" s="802"/>
      <c r="X350" s="802"/>
      <c r="Y350" s="802"/>
      <c r="Z350" s="802"/>
      <c r="AA350" s="802"/>
      <c r="AB350" s="802"/>
      <c r="AC350" s="802"/>
      <c r="AD350" s="802"/>
      <c r="AE350" s="802"/>
      <c r="AF350" s="802"/>
      <c r="AG350" s="802"/>
      <c r="AH350" s="382"/>
      <c r="AI350" s="382"/>
      <c r="AJ350" s="382"/>
      <c r="AK350" s="382"/>
      <c r="AL350" s="382"/>
      <c r="AM350" s="382"/>
      <c r="AN350" s="382"/>
      <c r="AO350" s="382"/>
      <c r="AP350" s="382"/>
      <c r="AQ350" s="382"/>
      <c r="AR350" s="382"/>
      <c r="AS350" s="382"/>
      <c r="AT350" s="382"/>
      <c r="AU350" s="382"/>
      <c r="AV350" s="382"/>
      <c r="AW350" s="382"/>
      <c r="AX350" s="382"/>
      <c r="AY350" s="382"/>
      <c r="AZ350" s="382"/>
      <c r="BA350" s="382"/>
      <c r="BB350" s="382"/>
      <c r="BC350" s="382"/>
      <c r="BD350" s="382"/>
      <c r="BE350" s="382"/>
      <c r="BF350" s="382"/>
      <c r="BG350" s="382"/>
      <c r="BH350" s="382"/>
      <c r="BI350" s="382"/>
      <c r="BJ350" s="382"/>
      <c r="BK350" s="382"/>
      <c r="BL350" s="382"/>
      <c r="BM350" s="382"/>
      <c r="BN350" s="382"/>
      <c r="BO350" s="382"/>
      <c r="BP350" s="382"/>
      <c r="BQ350" s="382"/>
      <c r="BR350" s="382"/>
      <c r="BS350" s="382"/>
      <c r="BT350" s="382"/>
      <c r="BU350" s="496"/>
      <c r="BV350" s="382"/>
      <c r="BW350" s="382"/>
      <c r="BX350" s="382"/>
      <c r="BY350" s="382"/>
      <c r="BZ350" s="382"/>
      <c r="CA350" s="382"/>
      <c r="CB350" s="382"/>
      <c r="CC350" s="382"/>
      <c r="CD350" s="382"/>
      <c r="CE350" s="382"/>
      <c r="CF350" s="382"/>
      <c r="CG350" s="382"/>
      <c r="CH350" s="382"/>
      <c r="CI350" s="382"/>
      <c r="CJ350" s="382"/>
      <c r="CK350" s="382"/>
      <c r="CL350" s="382"/>
      <c r="CM350" s="382"/>
      <c r="CN350" s="382"/>
      <c r="CO350" s="382"/>
      <c r="CP350" s="382"/>
      <c r="CQ350" s="382"/>
      <c r="CR350" s="382"/>
      <c r="CS350" s="382"/>
      <c r="CT350" s="382"/>
      <c r="CU350" s="382"/>
      <c r="CV350" s="382"/>
      <c r="CW350" s="800"/>
      <c r="CX350" s="382"/>
      <c r="CY350" s="382"/>
      <c r="CZ350" s="382"/>
      <c r="DA350" s="382"/>
      <c r="DB350" s="382"/>
      <c r="DC350" s="382"/>
      <c r="DD350" s="382"/>
      <c r="DE350" s="382"/>
      <c r="DF350" s="382"/>
      <c r="DG350" s="382"/>
      <c r="DH350" s="382"/>
      <c r="DI350" s="382"/>
      <c r="DJ350" s="382"/>
      <c r="DK350" s="382"/>
      <c r="DL350" s="382"/>
      <c r="DM350" s="382"/>
      <c r="DN350" s="382"/>
      <c r="DO350" s="382"/>
      <c r="DP350" s="382"/>
      <c r="DQ350" s="382"/>
      <c r="DR350" s="382"/>
      <c r="DS350" s="382"/>
      <c r="DT350" s="382"/>
      <c r="DU350" s="382"/>
      <c r="DV350" s="382"/>
      <c r="DW350" s="382"/>
      <c r="DX350" s="382"/>
      <c r="DY350" s="382"/>
      <c r="DZ350" s="228"/>
    </row>
    <row r="351" spans="2:130" s="180" customFormat="1" ht="14.25" customHeight="1" x14ac:dyDescent="0.2">
      <c r="B351" s="800"/>
      <c r="C351" s="800"/>
      <c r="D351" s="800"/>
      <c r="E351" s="769"/>
      <c r="F351" s="769"/>
      <c r="G351" s="802"/>
      <c r="H351" s="802"/>
      <c r="I351" s="802"/>
      <c r="J351" s="802"/>
      <c r="K351" s="802"/>
      <c r="L351" s="802"/>
      <c r="M351" s="802"/>
      <c r="N351" s="802"/>
      <c r="O351" s="802"/>
      <c r="P351" s="802"/>
      <c r="Q351" s="802"/>
      <c r="R351" s="802"/>
      <c r="S351" s="803"/>
      <c r="T351" s="802"/>
      <c r="U351" s="802"/>
      <c r="V351" s="802"/>
      <c r="W351" s="802"/>
      <c r="X351" s="802"/>
      <c r="Y351" s="802"/>
      <c r="Z351" s="802"/>
      <c r="AA351" s="802"/>
      <c r="AB351" s="802"/>
      <c r="AC351" s="802"/>
      <c r="AD351" s="802"/>
      <c r="AE351" s="802"/>
      <c r="AF351" s="802"/>
      <c r="AG351" s="802"/>
      <c r="AH351" s="382"/>
      <c r="AI351" s="382"/>
      <c r="AJ351" s="382"/>
      <c r="AK351" s="382"/>
      <c r="AL351" s="382"/>
      <c r="AM351" s="382"/>
      <c r="AN351" s="382"/>
      <c r="AO351" s="382"/>
      <c r="AP351" s="382"/>
      <c r="AQ351" s="382"/>
      <c r="AR351" s="382"/>
      <c r="AS351" s="382"/>
      <c r="AT351" s="382"/>
      <c r="AU351" s="382"/>
      <c r="AV351" s="382"/>
      <c r="AW351" s="382"/>
      <c r="AX351" s="382"/>
      <c r="AY351" s="382"/>
      <c r="AZ351" s="382"/>
      <c r="BA351" s="382"/>
      <c r="BB351" s="382"/>
      <c r="BC351" s="382"/>
      <c r="BD351" s="382"/>
      <c r="BE351" s="382"/>
      <c r="BF351" s="382"/>
      <c r="BG351" s="382"/>
      <c r="BH351" s="382"/>
      <c r="BI351" s="382"/>
      <c r="BJ351" s="382"/>
      <c r="BK351" s="382"/>
      <c r="BL351" s="382"/>
      <c r="BM351" s="382"/>
      <c r="BN351" s="382"/>
      <c r="BO351" s="382"/>
      <c r="BP351" s="382"/>
      <c r="BQ351" s="382"/>
      <c r="BR351" s="382"/>
      <c r="BS351" s="382"/>
      <c r="BT351" s="382"/>
      <c r="BU351" s="496"/>
      <c r="BV351" s="382"/>
      <c r="BW351" s="382"/>
      <c r="BX351" s="382"/>
      <c r="BY351" s="382"/>
      <c r="BZ351" s="382"/>
      <c r="CA351" s="382"/>
      <c r="CB351" s="382"/>
      <c r="CC351" s="382"/>
      <c r="CD351" s="382"/>
      <c r="CE351" s="382"/>
      <c r="CF351" s="382"/>
      <c r="CG351" s="382"/>
      <c r="CH351" s="382"/>
      <c r="CI351" s="382"/>
      <c r="CJ351" s="382"/>
      <c r="CK351" s="382"/>
      <c r="CL351" s="382"/>
      <c r="CM351" s="382"/>
      <c r="CN351" s="382"/>
      <c r="CO351" s="382"/>
      <c r="CP351" s="382"/>
      <c r="CQ351" s="382"/>
      <c r="CR351" s="382"/>
      <c r="CS351" s="382"/>
      <c r="CT351" s="382"/>
      <c r="CU351" s="382"/>
      <c r="CV351" s="382"/>
      <c r="CW351" s="800"/>
      <c r="CX351" s="382"/>
      <c r="CY351" s="382"/>
      <c r="CZ351" s="382"/>
      <c r="DA351" s="382"/>
      <c r="DB351" s="382"/>
      <c r="DC351" s="382"/>
      <c r="DD351" s="382"/>
      <c r="DE351" s="382"/>
      <c r="DF351" s="382"/>
      <c r="DG351" s="382"/>
      <c r="DH351" s="382"/>
      <c r="DI351" s="382"/>
      <c r="DJ351" s="382"/>
      <c r="DK351" s="382"/>
      <c r="DL351" s="382"/>
      <c r="DM351" s="382"/>
      <c r="DN351" s="382"/>
      <c r="DO351" s="382"/>
      <c r="DP351" s="382"/>
      <c r="DQ351" s="382"/>
      <c r="DR351" s="382"/>
      <c r="DS351" s="382"/>
      <c r="DT351" s="382"/>
      <c r="DU351" s="382"/>
      <c r="DV351" s="382"/>
      <c r="DW351" s="382"/>
      <c r="DX351" s="382"/>
      <c r="DY351" s="382"/>
      <c r="DZ351" s="228"/>
    </row>
    <row r="352" spans="2:130" s="180" customFormat="1" ht="14.25" customHeight="1" x14ac:dyDescent="0.2">
      <c r="B352" s="800"/>
      <c r="C352" s="800"/>
      <c r="D352" s="800"/>
      <c r="E352" s="769"/>
      <c r="F352" s="769"/>
      <c r="G352" s="802"/>
      <c r="H352" s="802"/>
      <c r="I352" s="802"/>
      <c r="J352" s="802"/>
      <c r="K352" s="802"/>
      <c r="L352" s="802"/>
      <c r="M352" s="802"/>
      <c r="N352" s="802"/>
      <c r="O352" s="802"/>
      <c r="P352" s="802"/>
      <c r="Q352" s="802"/>
      <c r="R352" s="802"/>
      <c r="S352" s="803"/>
      <c r="T352" s="802"/>
      <c r="U352" s="802"/>
      <c r="V352" s="802"/>
      <c r="W352" s="802"/>
      <c r="X352" s="802"/>
      <c r="Y352" s="802"/>
      <c r="Z352" s="802"/>
      <c r="AA352" s="802"/>
      <c r="AB352" s="802"/>
      <c r="AC352" s="802"/>
      <c r="AD352" s="802"/>
      <c r="AE352" s="802"/>
      <c r="AF352" s="802"/>
      <c r="AG352" s="802"/>
      <c r="AH352" s="382"/>
      <c r="AI352" s="382"/>
      <c r="AJ352" s="382"/>
      <c r="AK352" s="382"/>
      <c r="AL352" s="382"/>
      <c r="AM352" s="382"/>
      <c r="AN352" s="382"/>
      <c r="AO352" s="382"/>
      <c r="AP352" s="382"/>
      <c r="AQ352" s="382"/>
      <c r="AR352" s="382"/>
      <c r="AS352" s="382"/>
      <c r="AT352" s="382"/>
      <c r="AU352" s="382"/>
      <c r="AV352" s="382"/>
      <c r="AW352" s="382"/>
      <c r="AX352" s="382"/>
      <c r="AY352" s="382"/>
      <c r="AZ352" s="382"/>
      <c r="BA352" s="382"/>
      <c r="BB352" s="382"/>
      <c r="BC352" s="382"/>
      <c r="BD352" s="382"/>
      <c r="BE352" s="382"/>
      <c r="BF352" s="382"/>
      <c r="BG352" s="382"/>
      <c r="BH352" s="382"/>
      <c r="BI352" s="382"/>
      <c r="BJ352" s="382"/>
      <c r="BK352" s="382"/>
      <c r="BL352" s="382"/>
      <c r="BM352" s="382"/>
      <c r="BN352" s="382"/>
      <c r="BO352" s="382"/>
      <c r="BP352" s="382"/>
      <c r="BQ352" s="382"/>
      <c r="BR352" s="382"/>
      <c r="BS352" s="382"/>
      <c r="BT352" s="382"/>
      <c r="BU352" s="496"/>
      <c r="BV352" s="382"/>
      <c r="BW352" s="382"/>
      <c r="BX352" s="382"/>
      <c r="BY352" s="382"/>
      <c r="BZ352" s="382"/>
      <c r="CA352" s="382"/>
      <c r="CB352" s="382"/>
      <c r="CC352" s="382"/>
      <c r="CD352" s="382"/>
      <c r="CE352" s="382"/>
      <c r="CF352" s="382"/>
      <c r="CG352" s="382"/>
      <c r="CH352" s="382"/>
      <c r="CI352" s="382"/>
      <c r="CJ352" s="382"/>
      <c r="CK352" s="382"/>
      <c r="CL352" s="382"/>
      <c r="CM352" s="382"/>
      <c r="CN352" s="382"/>
      <c r="CO352" s="382"/>
      <c r="CP352" s="382"/>
      <c r="CQ352" s="382"/>
      <c r="CR352" s="382"/>
      <c r="CS352" s="382"/>
      <c r="CT352" s="382"/>
      <c r="CU352" s="382"/>
      <c r="CV352" s="382"/>
      <c r="CW352" s="800"/>
      <c r="CX352" s="382"/>
      <c r="CY352" s="382"/>
      <c r="CZ352" s="382"/>
      <c r="DA352" s="382"/>
      <c r="DB352" s="382"/>
      <c r="DC352" s="382"/>
      <c r="DD352" s="382"/>
      <c r="DE352" s="382"/>
      <c r="DF352" s="382"/>
      <c r="DG352" s="382"/>
      <c r="DH352" s="382"/>
      <c r="DI352" s="382"/>
      <c r="DJ352" s="382"/>
      <c r="DK352" s="382"/>
      <c r="DL352" s="382"/>
      <c r="DM352" s="382"/>
      <c r="DN352" s="382"/>
      <c r="DO352" s="382"/>
      <c r="DP352" s="382"/>
      <c r="DQ352" s="382"/>
      <c r="DR352" s="382"/>
      <c r="DS352" s="382"/>
      <c r="DT352" s="382"/>
      <c r="DU352" s="382"/>
      <c r="DV352" s="382"/>
      <c r="DW352" s="382"/>
      <c r="DX352" s="382"/>
      <c r="DY352" s="382"/>
      <c r="DZ352" s="228"/>
    </row>
    <row r="353" spans="2:130" s="180" customFormat="1" ht="14.25" customHeight="1" x14ac:dyDescent="0.2">
      <c r="B353" s="800"/>
      <c r="C353" s="800"/>
      <c r="D353" s="800"/>
      <c r="E353" s="769"/>
      <c r="F353" s="769"/>
      <c r="G353" s="802"/>
      <c r="H353" s="802"/>
      <c r="I353" s="802"/>
      <c r="J353" s="802"/>
      <c r="K353" s="802"/>
      <c r="L353" s="802"/>
      <c r="M353" s="802"/>
      <c r="N353" s="802"/>
      <c r="O353" s="802"/>
      <c r="P353" s="802"/>
      <c r="Q353" s="802"/>
      <c r="R353" s="802"/>
      <c r="S353" s="803"/>
      <c r="T353" s="802"/>
      <c r="U353" s="802"/>
      <c r="V353" s="802"/>
      <c r="W353" s="802"/>
      <c r="X353" s="802"/>
      <c r="Y353" s="802"/>
      <c r="Z353" s="802"/>
      <c r="AA353" s="802"/>
      <c r="AB353" s="802"/>
      <c r="AC353" s="802"/>
      <c r="AD353" s="802"/>
      <c r="AE353" s="802"/>
      <c r="AF353" s="802"/>
      <c r="AG353" s="802"/>
      <c r="AH353" s="382"/>
      <c r="AI353" s="382"/>
      <c r="AJ353" s="382"/>
      <c r="AK353" s="382"/>
      <c r="AL353" s="382"/>
      <c r="AM353" s="382"/>
      <c r="AN353" s="382"/>
      <c r="AO353" s="382"/>
      <c r="AP353" s="382"/>
      <c r="AQ353" s="382"/>
      <c r="AR353" s="382"/>
      <c r="AS353" s="382"/>
      <c r="AT353" s="382"/>
      <c r="AU353" s="382"/>
      <c r="AV353" s="382"/>
      <c r="AW353" s="382"/>
      <c r="AX353" s="382"/>
      <c r="AY353" s="382"/>
      <c r="AZ353" s="382"/>
      <c r="BA353" s="382"/>
      <c r="BB353" s="382"/>
      <c r="BC353" s="382"/>
      <c r="BD353" s="382"/>
      <c r="BE353" s="382"/>
      <c r="BF353" s="382"/>
      <c r="BG353" s="382"/>
      <c r="BH353" s="382"/>
      <c r="BI353" s="382"/>
      <c r="BJ353" s="382"/>
      <c r="BK353" s="382"/>
      <c r="BL353" s="382"/>
      <c r="BM353" s="382"/>
      <c r="BN353" s="382"/>
      <c r="BO353" s="382"/>
      <c r="BP353" s="382"/>
      <c r="BQ353" s="382"/>
      <c r="BR353" s="382"/>
      <c r="BS353" s="382"/>
      <c r="BT353" s="382"/>
      <c r="BU353" s="496"/>
      <c r="BV353" s="382"/>
      <c r="BW353" s="382"/>
      <c r="BX353" s="382"/>
      <c r="BY353" s="382"/>
      <c r="BZ353" s="382"/>
      <c r="CA353" s="382"/>
      <c r="CB353" s="382"/>
      <c r="CC353" s="382"/>
      <c r="CD353" s="382"/>
      <c r="CE353" s="382"/>
      <c r="CF353" s="382"/>
      <c r="CG353" s="382"/>
      <c r="CH353" s="382"/>
      <c r="CI353" s="382"/>
      <c r="CJ353" s="382"/>
      <c r="CK353" s="382"/>
      <c r="CL353" s="382"/>
      <c r="CM353" s="382"/>
      <c r="CN353" s="382"/>
      <c r="CO353" s="382"/>
      <c r="CP353" s="382"/>
      <c r="CQ353" s="382"/>
      <c r="CR353" s="382"/>
      <c r="CS353" s="382"/>
      <c r="CT353" s="382"/>
      <c r="CU353" s="382"/>
      <c r="CV353" s="382"/>
      <c r="CW353" s="800"/>
      <c r="CX353" s="382"/>
      <c r="CY353" s="382"/>
      <c r="CZ353" s="382"/>
      <c r="DA353" s="382"/>
      <c r="DB353" s="382"/>
      <c r="DC353" s="382"/>
      <c r="DD353" s="382"/>
      <c r="DE353" s="382"/>
      <c r="DF353" s="382"/>
      <c r="DG353" s="382"/>
      <c r="DH353" s="382"/>
      <c r="DI353" s="382"/>
      <c r="DJ353" s="382"/>
      <c r="DK353" s="382"/>
      <c r="DL353" s="382"/>
      <c r="DM353" s="382"/>
      <c r="DN353" s="382"/>
      <c r="DO353" s="382"/>
      <c r="DP353" s="382"/>
      <c r="DQ353" s="382"/>
      <c r="DR353" s="382"/>
      <c r="DS353" s="382"/>
      <c r="DT353" s="382"/>
      <c r="DU353" s="382"/>
      <c r="DV353" s="382"/>
      <c r="DW353" s="382"/>
      <c r="DX353" s="382"/>
      <c r="DY353" s="382"/>
      <c r="DZ353" s="228"/>
    </row>
    <row r="354" spans="2:130" s="180" customFormat="1" ht="14.25" customHeight="1" x14ac:dyDescent="0.2">
      <c r="B354" s="800"/>
      <c r="C354" s="800"/>
      <c r="D354" s="800"/>
      <c r="E354" s="769"/>
      <c r="F354" s="769"/>
      <c r="G354" s="802"/>
      <c r="H354" s="802"/>
      <c r="I354" s="802"/>
      <c r="J354" s="802"/>
      <c r="K354" s="802"/>
      <c r="L354" s="802"/>
      <c r="M354" s="802"/>
      <c r="N354" s="802"/>
      <c r="O354" s="802"/>
      <c r="P354" s="802"/>
      <c r="Q354" s="802"/>
      <c r="R354" s="802"/>
      <c r="S354" s="803"/>
      <c r="T354" s="802"/>
      <c r="U354" s="802"/>
      <c r="V354" s="802"/>
      <c r="W354" s="802"/>
      <c r="X354" s="802"/>
      <c r="Y354" s="802"/>
      <c r="Z354" s="802"/>
      <c r="AA354" s="802"/>
      <c r="AB354" s="802"/>
      <c r="AC354" s="802"/>
      <c r="AD354" s="802"/>
      <c r="AE354" s="802"/>
      <c r="AF354" s="802"/>
      <c r="AG354" s="802"/>
      <c r="AH354" s="382"/>
      <c r="AI354" s="382"/>
      <c r="AJ354" s="382"/>
      <c r="AK354" s="382"/>
      <c r="AL354" s="382"/>
      <c r="AM354" s="382"/>
      <c r="AN354" s="382"/>
      <c r="AO354" s="382"/>
      <c r="AP354" s="382"/>
      <c r="AQ354" s="382"/>
      <c r="AR354" s="382"/>
      <c r="AS354" s="382"/>
      <c r="AT354" s="382"/>
      <c r="AU354" s="382"/>
      <c r="AV354" s="382"/>
      <c r="AW354" s="382"/>
      <c r="AX354" s="382"/>
      <c r="AY354" s="382"/>
      <c r="AZ354" s="382"/>
      <c r="BA354" s="382"/>
      <c r="BB354" s="382"/>
      <c r="BC354" s="382"/>
      <c r="BD354" s="382"/>
      <c r="BE354" s="382"/>
      <c r="BF354" s="382"/>
      <c r="BG354" s="382"/>
      <c r="BH354" s="382"/>
      <c r="BI354" s="382"/>
      <c r="BJ354" s="382"/>
      <c r="BK354" s="382"/>
      <c r="BL354" s="382"/>
      <c r="BM354" s="382"/>
      <c r="BN354" s="382"/>
      <c r="BO354" s="382"/>
      <c r="BP354" s="382"/>
      <c r="BQ354" s="382"/>
      <c r="BR354" s="382"/>
      <c r="BS354" s="382"/>
      <c r="BT354" s="382"/>
      <c r="BU354" s="496"/>
      <c r="BV354" s="382"/>
      <c r="BW354" s="382"/>
      <c r="BX354" s="382"/>
      <c r="BY354" s="382"/>
      <c r="BZ354" s="382"/>
      <c r="CA354" s="382"/>
      <c r="CB354" s="382"/>
      <c r="CC354" s="382"/>
      <c r="CD354" s="382"/>
      <c r="CE354" s="382"/>
      <c r="CF354" s="382"/>
      <c r="CG354" s="382"/>
      <c r="CH354" s="382"/>
      <c r="CI354" s="382"/>
      <c r="CJ354" s="382"/>
      <c r="CK354" s="382"/>
      <c r="CL354" s="382"/>
      <c r="CM354" s="382"/>
      <c r="CN354" s="382"/>
      <c r="CO354" s="382"/>
      <c r="CP354" s="382"/>
      <c r="CQ354" s="382"/>
      <c r="CR354" s="382"/>
      <c r="CS354" s="382"/>
      <c r="CT354" s="382"/>
      <c r="CU354" s="382"/>
      <c r="CV354" s="382"/>
      <c r="CW354" s="800"/>
      <c r="CX354" s="382"/>
      <c r="CY354" s="382"/>
      <c r="CZ354" s="382"/>
      <c r="DA354" s="382"/>
      <c r="DB354" s="382"/>
      <c r="DC354" s="382"/>
      <c r="DD354" s="382"/>
      <c r="DE354" s="382"/>
      <c r="DF354" s="382"/>
      <c r="DG354" s="382"/>
      <c r="DH354" s="382"/>
      <c r="DI354" s="382"/>
      <c r="DJ354" s="382"/>
      <c r="DK354" s="382"/>
      <c r="DL354" s="382"/>
      <c r="DM354" s="382"/>
      <c r="DN354" s="382"/>
      <c r="DO354" s="382"/>
      <c r="DP354" s="382"/>
      <c r="DQ354" s="382"/>
      <c r="DR354" s="382"/>
      <c r="DS354" s="382"/>
      <c r="DT354" s="382"/>
      <c r="DU354" s="382"/>
      <c r="DV354" s="382"/>
      <c r="DW354" s="382"/>
      <c r="DX354" s="382"/>
      <c r="DY354" s="382"/>
      <c r="DZ354" s="228"/>
    </row>
    <row r="355" spans="2:130" s="180" customFormat="1" ht="14.25" customHeight="1" x14ac:dyDescent="0.2">
      <c r="B355" s="800"/>
      <c r="C355" s="800"/>
      <c r="D355" s="800"/>
      <c r="E355" s="769"/>
      <c r="F355" s="769"/>
      <c r="G355" s="802"/>
      <c r="H355" s="802"/>
      <c r="I355" s="802"/>
      <c r="J355" s="802"/>
      <c r="K355" s="802"/>
      <c r="L355" s="802"/>
      <c r="M355" s="802"/>
      <c r="N355" s="802"/>
      <c r="O355" s="802"/>
      <c r="P355" s="802"/>
      <c r="Q355" s="802"/>
      <c r="R355" s="802"/>
      <c r="S355" s="803"/>
      <c r="T355" s="802"/>
      <c r="U355" s="802"/>
      <c r="V355" s="802"/>
      <c r="W355" s="802"/>
      <c r="X355" s="802"/>
      <c r="Y355" s="802"/>
      <c r="Z355" s="802"/>
      <c r="AA355" s="802"/>
      <c r="AB355" s="802"/>
      <c r="AC355" s="802"/>
      <c r="AD355" s="802"/>
      <c r="AE355" s="802"/>
      <c r="AF355" s="802"/>
      <c r="AG355" s="802"/>
      <c r="AH355" s="382"/>
      <c r="AI355" s="382"/>
      <c r="AJ355" s="382"/>
      <c r="AK355" s="382"/>
      <c r="AL355" s="382"/>
      <c r="AM355" s="382"/>
      <c r="AN355" s="382"/>
      <c r="AO355" s="382"/>
      <c r="AP355" s="382"/>
      <c r="AQ355" s="382"/>
      <c r="AR355" s="382"/>
      <c r="AS355" s="382"/>
      <c r="AT355" s="382"/>
      <c r="AU355" s="382"/>
      <c r="AV355" s="382"/>
      <c r="AW355" s="382"/>
      <c r="AX355" s="382"/>
      <c r="AY355" s="382"/>
      <c r="AZ355" s="382"/>
      <c r="BA355" s="382"/>
      <c r="BB355" s="382"/>
      <c r="BC355" s="382"/>
      <c r="BD355" s="382"/>
      <c r="BE355" s="382"/>
      <c r="BF355" s="382"/>
      <c r="BG355" s="382"/>
      <c r="BH355" s="382"/>
      <c r="BI355" s="382"/>
      <c r="BJ355" s="382"/>
      <c r="BK355" s="382"/>
      <c r="BL355" s="382"/>
      <c r="BM355" s="382"/>
      <c r="BN355" s="382"/>
      <c r="BO355" s="382"/>
      <c r="BP355" s="382"/>
      <c r="BQ355" s="382"/>
      <c r="BR355" s="382"/>
      <c r="BS355" s="382"/>
      <c r="BT355" s="382"/>
      <c r="BU355" s="496"/>
      <c r="BV355" s="382"/>
      <c r="BW355" s="382"/>
      <c r="BX355" s="382"/>
      <c r="BY355" s="382"/>
      <c r="BZ355" s="382"/>
      <c r="CA355" s="382"/>
      <c r="CB355" s="382"/>
      <c r="CC355" s="382"/>
      <c r="CD355" s="382"/>
      <c r="CE355" s="382"/>
      <c r="CF355" s="382"/>
      <c r="CG355" s="382"/>
      <c r="CH355" s="382"/>
      <c r="CI355" s="382"/>
      <c r="CJ355" s="382"/>
      <c r="CK355" s="382"/>
      <c r="CL355" s="382"/>
      <c r="CM355" s="382"/>
      <c r="CN355" s="382"/>
      <c r="CO355" s="382"/>
      <c r="CP355" s="382"/>
      <c r="CQ355" s="382"/>
      <c r="CR355" s="382"/>
      <c r="CS355" s="382"/>
      <c r="CT355" s="382"/>
      <c r="CU355" s="382"/>
      <c r="CV355" s="382"/>
      <c r="CW355" s="800"/>
      <c r="CX355" s="382"/>
      <c r="CY355" s="382"/>
      <c r="CZ355" s="382"/>
      <c r="DA355" s="382"/>
      <c r="DB355" s="382"/>
      <c r="DC355" s="382"/>
      <c r="DD355" s="382"/>
      <c r="DE355" s="382"/>
      <c r="DF355" s="382"/>
      <c r="DG355" s="382"/>
      <c r="DH355" s="382"/>
      <c r="DI355" s="382"/>
      <c r="DJ355" s="382"/>
      <c r="DK355" s="382"/>
      <c r="DL355" s="382"/>
      <c r="DM355" s="382"/>
      <c r="DN355" s="382"/>
      <c r="DO355" s="382"/>
      <c r="DP355" s="382"/>
      <c r="DQ355" s="382"/>
      <c r="DR355" s="382"/>
      <c r="DS355" s="382"/>
      <c r="DT355" s="382"/>
      <c r="DU355" s="382"/>
      <c r="DV355" s="382"/>
      <c r="DW355" s="382"/>
      <c r="DX355" s="382"/>
      <c r="DY355" s="382"/>
      <c r="DZ355" s="228"/>
    </row>
    <row r="356" spans="2:130" s="180" customFormat="1" ht="14.25" customHeight="1" x14ac:dyDescent="0.2">
      <c r="B356" s="800"/>
      <c r="C356" s="800"/>
      <c r="D356" s="800"/>
      <c r="E356" s="769"/>
      <c r="F356" s="769"/>
      <c r="G356" s="802"/>
      <c r="H356" s="802"/>
      <c r="I356" s="802"/>
      <c r="J356" s="802"/>
      <c r="K356" s="802"/>
      <c r="L356" s="802"/>
      <c r="M356" s="802"/>
      <c r="N356" s="802"/>
      <c r="O356" s="802"/>
      <c r="P356" s="802"/>
      <c r="Q356" s="802"/>
      <c r="R356" s="802"/>
      <c r="S356" s="803"/>
      <c r="T356" s="802"/>
      <c r="U356" s="802"/>
      <c r="V356" s="802"/>
      <c r="W356" s="802"/>
      <c r="X356" s="802"/>
      <c r="Y356" s="802"/>
      <c r="Z356" s="802"/>
      <c r="AA356" s="802"/>
      <c r="AB356" s="802"/>
      <c r="AC356" s="802"/>
      <c r="AD356" s="802"/>
      <c r="AE356" s="802"/>
      <c r="AF356" s="802"/>
      <c r="AG356" s="802"/>
      <c r="AH356" s="382"/>
      <c r="AI356" s="382"/>
      <c r="AJ356" s="382"/>
      <c r="AK356" s="382"/>
      <c r="AL356" s="382"/>
      <c r="AM356" s="382"/>
      <c r="AN356" s="382"/>
      <c r="AO356" s="382"/>
      <c r="AP356" s="382"/>
      <c r="AQ356" s="382"/>
      <c r="AR356" s="382"/>
      <c r="AS356" s="382"/>
      <c r="AT356" s="382"/>
      <c r="AU356" s="382"/>
      <c r="AV356" s="382"/>
      <c r="AW356" s="382"/>
      <c r="AX356" s="382"/>
      <c r="AY356" s="382"/>
      <c r="AZ356" s="382"/>
      <c r="BA356" s="382"/>
      <c r="BB356" s="382"/>
      <c r="BC356" s="382"/>
      <c r="BD356" s="382"/>
      <c r="BE356" s="382"/>
      <c r="BF356" s="382"/>
      <c r="BG356" s="382"/>
      <c r="BH356" s="382"/>
      <c r="BI356" s="382"/>
      <c r="BJ356" s="382"/>
      <c r="BK356" s="382"/>
      <c r="BL356" s="382"/>
      <c r="BM356" s="382"/>
      <c r="BN356" s="382"/>
      <c r="BO356" s="382"/>
      <c r="BP356" s="382"/>
      <c r="BQ356" s="382"/>
      <c r="BR356" s="382"/>
      <c r="BS356" s="382"/>
      <c r="BT356" s="382"/>
      <c r="BU356" s="496"/>
      <c r="BV356" s="382"/>
      <c r="BW356" s="382"/>
      <c r="BX356" s="382"/>
      <c r="BY356" s="382"/>
      <c r="BZ356" s="382"/>
      <c r="CA356" s="382"/>
      <c r="CB356" s="382"/>
      <c r="CC356" s="382"/>
      <c r="CD356" s="382"/>
      <c r="CE356" s="382"/>
      <c r="CF356" s="382"/>
      <c r="CG356" s="382"/>
      <c r="CH356" s="382"/>
      <c r="CI356" s="382"/>
      <c r="CJ356" s="382"/>
      <c r="CK356" s="382"/>
      <c r="CL356" s="382"/>
      <c r="CM356" s="382"/>
      <c r="CN356" s="382"/>
      <c r="CO356" s="382"/>
      <c r="CP356" s="382"/>
      <c r="CQ356" s="382"/>
      <c r="CR356" s="382"/>
      <c r="CS356" s="382"/>
      <c r="CT356" s="382"/>
      <c r="CU356" s="382"/>
      <c r="CV356" s="382"/>
      <c r="CW356" s="800"/>
      <c r="CX356" s="382"/>
      <c r="CY356" s="382"/>
      <c r="CZ356" s="382"/>
      <c r="DA356" s="382"/>
      <c r="DB356" s="382"/>
      <c r="DC356" s="382"/>
      <c r="DD356" s="382"/>
      <c r="DE356" s="382"/>
      <c r="DF356" s="382"/>
      <c r="DG356" s="382"/>
      <c r="DH356" s="382"/>
      <c r="DI356" s="382"/>
      <c r="DJ356" s="382"/>
      <c r="DK356" s="382"/>
      <c r="DL356" s="382"/>
      <c r="DM356" s="382"/>
      <c r="DN356" s="382"/>
      <c r="DO356" s="382"/>
      <c r="DP356" s="382"/>
      <c r="DQ356" s="382"/>
      <c r="DR356" s="382"/>
      <c r="DS356" s="382"/>
      <c r="DT356" s="382"/>
      <c r="DU356" s="382"/>
      <c r="DV356" s="382"/>
      <c r="DW356" s="382"/>
      <c r="DX356" s="382"/>
      <c r="DY356" s="382"/>
      <c r="DZ356" s="228"/>
    </row>
    <row r="357" spans="2:130" s="180" customFormat="1" ht="14.25" customHeight="1" x14ac:dyDescent="0.2">
      <c r="B357" s="800"/>
      <c r="C357" s="800"/>
      <c r="D357" s="800"/>
      <c r="E357" s="769"/>
      <c r="F357" s="769"/>
      <c r="G357" s="802"/>
      <c r="H357" s="802"/>
      <c r="I357" s="802"/>
      <c r="J357" s="802"/>
      <c r="K357" s="802"/>
      <c r="L357" s="802"/>
      <c r="M357" s="802"/>
      <c r="N357" s="802"/>
      <c r="O357" s="802"/>
      <c r="P357" s="802"/>
      <c r="Q357" s="802"/>
      <c r="R357" s="802"/>
      <c r="S357" s="803"/>
      <c r="T357" s="802"/>
      <c r="U357" s="802"/>
      <c r="V357" s="802"/>
      <c r="W357" s="802"/>
      <c r="X357" s="802"/>
      <c r="Y357" s="802"/>
      <c r="Z357" s="802"/>
      <c r="AA357" s="802"/>
      <c r="AB357" s="802"/>
      <c r="AC357" s="802"/>
      <c r="AD357" s="802"/>
      <c r="AE357" s="802"/>
      <c r="AF357" s="802"/>
      <c r="AG357" s="802"/>
      <c r="AH357" s="382"/>
      <c r="AI357" s="382"/>
      <c r="AJ357" s="382"/>
      <c r="AK357" s="382"/>
      <c r="AL357" s="382"/>
      <c r="AM357" s="382"/>
      <c r="AN357" s="382"/>
      <c r="AO357" s="382"/>
      <c r="AP357" s="382"/>
      <c r="AQ357" s="382"/>
      <c r="AR357" s="382"/>
      <c r="AS357" s="382"/>
      <c r="AT357" s="382"/>
      <c r="AU357" s="382"/>
      <c r="AV357" s="382"/>
      <c r="AW357" s="382"/>
      <c r="AX357" s="382"/>
      <c r="AY357" s="382"/>
      <c r="AZ357" s="382"/>
      <c r="BA357" s="382"/>
      <c r="BB357" s="382"/>
      <c r="BC357" s="382"/>
      <c r="BD357" s="382"/>
      <c r="BE357" s="382"/>
      <c r="BF357" s="382"/>
      <c r="BG357" s="382"/>
      <c r="BH357" s="382"/>
      <c r="BI357" s="382"/>
      <c r="BJ357" s="382"/>
      <c r="BK357" s="382"/>
      <c r="BL357" s="382"/>
      <c r="BM357" s="382"/>
      <c r="BN357" s="382"/>
      <c r="BO357" s="382"/>
      <c r="BP357" s="382"/>
      <c r="BQ357" s="382"/>
      <c r="BR357" s="382"/>
      <c r="BS357" s="382"/>
      <c r="BT357" s="382"/>
      <c r="BU357" s="496"/>
      <c r="BV357" s="382"/>
      <c r="BW357" s="382"/>
      <c r="BX357" s="382"/>
      <c r="BY357" s="382"/>
      <c r="BZ357" s="382"/>
      <c r="CA357" s="382"/>
      <c r="CB357" s="382"/>
      <c r="CC357" s="382"/>
      <c r="CD357" s="382"/>
      <c r="CE357" s="382"/>
      <c r="CF357" s="382"/>
      <c r="CG357" s="382"/>
      <c r="CH357" s="382"/>
      <c r="CI357" s="382"/>
      <c r="CJ357" s="382"/>
      <c r="CK357" s="382"/>
      <c r="CL357" s="382"/>
      <c r="CM357" s="382"/>
      <c r="CN357" s="382"/>
      <c r="CO357" s="382"/>
      <c r="CP357" s="382"/>
      <c r="CQ357" s="382"/>
      <c r="CR357" s="382"/>
      <c r="CS357" s="382"/>
      <c r="CT357" s="382"/>
      <c r="CU357" s="382"/>
      <c r="CV357" s="382"/>
      <c r="CW357" s="800"/>
      <c r="CX357" s="382"/>
      <c r="CY357" s="382"/>
      <c r="CZ357" s="382"/>
      <c r="DA357" s="382"/>
      <c r="DB357" s="382"/>
      <c r="DC357" s="382"/>
      <c r="DD357" s="382"/>
      <c r="DE357" s="382"/>
      <c r="DF357" s="382"/>
      <c r="DG357" s="382"/>
      <c r="DH357" s="382"/>
      <c r="DI357" s="382"/>
      <c r="DJ357" s="382"/>
      <c r="DK357" s="382"/>
      <c r="DL357" s="382"/>
      <c r="DM357" s="382"/>
      <c r="DN357" s="382"/>
      <c r="DO357" s="382"/>
      <c r="DP357" s="382"/>
      <c r="DQ357" s="382"/>
      <c r="DR357" s="382"/>
      <c r="DS357" s="382"/>
      <c r="DT357" s="382"/>
      <c r="DU357" s="382"/>
      <c r="DV357" s="382"/>
      <c r="DW357" s="382"/>
      <c r="DX357" s="382"/>
      <c r="DY357" s="382"/>
      <c r="DZ357" s="228"/>
    </row>
    <row r="358" spans="2:130" s="180" customFormat="1" ht="14.25" customHeight="1" x14ac:dyDescent="0.2">
      <c r="B358" s="800"/>
      <c r="C358" s="800"/>
      <c r="D358" s="800"/>
      <c r="E358" s="769"/>
      <c r="F358" s="769"/>
      <c r="G358" s="802"/>
      <c r="H358" s="802"/>
      <c r="I358" s="802"/>
      <c r="J358" s="802"/>
      <c r="K358" s="802"/>
      <c r="L358" s="802"/>
      <c r="M358" s="802"/>
      <c r="N358" s="802"/>
      <c r="O358" s="802"/>
      <c r="P358" s="802"/>
      <c r="Q358" s="802"/>
      <c r="R358" s="802"/>
      <c r="S358" s="803"/>
      <c r="T358" s="802"/>
      <c r="U358" s="802"/>
      <c r="V358" s="802"/>
      <c r="W358" s="802"/>
      <c r="X358" s="802"/>
      <c r="Y358" s="802"/>
      <c r="Z358" s="802"/>
      <c r="AA358" s="802"/>
      <c r="AB358" s="802"/>
      <c r="AC358" s="802"/>
      <c r="AD358" s="802"/>
      <c r="AE358" s="802"/>
      <c r="AF358" s="802"/>
      <c r="AG358" s="802"/>
      <c r="AH358" s="382"/>
      <c r="AI358" s="382"/>
      <c r="AJ358" s="382"/>
      <c r="AK358" s="382"/>
      <c r="AL358" s="382"/>
      <c r="AM358" s="382"/>
      <c r="AN358" s="382"/>
      <c r="AO358" s="382"/>
      <c r="AP358" s="382"/>
      <c r="AQ358" s="382"/>
      <c r="AR358" s="382"/>
      <c r="AS358" s="382"/>
      <c r="AT358" s="382"/>
      <c r="AU358" s="382"/>
      <c r="AV358" s="382"/>
      <c r="AW358" s="382"/>
      <c r="AX358" s="382"/>
      <c r="AY358" s="382"/>
      <c r="AZ358" s="382"/>
      <c r="BA358" s="382"/>
      <c r="BB358" s="382"/>
      <c r="BC358" s="382"/>
      <c r="BD358" s="382"/>
      <c r="BE358" s="382"/>
      <c r="BF358" s="382"/>
      <c r="BG358" s="382"/>
      <c r="BH358" s="382"/>
      <c r="BI358" s="382"/>
      <c r="BJ358" s="382"/>
      <c r="BK358" s="382"/>
      <c r="BL358" s="382"/>
      <c r="BM358" s="382"/>
      <c r="BN358" s="382"/>
      <c r="BO358" s="382"/>
      <c r="BP358" s="382"/>
      <c r="BQ358" s="382"/>
      <c r="BR358" s="382"/>
      <c r="BS358" s="382"/>
      <c r="BT358" s="382"/>
      <c r="BU358" s="496"/>
      <c r="BV358" s="382"/>
      <c r="BW358" s="382"/>
      <c r="BX358" s="382"/>
      <c r="BY358" s="382"/>
      <c r="BZ358" s="382"/>
      <c r="CA358" s="382"/>
      <c r="CB358" s="382"/>
      <c r="CC358" s="382"/>
      <c r="CD358" s="382"/>
      <c r="CE358" s="382"/>
      <c r="CF358" s="382"/>
      <c r="CG358" s="382"/>
      <c r="CH358" s="382"/>
      <c r="CI358" s="382"/>
      <c r="CJ358" s="382"/>
      <c r="CK358" s="382"/>
      <c r="CL358" s="382"/>
      <c r="CM358" s="382"/>
      <c r="CN358" s="382"/>
      <c r="CO358" s="382"/>
      <c r="CP358" s="382"/>
      <c r="CQ358" s="382"/>
      <c r="CR358" s="382"/>
      <c r="CS358" s="382"/>
      <c r="CT358" s="382"/>
      <c r="CU358" s="382"/>
      <c r="CV358" s="382"/>
      <c r="CW358" s="800"/>
      <c r="CX358" s="382"/>
      <c r="CY358" s="382"/>
      <c r="CZ358" s="382"/>
      <c r="DA358" s="382"/>
      <c r="DB358" s="382"/>
      <c r="DC358" s="382"/>
      <c r="DD358" s="382"/>
      <c r="DE358" s="382"/>
      <c r="DF358" s="382"/>
      <c r="DG358" s="382"/>
      <c r="DH358" s="382"/>
      <c r="DI358" s="382"/>
      <c r="DJ358" s="382"/>
      <c r="DK358" s="382"/>
      <c r="DL358" s="382"/>
      <c r="DM358" s="382"/>
      <c r="DN358" s="382"/>
      <c r="DO358" s="382"/>
      <c r="DP358" s="382"/>
      <c r="DQ358" s="382"/>
      <c r="DR358" s="382"/>
      <c r="DS358" s="382"/>
      <c r="DT358" s="382"/>
      <c r="DU358" s="382"/>
      <c r="DV358" s="382"/>
      <c r="DW358" s="382"/>
      <c r="DX358" s="382"/>
      <c r="DY358" s="382"/>
      <c r="DZ358" s="228"/>
    </row>
    <row r="359" spans="2:130" s="180" customFormat="1" ht="14.25" customHeight="1" x14ac:dyDescent="0.2">
      <c r="B359" s="800"/>
      <c r="C359" s="800"/>
      <c r="D359" s="800"/>
      <c r="E359" s="769"/>
      <c r="F359" s="769"/>
      <c r="G359" s="802"/>
      <c r="H359" s="802"/>
      <c r="I359" s="802"/>
      <c r="J359" s="802"/>
      <c r="K359" s="802"/>
      <c r="L359" s="802"/>
      <c r="M359" s="802"/>
      <c r="N359" s="802"/>
      <c r="O359" s="802"/>
      <c r="P359" s="802"/>
      <c r="Q359" s="802"/>
      <c r="R359" s="802"/>
      <c r="S359" s="803"/>
      <c r="T359" s="802"/>
      <c r="U359" s="802"/>
      <c r="V359" s="802"/>
      <c r="W359" s="802"/>
      <c r="X359" s="802"/>
      <c r="Y359" s="802"/>
      <c r="Z359" s="802"/>
      <c r="AA359" s="802"/>
      <c r="AB359" s="802"/>
      <c r="AC359" s="802"/>
      <c r="AD359" s="802"/>
      <c r="AE359" s="802"/>
      <c r="AF359" s="802"/>
      <c r="AG359" s="802"/>
      <c r="AH359" s="382"/>
      <c r="AI359" s="382"/>
      <c r="AJ359" s="382"/>
      <c r="AK359" s="382"/>
      <c r="AL359" s="382"/>
      <c r="AM359" s="382"/>
      <c r="AN359" s="382"/>
      <c r="AO359" s="382"/>
      <c r="AP359" s="382"/>
      <c r="AQ359" s="382"/>
      <c r="AR359" s="382"/>
      <c r="AS359" s="382"/>
      <c r="AT359" s="382"/>
      <c r="AU359" s="382"/>
      <c r="AV359" s="382"/>
      <c r="AW359" s="382"/>
      <c r="AX359" s="382"/>
      <c r="AY359" s="382"/>
      <c r="AZ359" s="382"/>
      <c r="BA359" s="382"/>
      <c r="BB359" s="382"/>
      <c r="BC359" s="382"/>
      <c r="BD359" s="382"/>
      <c r="BE359" s="382"/>
      <c r="BF359" s="382"/>
      <c r="BG359" s="382"/>
      <c r="BH359" s="382"/>
      <c r="BI359" s="382"/>
      <c r="BJ359" s="382"/>
      <c r="BK359" s="382"/>
      <c r="BL359" s="382"/>
      <c r="BM359" s="382"/>
      <c r="BN359" s="382"/>
      <c r="BO359" s="382"/>
      <c r="BP359" s="382"/>
      <c r="BQ359" s="382"/>
      <c r="BR359" s="382"/>
      <c r="BS359" s="382"/>
      <c r="BT359" s="382"/>
      <c r="BU359" s="496"/>
      <c r="BV359" s="382"/>
      <c r="BW359" s="382"/>
      <c r="BX359" s="382"/>
      <c r="BY359" s="382"/>
      <c r="BZ359" s="382"/>
      <c r="CA359" s="382"/>
      <c r="CB359" s="382"/>
      <c r="CC359" s="382"/>
      <c r="CD359" s="382"/>
      <c r="CE359" s="382"/>
      <c r="CF359" s="382"/>
      <c r="CG359" s="382"/>
      <c r="CH359" s="382"/>
      <c r="CI359" s="382"/>
      <c r="CJ359" s="382"/>
      <c r="CK359" s="382"/>
      <c r="CL359" s="382"/>
      <c r="CM359" s="382"/>
      <c r="CN359" s="382"/>
      <c r="CO359" s="382"/>
      <c r="CP359" s="382"/>
      <c r="CQ359" s="382"/>
      <c r="CR359" s="382"/>
      <c r="CS359" s="382"/>
      <c r="CT359" s="382"/>
      <c r="CU359" s="382"/>
      <c r="CV359" s="382"/>
      <c r="CW359" s="800"/>
      <c r="CX359" s="382"/>
      <c r="CY359" s="382"/>
      <c r="CZ359" s="382"/>
      <c r="DA359" s="382"/>
      <c r="DB359" s="382"/>
      <c r="DC359" s="382"/>
      <c r="DD359" s="382"/>
      <c r="DE359" s="382"/>
      <c r="DF359" s="382"/>
      <c r="DG359" s="382"/>
      <c r="DH359" s="382"/>
      <c r="DI359" s="382"/>
      <c r="DJ359" s="382"/>
      <c r="DK359" s="382"/>
      <c r="DL359" s="382"/>
      <c r="DM359" s="382"/>
      <c r="DN359" s="382"/>
      <c r="DO359" s="382"/>
      <c r="DP359" s="382"/>
      <c r="DQ359" s="382"/>
      <c r="DR359" s="382"/>
      <c r="DS359" s="382"/>
      <c r="DT359" s="382"/>
      <c r="DU359" s="382"/>
      <c r="DV359" s="382"/>
      <c r="DW359" s="382"/>
      <c r="DX359" s="382"/>
      <c r="DY359" s="382"/>
      <c r="DZ359" s="228"/>
    </row>
    <row r="360" spans="2:130" s="180" customFormat="1" ht="14.25" customHeight="1" x14ac:dyDescent="0.2">
      <c r="B360" s="800"/>
      <c r="C360" s="800"/>
      <c r="D360" s="800"/>
      <c r="E360" s="769"/>
      <c r="F360" s="769"/>
      <c r="G360" s="802"/>
      <c r="H360" s="802"/>
      <c r="I360" s="802"/>
      <c r="J360" s="802"/>
      <c r="K360" s="802"/>
      <c r="L360" s="802"/>
      <c r="M360" s="802"/>
      <c r="N360" s="802"/>
      <c r="O360" s="802"/>
      <c r="P360" s="802"/>
      <c r="Q360" s="802"/>
      <c r="R360" s="802"/>
      <c r="S360" s="803"/>
      <c r="T360" s="802"/>
      <c r="U360" s="802"/>
      <c r="V360" s="802"/>
      <c r="W360" s="802"/>
      <c r="X360" s="802"/>
      <c r="Y360" s="802"/>
      <c r="Z360" s="802"/>
      <c r="AA360" s="802"/>
      <c r="AB360" s="802"/>
      <c r="AC360" s="802"/>
      <c r="AD360" s="802"/>
      <c r="AE360" s="802"/>
      <c r="AF360" s="802"/>
      <c r="AG360" s="802"/>
      <c r="AH360" s="382"/>
      <c r="AI360" s="382"/>
      <c r="AJ360" s="382"/>
      <c r="AK360" s="382"/>
      <c r="AL360" s="382"/>
      <c r="AM360" s="382"/>
      <c r="AN360" s="382"/>
      <c r="AO360" s="382"/>
      <c r="AP360" s="382"/>
      <c r="AQ360" s="382"/>
      <c r="AR360" s="382"/>
      <c r="AS360" s="382"/>
      <c r="AT360" s="382"/>
      <c r="AU360" s="382"/>
      <c r="AV360" s="382"/>
      <c r="AW360" s="382"/>
      <c r="AX360" s="382"/>
      <c r="AY360" s="382"/>
      <c r="AZ360" s="382"/>
      <c r="BA360" s="382"/>
      <c r="BB360" s="382"/>
      <c r="BC360" s="382"/>
      <c r="BD360" s="382"/>
      <c r="BE360" s="382"/>
      <c r="BF360" s="382"/>
      <c r="BG360" s="382"/>
      <c r="BH360" s="382"/>
      <c r="BI360" s="382"/>
      <c r="BJ360" s="382"/>
      <c r="BK360" s="382"/>
      <c r="BL360" s="382"/>
      <c r="BM360" s="382"/>
      <c r="BN360" s="382"/>
      <c r="BO360" s="382"/>
      <c r="BP360" s="382"/>
      <c r="BQ360" s="382"/>
      <c r="BR360" s="382"/>
      <c r="BS360" s="382"/>
      <c r="BT360" s="382"/>
      <c r="BU360" s="496"/>
      <c r="BV360" s="382"/>
      <c r="BW360" s="382"/>
      <c r="BX360" s="382"/>
      <c r="BY360" s="382"/>
      <c r="BZ360" s="382"/>
      <c r="CA360" s="382"/>
      <c r="CB360" s="382"/>
      <c r="CC360" s="382"/>
      <c r="CD360" s="382"/>
      <c r="CE360" s="382"/>
      <c r="CF360" s="382"/>
      <c r="CG360" s="382"/>
      <c r="CH360" s="382"/>
      <c r="CI360" s="382"/>
      <c r="CJ360" s="382"/>
      <c r="CK360" s="382"/>
      <c r="CL360" s="382"/>
      <c r="CM360" s="382"/>
      <c r="CN360" s="382"/>
      <c r="CO360" s="382"/>
      <c r="CP360" s="382"/>
      <c r="CQ360" s="382"/>
      <c r="CR360" s="382"/>
      <c r="CS360" s="382"/>
      <c r="CT360" s="382"/>
      <c r="CU360" s="382"/>
      <c r="CV360" s="382"/>
      <c r="CW360" s="800"/>
      <c r="CX360" s="382"/>
      <c r="CY360" s="382"/>
      <c r="CZ360" s="382"/>
      <c r="DA360" s="382"/>
      <c r="DB360" s="382"/>
      <c r="DC360" s="382"/>
      <c r="DD360" s="382"/>
      <c r="DE360" s="382"/>
      <c r="DF360" s="382"/>
      <c r="DG360" s="382"/>
      <c r="DH360" s="382"/>
      <c r="DI360" s="382"/>
      <c r="DJ360" s="382"/>
      <c r="DK360" s="382"/>
      <c r="DL360" s="382"/>
      <c r="DM360" s="382"/>
      <c r="DN360" s="382"/>
      <c r="DO360" s="382"/>
      <c r="DP360" s="382"/>
      <c r="DQ360" s="382"/>
      <c r="DR360" s="382"/>
      <c r="DS360" s="382"/>
      <c r="DT360" s="382"/>
      <c r="DU360" s="382"/>
      <c r="DV360" s="382"/>
      <c r="DW360" s="382"/>
      <c r="DX360" s="382"/>
      <c r="DY360" s="382"/>
      <c r="DZ360" s="228"/>
    </row>
    <row r="361" spans="2:130" s="180" customFormat="1" ht="14.25" customHeight="1" x14ac:dyDescent="0.2">
      <c r="B361" s="800"/>
      <c r="C361" s="800"/>
      <c r="D361" s="800"/>
      <c r="E361" s="769"/>
      <c r="F361" s="769"/>
      <c r="G361" s="802"/>
      <c r="H361" s="802"/>
      <c r="I361" s="802"/>
      <c r="J361" s="802"/>
      <c r="K361" s="802"/>
      <c r="L361" s="802"/>
      <c r="M361" s="802"/>
      <c r="N361" s="802"/>
      <c r="O361" s="802"/>
      <c r="P361" s="802"/>
      <c r="Q361" s="802"/>
      <c r="R361" s="802"/>
      <c r="S361" s="803"/>
      <c r="T361" s="802"/>
      <c r="U361" s="802"/>
      <c r="V361" s="802"/>
      <c r="W361" s="802"/>
      <c r="X361" s="802"/>
      <c r="Y361" s="802"/>
      <c r="Z361" s="802"/>
      <c r="AA361" s="802"/>
      <c r="AB361" s="802"/>
      <c r="AC361" s="802"/>
      <c r="AD361" s="802"/>
      <c r="AE361" s="802"/>
      <c r="AF361" s="802"/>
      <c r="AG361" s="802"/>
      <c r="AH361" s="382"/>
      <c r="AI361" s="382"/>
      <c r="AJ361" s="382"/>
      <c r="AK361" s="382"/>
      <c r="AL361" s="382"/>
      <c r="AM361" s="382"/>
      <c r="AN361" s="382"/>
      <c r="AO361" s="382"/>
      <c r="AP361" s="382"/>
      <c r="AQ361" s="382"/>
      <c r="AR361" s="382"/>
      <c r="AS361" s="382"/>
      <c r="AT361" s="382"/>
      <c r="AU361" s="382"/>
      <c r="AV361" s="382"/>
      <c r="AW361" s="382"/>
      <c r="AX361" s="382"/>
      <c r="AY361" s="382"/>
      <c r="AZ361" s="382"/>
      <c r="BA361" s="382"/>
      <c r="BB361" s="382"/>
      <c r="BC361" s="382"/>
      <c r="BD361" s="382"/>
      <c r="BE361" s="382"/>
      <c r="BF361" s="382"/>
      <c r="BG361" s="382"/>
      <c r="BH361" s="382"/>
      <c r="BI361" s="382"/>
      <c r="BJ361" s="382"/>
      <c r="BK361" s="382"/>
      <c r="BL361" s="382"/>
      <c r="BM361" s="382"/>
      <c r="BN361" s="382"/>
      <c r="BO361" s="382"/>
      <c r="BP361" s="382"/>
      <c r="BQ361" s="382"/>
      <c r="BR361" s="382"/>
      <c r="BS361" s="382"/>
      <c r="BT361" s="382"/>
      <c r="BU361" s="496"/>
      <c r="BV361" s="382"/>
      <c r="BW361" s="382"/>
      <c r="BX361" s="382"/>
      <c r="BY361" s="382"/>
      <c r="BZ361" s="382"/>
      <c r="CA361" s="382"/>
      <c r="CB361" s="382"/>
      <c r="CC361" s="382"/>
      <c r="CD361" s="382"/>
      <c r="CE361" s="382"/>
      <c r="CF361" s="382"/>
      <c r="CG361" s="382"/>
      <c r="CH361" s="382"/>
      <c r="CI361" s="382"/>
      <c r="CJ361" s="382"/>
      <c r="CK361" s="382"/>
      <c r="CL361" s="382"/>
      <c r="CM361" s="382"/>
      <c r="CN361" s="382"/>
      <c r="CO361" s="382"/>
      <c r="CP361" s="382"/>
      <c r="CQ361" s="382"/>
      <c r="CR361" s="382"/>
      <c r="CS361" s="382"/>
      <c r="CT361" s="382"/>
      <c r="CU361" s="382"/>
      <c r="CV361" s="382"/>
      <c r="CW361" s="800"/>
      <c r="CX361" s="382"/>
      <c r="CY361" s="382"/>
      <c r="CZ361" s="382"/>
      <c r="DA361" s="382"/>
      <c r="DB361" s="382"/>
      <c r="DC361" s="382"/>
      <c r="DD361" s="382"/>
      <c r="DE361" s="382"/>
      <c r="DF361" s="382"/>
      <c r="DG361" s="382"/>
      <c r="DH361" s="382"/>
      <c r="DI361" s="382"/>
      <c r="DJ361" s="382"/>
      <c r="DK361" s="382"/>
      <c r="DL361" s="382"/>
      <c r="DM361" s="382"/>
      <c r="DN361" s="382"/>
      <c r="DO361" s="382"/>
      <c r="DP361" s="382"/>
      <c r="DQ361" s="382"/>
      <c r="DR361" s="382"/>
      <c r="DS361" s="382"/>
      <c r="DT361" s="382"/>
      <c r="DU361" s="382"/>
      <c r="DV361" s="382"/>
      <c r="DW361" s="382"/>
      <c r="DX361" s="382"/>
      <c r="DY361" s="382"/>
      <c r="DZ361" s="228"/>
    </row>
    <row r="362" spans="2:130" s="180" customFormat="1" ht="14.25" customHeight="1" x14ac:dyDescent="0.2">
      <c r="B362" s="800"/>
      <c r="C362" s="800"/>
      <c r="D362" s="800"/>
      <c r="E362" s="769"/>
      <c r="F362" s="769"/>
      <c r="G362" s="802"/>
      <c r="H362" s="802"/>
      <c r="I362" s="802"/>
      <c r="J362" s="802"/>
      <c r="K362" s="802"/>
      <c r="L362" s="802"/>
      <c r="M362" s="802"/>
      <c r="N362" s="802"/>
      <c r="O362" s="802"/>
      <c r="P362" s="802"/>
      <c r="Q362" s="802"/>
      <c r="R362" s="802"/>
      <c r="S362" s="803"/>
      <c r="T362" s="802"/>
      <c r="U362" s="802"/>
      <c r="V362" s="802"/>
      <c r="W362" s="802"/>
      <c r="X362" s="802"/>
      <c r="Y362" s="802"/>
      <c r="Z362" s="802"/>
      <c r="AA362" s="802"/>
      <c r="AB362" s="802"/>
      <c r="AC362" s="802"/>
      <c r="AD362" s="802"/>
      <c r="AE362" s="802"/>
      <c r="AF362" s="802"/>
      <c r="AG362" s="802"/>
      <c r="AH362" s="382"/>
      <c r="AI362" s="382"/>
      <c r="AJ362" s="382"/>
      <c r="AK362" s="382"/>
      <c r="AL362" s="382"/>
      <c r="AM362" s="382"/>
      <c r="AN362" s="382"/>
      <c r="AO362" s="382"/>
      <c r="AP362" s="382"/>
      <c r="AQ362" s="382"/>
      <c r="AR362" s="382"/>
      <c r="AS362" s="382"/>
      <c r="AT362" s="382"/>
      <c r="AU362" s="382"/>
      <c r="AV362" s="382"/>
      <c r="AW362" s="382"/>
      <c r="AX362" s="382"/>
      <c r="AY362" s="382"/>
      <c r="AZ362" s="382"/>
      <c r="BA362" s="382"/>
      <c r="BB362" s="382"/>
      <c r="BC362" s="382"/>
      <c r="BD362" s="382"/>
      <c r="BE362" s="382"/>
      <c r="BF362" s="382"/>
      <c r="BG362" s="382"/>
      <c r="BH362" s="382"/>
      <c r="BI362" s="382"/>
      <c r="BJ362" s="382"/>
      <c r="BK362" s="382"/>
      <c r="BL362" s="382"/>
      <c r="BM362" s="382"/>
      <c r="BN362" s="382"/>
      <c r="BO362" s="382"/>
      <c r="BP362" s="382"/>
      <c r="BQ362" s="382"/>
      <c r="BR362" s="382"/>
      <c r="BS362" s="382"/>
      <c r="BT362" s="382"/>
      <c r="BU362" s="496"/>
      <c r="BV362" s="382"/>
      <c r="BW362" s="382"/>
      <c r="BX362" s="382"/>
      <c r="BY362" s="382"/>
      <c r="BZ362" s="382"/>
      <c r="CA362" s="382"/>
      <c r="CB362" s="382"/>
      <c r="CC362" s="382"/>
      <c r="CD362" s="382"/>
      <c r="CE362" s="382"/>
      <c r="CF362" s="382"/>
      <c r="CG362" s="382"/>
      <c r="CH362" s="382"/>
      <c r="CI362" s="382"/>
      <c r="CJ362" s="382"/>
      <c r="CK362" s="382"/>
      <c r="CL362" s="382"/>
      <c r="CM362" s="382"/>
      <c r="CN362" s="382"/>
      <c r="CO362" s="382"/>
      <c r="CP362" s="382"/>
      <c r="CQ362" s="382"/>
      <c r="CR362" s="382"/>
      <c r="CS362" s="382"/>
      <c r="CT362" s="382"/>
      <c r="CU362" s="382"/>
      <c r="CV362" s="382"/>
      <c r="CW362" s="800"/>
      <c r="CX362" s="382"/>
      <c r="CY362" s="382"/>
      <c r="CZ362" s="382"/>
      <c r="DA362" s="382"/>
      <c r="DB362" s="382"/>
      <c r="DC362" s="382"/>
      <c r="DD362" s="382"/>
      <c r="DE362" s="382"/>
      <c r="DF362" s="382"/>
      <c r="DG362" s="382"/>
      <c r="DH362" s="382"/>
      <c r="DI362" s="382"/>
      <c r="DJ362" s="382"/>
      <c r="DK362" s="382"/>
      <c r="DL362" s="382"/>
      <c r="DM362" s="382"/>
      <c r="DN362" s="382"/>
      <c r="DO362" s="382"/>
      <c r="DP362" s="382"/>
      <c r="DQ362" s="382"/>
      <c r="DR362" s="382"/>
      <c r="DS362" s="382"/>
      <c r="DT362" s="382"/>
      <c r="DU362" s="382"/>
      <c r="DV362" s="382"/>
      <c r="DW362" s="382"/>
      <c r="DX362" s="382"/>
      <c r="DY362" s="382"/>
      <c r="DZ362" s="228"/>
    </row>
    <row r="363" spans="2:130" s="180" customFormat="1" ht="14.25" customHeight="1" x14ac:dyDescent="0.2">
      <c r="B363" s="800"/>
      <c r="C363" s="800"/>
      <c r="D363" s="800"/>
      <c r="E363" s="769"/>
      <c r="F363" s="769"/>
      <c r="G363" s="802"/>
      <c r="H363" s="802"/>
      <c r="I363" s="802"/>
      <c r="J363" s="802"/>
      <c r="K363" s="802"/>
      <c r="L363" s="802"/>
      <c r="M363" s="802"/>
      <c r="N363" s="802"/>
      <c r="O363" s="802"/>
      <c r="P363" s="802"/>
      <c r="Q363" s="802"/>
      <c r="R363" s="802"/>
      <c r="S363" s="803"/>
      <c r="T363" s="802"/>
      <c r="U363" s="802"/>
      <c r="V363" s="802"/>
      <c r="W363" s="802"/>
      <c r="X363" s="802"/>
      <c r="Y363" s="802"/>
      <c r="Z363" s="802"/>
      <c r="AA363" s="802"/>
      <c r="AB363" s="802"/>
      <c r="AC363" s="802"/>
      <c r="AD363" s="802"/>
      <c r="AE363" s="802"/>
      <c r="AF363" s="802"/>
      <c r="AG363" s="802"/>
      <c r="AH363" s="382"/>
      <c r="AI363" s="382"/>
      <c r="AJ363" s="382"/>
      <c r="AK363" s="382"/>
      <c r="AL363" s="382"/>
      <c r="AM363" s="382"/>
      <c r="AN363" s="382"/>
      <c r="AO363" s="382"/>
      <c r="AP363" s="382"/>
      <c r="AQ363" s="382"/>
      <c r="AR363" s="382"/>
      <c r="AS363" s="382"/>
      <c r="AT363" s="382"/>
      <c r="AU363" s="382"/>
      <c r="AV363" s="382"/>
      <c r="AW363" s="382"/>
      <c r="AX363" s="382"/>
      <c r="AY363" s="382"/>
      <c r="AZ363" s="382"/>
      <c r="BA363" s="382"/>
      <c r="BB363" s="382"/>
      <c r="BC363" s="382"/>
      <c r="BD363" s="382"/>
      <c r="BE363" s="382"/>
      <c r="BF363" s="382"/>
      <c r="BG363" s="382"/>
      <c r="BH363" s="382"/>
      <c r="BI363" s="382"/>
      <c r="BJ363" s="382"/>
      <c r="BK363" s="382"/>
      <c r="BL363" s="382"/>
      <c r="BM363" s="382"/>
      <c r="BN363" s="382"/>
      <c r="BO363" s="382"/>
      <c r="BP363" s="382"/>
      <c r="BQ363" s="382"/>
      <c r="BR363" s="382"/>
      <c r="BS363" s="382"/>
      <c r="BT363" s="382"/>
      <c r="BU363" s="496"/>
      <c r="BV363" s="382"/>
      <c r="BW363" s="382"/>
      <c r="BX363" s="382"/>
      <c r="BY363" s="382"/>
      <c r="BZ363" s="382"/>
      <c r="CA363" s="382"/>
      <c r="CB363" s="382"/>
      <c r="CC363" s="382"/>
      <c r="CD363" s="382"/>
      <c r="CE363" s="382"/>
      <c r="CF363" s="382"/>
      <c r="CG363" s="382"/>
      <c r="CH363" s="382"/>
      <c r="CI363" s="382"/>
      <c r="CJ363" s="382"/>
      <c r="CK363" s="382"/>
      <c r="CL363" s="382"/>
      <c r="CM363" s="382"/>
      <c r="CN363" s="382"/>
      <c r="CO363" s="382"/>
      <c r="CP363" s="382"/>
      <c r="CQ363" s="382"/>
      <c r="CR363" s="382"/>
      <c r="CS363" s="382"/>
      <c r="CT363" s="382"/>
      <c r="CU363" s="382"/>
      <c r="CV363" s="382"/>
      <c r="CW363" s="800"/>
      <c r="CX363" s="382"/>
      <c r="CY363" s="382"/>
      <c r="CZ363" s="382"/>
      <c r="DA363" s="382"/>
      <c r="DB363" s="382"/>
      <c r="DC363" s="382"/>
      <c r="DD363" s="382"/>
      <c r="DE363" s="382"/>
      <c r="DF363" s="382"/>
      <c r="DG363" s="382"/>
      <c r="DH363" s="382"/>
      <c r="DI363" s="382"/>
      <c r="DJ363" s="382"/>
      <c r="DK363" s="382"/>
      <c r="DL363" s="382"/>
      <c r="DM363" s="382"/>
      <c r="DN363" s="382"/>
      <c r="DO363" s="382"/>
      <c r="DP363" s="382"/>
      <c r="DQ363" s="382"/>
      <c r="DR363" s="382"/>
      <c r="DS363" s="382"/>
      <c r="DT363" s="382"/>
      <c r="DU363" s="382"/>
      <c r="DV363" s="382"/>
      <c r="DW363" s="382"/>
      <c r="DX363" s="382"/>
      <c r="DY363" s="382"/>
      <c r="DZ363" s="228"/>
    </row>
    <row r="364" spans="2:130" s="180" customFormat="1" ht="14.25" customHeight="1" x14ac:dyDescent="0.2">
      <c r="B364" s="800"/>
      <c r="C364" s="800"/>
      <c r="D364" s="800"/>
      <c r="E364" s="769"/>
      <c r="F364" s="769"/>
      <c r="G364" s="802"/>
      <c r="H364" s="802"/>
      <c r="I364" s="802"/>
      <c r="J364" s="802"/>
      <c r="K364" s="802"/>
      <c r="L364" s="802"/>
      <c r="M364" s="802"/>
      <c r="N364" s="802"/>
      <c r="O364" s="802"/>
      <c r="P364" s="802"/>
      <c r="Q364" s="802"/>
      <c r="R364" s="802"/>
      <c r="S364" s="803"/>
      <c r="T364" s="802"/>
      <c r="U364" s="802"/>
      <c r="V364" s="802"/>
      <c r="W364" s="802"/>
      <c r="X364" s="802"/>
      <c r="Y364" s="802"/>
      <c r="Z364" s="802"/>
      <c r="AA364" s="802"/>
      <c r="AB364" s="802"/>
      <c r="AC364" s="802"/>
      <c r="AD364" s="802"/>
      <c r="AE364" s="802"/>
      <c r="AF364" s="802"/>
      <c r="AG364" s="802"/>
      <c r="AH364" s="382"/>
      <c r="AI364" s="382"/>
      <c r="AJ364" s="382"/>
      <c r="AK364" s="382"/>
      <c r="AL364" s="382"/>
      <c r="AM364" s="382"/>
      <c r="AN364" s="382"/>
      <c r="AO364" s="382"/>
      <c r="AP364" s="382"/>
      <c r="AQ364" s="382"/>
      <c r="AR364" s="382"/>
      <c r="AS364" s="382"/>
      <c r="AT364" s="382"/>
      <c r="AU364" s="382"/>
      <c r="AV364" s="382"/>
      <c r="AW364" s="382"/>
      <c r="AX364" s="382"/>
      <c r="AY364" s="382"/>
      <c r="AZ364" s="382"/>
      <c r="BA364" s="382"/>
      <c r="BB364" s="382"/>
      <c r="BC364" s="382"/>
      <c r="BD364" s="382"/>
      <c r="BE364" s="382"/>
      <c r="BF364" s="382"/>
      <c r="BG364" s="382"/>
      <c r="BH364" s="382"/>
      <c r="BI364" s="382"/>
      <c r="BJ364" s="382"/>
      <c r="BK364" s="382"/>
      <c r="BL364" s="382"/>
      <c r="BM364" s="382"/>
      <c r="BN364" s="382"/>
      <c r="BO364" s="382"/>
      <c r="BP364" s="382"/>
      <c r="BQ364" s="382"/>
      <c r="BR364" s="382"/>
      <c r="BS364" s="382"/>
      <c r="BT364" s="382"/>
      <c r="BU364" s="496"/>
      <c r="BV364" s="382"/>
      <c r="BW364" s="382"/>
      <c r="BX364" s="382"/>
      <c r="BY364" s="382"/>
      <c r="BZ364" s="382"/>
      <c r="CA364" s="382"/>
      <c r="CB364" s="382"/>
      <c r="CC364" s="382"/>
      <c r="CD364" s="382"/>
      <c r="CE364" s="382"/>
      <c r="CF364" s="382"/>
      <c r="CG364" s="382"/>
      <c r="CH364" s="382"/>
      <c r="CI364" s="382"/>
      <c r="CJ364" s="382"/>
      <c r="CK364" s="382"/>
      <c r="CL364" s="382"/>
      <c r="CM364" s="382"/>
      <c r="CN364" s="382"/>
      <c r="CO364" s="382"/>
      <c r="CP364" s="382"/>
      <c r="CQ364" s="382"/>
      <c r="CR364" s="382"/>
      <c r="CS364" s="382"/>
      <c r="CT364" s="382"/>
      <c r="CU364" s="382"/>
      <c r="CV364" s="382"/>
      <c r="CW364" s="800"/>
      <c r="CX364" s="382"/>
      <c r="CY364" s="382"/>
      <c r="CZ364" s="382"/>
      <c r="DA364" s="382"/>
      <c r="DB364" s="382"/>
      <c r="DC364" s="382"/>
      <c r="DD364" s="382"/>
      <c r="DE364" s="382"/>
      <c r="DF364" s="382"/>
      <c r="DG364" s="382"/>
      <c r="DH364" s="382"/>
      <c r="DI364" s="382"/>
      <c r="DJ364" s="382"/>
      <c r="DK364" s="382"/>
      <c r="DL364" s="382"/>
      <c r="DM364" s="382"/>
      <c r="DN364" s="382"/>
      <c r="DO364" s="382"/>
      <c r="DP364" s="382"/>
      <c r="DQ364" s="382"/>
      <c r="DR364" s="382"/>
      <c r="DS364" s="382"/>
      <c r="DT364" s="382"/>
      <c r="DU364" s="382"/>
      <c r="DV364" s="382"/>
      <c r="DW364" s="382"/>
      <c r="DX364" s="382"/>
      <c r="DY364" s="382"/>
      <c r="DZ364" s="228"/>
    </row>
    <row r="365" spans="2:130" s="180" customFormat="1" ht="14.25" customHeight="1" x14ac:dyDescent="0.2">
      <c r="B365" s="800"/>
      <c r="C365" s="800"/>
      <c r="D365" s="800"/>
      <c r="E365" s="769"/>
      <c r="F365" s="769"/>
      <c r="G365" s="802"/>
      <c r="H365" s="802"/>
      <c r="I365" s="802"/>
      <c r="J365" s="802"/>
      <c r="K365" s="802"/>
      <c r="L365" s="802"/>
      <c r="M365" s="802"/>
      <c r="N365" s="802"/>
      <c r="O365" s="802"/>
      <c r="P365" s="802"/>
      <c r="Q365" s="802"/>
      <c r="R365" s="802"/>
      <c r="S365" s="803"/>
      <c r="T365" s="802"/>
      <c r="U365" s="802"/>
      <c r="V365" s="802"/>
      <c r="W365" s="802"/>
      <c r="X365" s="802"/>
      <c r="Y365" s="802"/>
      <c r="Z365" s="802"/>
      <c r="AA365" s="802"/>
      <c r="AB365" s="802"/>
      <c r="AC365" s="802"/>
      <c r="AD365" s="802"/>
      <c r="AE365" s="802"/>
      <c r="AF365" s="802"/>
      <c r="AG365" s="802"/>
      <c r="AH365" s="382"/>
      <c r="AI365" s="382"/>
      <c r="AJ365" s="382"/>
      <c r="AK365" s="382"/>
      <c r="AL365" s="382"/>
      <c r="AM365" s="382"/>
      <c r="AN365" s="382"/>
      <c r="AO365" s="382"/>
      <c r="AP365" s="382"/>
      <c r="AQ365" s="382"/>
      <c r="AR365" s="382"/>
      <c r="AS365" s="382"/>
      <c r="AT365" s="382"/>
      <c r="AU365" s="382"/>
      <c r="AV365" s="382"/>
      <c r="AW365" s="382"/>
      <c r="AX365" s="382"/>
      <c r="AY365" s="382"/>
      <c r="AZ365" s="382"/>
      <c r="BA365" s="382"/>
      <c r="BB365" s="382"/>
      <c r="BC365" s="382"/>
      <c r="BD365" s="382"/>
      <c r="BE365" s="382"/>
      <c r="BF365" s="382"/>
      <c r="BG365" s="382"/>
      <c r="BH365" s="382"/>
      <c r="BI365" s="382"/>
      <c r="BJ365" s="382"/>
      <c r="BK365" s="382"/>
      <c r="BL365" s="382"/>
      <c r="BM365" s="382"/>
      <c r="BN365" s="382"/>
      <c r="BO365" s="382"/>
      <c r="BP365" s="382"/>
      <c r="BQ365" s="382"/>
      <c r="BR365" s="382"/>
      <c r="BS365" s="382"/>
      <c r="BT365" s="382"/>
      <c r="BU365" s="496"/>
      <c r="BV365" s="382"/>
      <c r="BW365" s="382"/>
      <c r="BX365" s="382"/>
      <c r="BY365" s="382"/>
      <c r="BZ365" s="382"/>
      <c r="CA365" s="382"/>
      <c r="CB365" s="382"/>
      <c r="CC365" s="382"/>
      <c r="CD365" s="382"/>
      <c r="CE365" s="382"/>
      <c r="CF365" s="382"/>
      <c r="CG365" s="382"/>
      <c r="CH365" s="382"/>
      <c r="CI365" s="382"/>
      <c r="CJ365" s="382"/>
      <c r="CK365" s="382"/>
      <c r="CL365" s="382"/>
      <c r="CM365" s="382"/>
      <c r="CN365" s="382"/>
      <c r="CO365" s="382"/>
      <c r="CP365" s="382"/>
      <c r="CQ365" s="382"/>
      <c r="CR365" s="382"/>
      <c r="CS365" s="382"/>
      <c r="CT365" s="382"/>
      <c r="CU365" s="382"/>
      <c r="CV365" s="382"/>
      <c r="CW365" s="800"/>
      <c r="CX365" s="382"/>
      <c r="CY365" s="382"/>
      <c r="CZ365" s="382"/>
      <c r="DA365" s="382"/>
      <c r="DB365" s="382"/>
      <c r="DC365" s="382"/>
      <c r="DD365" s="382"/>
      <c r="DE365" s="382"/>
      <c r="DF365" s="382"/>
      <c r="DG365" s="382"/>
      <c r="DH365" s="382"/>
      <c r="DI365" s="382"/>
      <c r="DJ365" s="382"/>
      <c r="DK365" s="382"/>
      <c r="DL365" s="382"/>
      <c r="DM365" s="382"/>
      <c r="DN365" s="382"/>
      <c r="DO365" s="382"/>
      <c r="DP365" s="382"/>
      <c r="DQ365" s="382"/>
      <c r="DR365" s="382"/>
      <c r="DS365" s="382"/>
      <c r="DT365" s="382"/>
      <c r="DU365" s="382"/>
      <c r="DV365" s="382"/>
      <c r="DW365" s="382"/>
      <c r="DX365" s="382"/>
      <c r="DY365" s="382"/>
      <c r="DZ365" s="228"/>
    </row>
    <row r="366" spans="2:130" s="180" customFormat="1" ht="14.25" customHeight="1" x14ac:dyDescent="0.2">
      <c r="B366" s="800"/>
      <c r="C366" s="800"/>
      <c r="D366" s="800"/>
      <c r="E366" s="769"/>
      <c r="F366" s="769"/>
      <c r="G366" s="802"/>
      <c r="H366" s="802"/>
      <c r="I366" s="802"/>
      <c r="J366" s="802"/>
      <c r="K366" s="802"/>
      <c r="L366" s="802"/>
      <c r="M366" s="802"/>
      <c r="N366" s="802"/>
      <c r="O366" s="802"/>
      <c r="P366" s="802"/>
      <c r="Q366" s="802"/>
      <c r="R366" s="802"/>
      <c r="S366" s="803"/>
      <c r="T366" s="802"/>
      <c r="U366" s="802"/>
      <c r="V366" s="802"/>
      <c r="W366" s="802"/>
      <c r="X366" s="802"/>
      <c r="Y366" s="802"/>
      <c r="Z366" s="802"/>
      <c r="AA366" s="802"/>
      <c r="AB366" s="802"/>
      <c r="AC366" s="802"/>
      <c r="AD366" s="802"/>
      <c r="AE366" s="802"/>
      <c r="AF366" s="802"/>
      <c r="AG366" s="802"/>
      <c r="AH366" s="382"/>
      <c r="AI366" s="382"/>
      <c r="AJ366" s="382"/>
      <c r="AK366" s="382"/>
      <c r="AL366" s="382"/>
      <c r="AM366" s="382"/>
      <c r="AN366" s="382"/>
      <c r="AO366" s="382"/>
      <c r="AP366" s="382"/>
      <c r="AQ366" s="382"/>
      <c r="AR366" s="382"/>
      <c r="AS366" s="382"/>
      <c r="AT366" s="382"/>
      <c r="AU366" s="382"/>
      <c r="AV366" s="382"/>
      <c r="AW366" s="382"/>
      <c r="AX366" s="382"/>
      <c r="AY366" s="382"/>
      <c r="AZ366" s="382"/>
      <c r="BA366" s="382"/>
      <c r="BB366" s="382"/>
      <c r="BC366" s="382"/>
      <c r="BD366" s="382"/>
      <c r="BE366" s="382"/>
      <c r="BF366" s="382"/>
      <c r="BG366" s="382"/>
      <c r="BH366" s="382"/>
      <c r="BI366" s="382"/>
      <c r="BJ366" s="382"/>
      <c r="BK366" s="382"/>
      <c r="BL366" s="382"/>
      <c r="BM366" s="382"/>
      <c r="BN366" s="382"/>
      <c r="BO366" s="382"/>
      <c r="BP366" s="382"/>
      <c r="BQ366" s="382"/>
      <c r="BR366" s="382"/>
      <c r="BS366" s="382"/>
      <c r="BT366" s="382"/>
      <c r="BU366" s="496"/>
      <c r="BV366" s="382"/>
      <c r="BW366" s="382"/>
      <c r="BX366" s="382"/>
      <c r="BY366" s="382"/>
      <c r="BZ366" s="382"/>
      <c r="CA366" s="382"/>
      <c r="CB366" s="382"/>
      <c r="CC366" s="382"/>
      <c r="CD366" s="382"/>
      <c r="CE366" s="382"/>
      <c r="CF366" s="382"/>
      <c r="CG366" s="382"/>
      <c r="CH366" s="382"/>
      <c r="CI366" s="382"/>
      <c r="CJ366" s="382"/>
      <c r="CK366" s="382"/>
      <c r="CL366" s="382"/>
      <c r="CM366" s="382"/>
      <c r="CN366" s="382"/>
      <c r="CO366" s="382"/>
      <c r="CP366" s="382"/>
      <c r="CQ366" s="382"/>
      <c r="CR366" s="382"/>
      <c r="CS366" s="382"/>
      <c r="CT366" s="382"/>
      <c r="CU366" s="382"/>
      <c r="CV366" s="382"/>
      <c r="CW366" s="800"/>
      <c r="CX366" s="382"/>
      <c r="CY366" s="382"/>
      <c r="CZ366" s="382"/>
      <c r="DA366" s="382"/>
      <c r="DB366" s="382"/>
      <c r="DC366" s="382"/>
      <c r="DD366" s="382"/>
      <c r="DE366" s="382"/>
      <c r="DF366" s="382"/>
      <c r="DG366" s="382"/>
      <c r="DH366" s="382"/>
      <c r="DI366" s="382"/>
      <c r="DJ366" s="382"/>
      <c r="DK366" s="382"/>
      <c r="DL366" s="382"/>
      <c r="DM366" s="382"/>
      <c r="DN366" s="382"/>
      <c r="DO366" s="382"/>
      <c r="DP366" s="382"/>
      <c r="DQ366" s="382"/>
      <c r="DR366" s="382"/>
      <c r="DS366" s="382"/>
      <c r="DT366" s="382"/>
      <c r="DU366" s="382"/>
      <c r="DV366" s="382"/>
      <c r="DW366" s="382"/>
      <c r="DX366" s="382"/>
      <c r="DY366" s="382"/>
      <c r="DZ366" s="228"/>
    </row>
    <row r="367" spans="2:130" s="180" customFormat="1" ht="14.25" customHeight="1" x14ac:dyDescent="0.2">
      <c r="B367" s="800"/>
      <c r="C367" s="800"/>
      <c r="D367" s="800"/>
      <c r="E367" s="769"/>
      <c r="F367" s="769"/>
      <c r="G367" s="802"/>
      <c r="H367" s="802"/>
      <c r="I367" s="802"/>
      <c r="J367" s="802"/>
      <c r="K367" s="802"/>
      <c r="L367" s="802"/>
      <c r="M367" s="802"/>
      <c r="N367" s="802"/>
      <c r="O367" s="802"/>
      <c r="P367" s="802"/>
      <c r="Q367" s="802"/>
      <c r="R367" s="802"/>
      <c r="S367" s="803"/>
      <c r="T367" s="802"/>
      <c r="U367" s="802"/>
      <c r="V367" s="802"/>
      <c r="W367" s="802"/>
      <c r="X367" s="802"/>
      <c r="Y367" s="802"/>
      <c r="Z367" s="802"/>
      <c r="AA367" s="802"/>
      <c r="AB367" s="802"/>
      <c r="AC367" s="802"/>
      <c r="AD367" s="802"/>
      <c r="AE367" s="802"/>
      <c r="AF367" s="802"/>
      <c r="AG367" s="802"/>
      <c r="AH367" s="382"/>
      <c r="AI367" s="382"/>
      <c r="AJ367" s="382"/>
      <c r="AK367" s="382"/>
      <c r="AL367" s="382"/>
      <c r="AM367" s="382"/>
      <c r="AN367" s="382"/>
      <c r="AO367" s="382"/>
      <c r="AP367" s="382"/>
      <c r="AQ367" s="382"/>
      <c r="AR367" s="382"/>
      <c r="AS367" s="382"/>
      <c r="AT367" s="382"/>
      <c r="AU367" s="382"/>
      <c r="AV367" s="382"/>
      <c r="AW367" s="382"/>
      <c r="AX367" s="382"/>
      <c r="AY367" s="382"/>
      <c r="AZ367" s="382"/>
      <c r="BA367" s="382"/>
      <c r="BB367" s="382"/>
      <c r="BC367" s="382"/>
      <c r="BD367" s="382"/>
      <c r="BE367" s="382"/>
      <c r="BF367" s="382"/>
      <c r="BG367" s="382"/>
      <c r="BH367" s="382"/>
      <c r="BI367" s="382"/>
      <c r="BJ367" s="382"/>
      <c r="BK367" s="382"/>
      <c r="BL367" s="382"/>
      <c r="BM367" s="382"/>
      <c r="BN367" s="382"/>
      <c r="BO367" s="382"/>
      <c r="BP367" s="382"/>
      <c r="BQ367" s="382"/>
      <c r="BR367" s="382"/>
      <c r="BS367" s="382"/>
      <c r="BT367" s="382"/>
      <c r="BU367" s="496"/>
      <c r="BV367" s="382"/>
      <c r="BW367" s="382"/>
      <c r="BX367" s="382"/>
      <c r="BY367" s="382"/>
      <c r="BZ367" s="382"/>
      <c r="CA367" s="382"/>
      <c r="CB367" s="382"/>
      <c r="CC367" s="382"/>
      <c r="CD367" s="382"/>
      <c r="CE367" s="382"/>
      <c r="CF367" s="382"/>
      <c r="CG367" s="382"/>
      <c r="CH367" s="382"/>
      <c r="CI367" s="382"/>
      <c r="CJ367" s="382"/>
      <c r="CK367" s="382"/>
      <c r="CL367" s="382"/>
      <c r="CM367" s="382"/>
      <c r="CN367" s="382"/>
      <c r="CO367" s="382"/>
      <c r="CP367" s="382"/>
      <c r="CQ367" s="382"/>
      <c r="CR367" s="382"/>
      <c r="CS367" s="382"/>
      <c r="CT367" s="382"/>
      <c r="CU367" s="382"/>
      <c r="CV367" s="382"/>
      <c r="CW367" s="800"/>
      <c r="CX367" s="382"/>
      <c r="CY367" s="382"/>
      <c r="CZ367" s="382"/>
      <c r="DA367" s="382"/>
      <c r="DB367" s="382"/>
      <c r="DC367" s="382"/>
      <c r="DD367" s="382"/>
      <c r="DE367" s="382"/>
      <c r="DF367" s="382"/>
      <c r="DG367" s="382"/>
      <c r="DH367" s="382"/>
      <c r="DI367" s="382"/>
      <c r="DJ367" s="382"/>
      <c r="DK367" s="382"/>
      <c r="DL367" s="382"/>
      <c r="DM367" s="382"/>
      <c r="DN367" s="382"/>
      <c r="DO367" s="382"/>
      <c r="DP367" s="382"/>
      <c r="DQ367" s="382"/>
      <c r="DR367" s="382"/>
      <c r="DS367" s="382"/>
      <c r="DT367" s="382"/>
      <c r="DU367" s="382"/>
      <c r="DV367" s="382"/>
      <c r="DW367" s="382"/>
      <c r="DX367" s="382"/>
      <c r="DY367" s="382"/>
      <c r="DZ367" s="228"/>
    </row>
    <row r="368" spans="2:130" s="180" customFormat="1" ht="14.25" customHeight="1" x14ac:dyDescent="0.2">
      <c r="B368" s="800"/>
      <c r="C368" s="800"/>
      <c r="D368" s="800"/>
      <c r="E368" s="769"/>
      <c r="F368" s="769"/>
      <c r="G368" s="802"/>
      <c r="H368" s="802"/>
      <c r="I368" s="802"/>
      <c r="J368" s="802"/>
      <c r="K368" s="802"/>
      <c r="L368" s="802"/>
      <c r="M368" s="802"/>
      <c r="N368" s="802"/>
      <c r="O368" s="802"/>
      <c r="P368" s="802"/>
      <c r="Q368" s="802"/>
      <c r="R368" s="802"/>
      <c r="S368" s="803"/>
      <c r="T368" s="802"/>
      <c r="U368" s="802"/>
      <c r="V368" s="802"/>
      <c r="W368" s="802"/>
      <c r="X368" s="802"/>
      <c r="Y368" s="802"/>
      <c r="Z368" s="802"/>
      <c r="AA368" s="802"/>
      <c r="AB368" s="802"/>
      <c r="AC368" s="802"/>
      <c r="AD368" s="802"/>
      <c r="AE368" s="802"/>
      <c r="AF368" s="802"/>
      <c r="AG368" s="802"/>
      <c r="AH368" s="382"/>
      <c r="AI368" s="382"/>
      <c r="AJ368" s="382"/>
      <c r="AK368" s="382"/>
      <c r="AL368" s="382"/>
      <c r="AM368" s="382"/>
      <c r="AN368" s="382"/>
      <c r="AO368" s="382"/>
      <c r="AP368" s="382"/>
      <c r="AQ368" s="382"/>
      <c r="AR368" s="382"/>
      <c r="AS368" s="382"/>
      <c r="AT368" s="382"/>
      <c r="AU368" s="382"/>
      <c r="AV368" s="382"/>
      <c r="AW368" s="382"/>
      <c r="AX368" s="382"/>
      <c r="AY368" s="382"/>
      <c r="AZ368" s="382"/>
      <c r="BA368" s="382"/>
      <c r="BB368" s="382"/>
      <c r="BC368" s="382"/>
      <c r="BD368" s="382"/>
      <c r="BE368" s="382"/>
      <c r="BF368" s="382"/>
      <c r="BG368" s="382"/>
      <c r="BH368" s="382"/>
      <c r="BI368" s="382"/>
      <c r="BJ368" s="382"/>
      <c r="BK368" s="382"/>
      <c r="BL368" s="382"/>
      <c r="BM368" s="382"/>
      <c r="BN368" s="382"/>
      <c r="BO368" s="382"/>
      <c r="BP368" s="382"/>
      <c r="BQ368" s="382"/>
      <c r="BR368" s="382"/>
      <c r="BS368" s="382"/>
      <c r="BT368" s="382"/>
      <c r="BU368" s="496"/>
      <c r="BV368" s="382"/>
      <c r="BW368" s="382"/>
      <c r="BX368" s="382"/>
      <c r="BY368" s="382"/>
      <c r="BZ368" s="382"/>
      <c r="CA368" s="382"/>
      <c r="CB368" s="382"/>
      <c r="CC368" s="382"/>
      <c r="CD368" s="382"/>
      <c r="CE368" s="382"/>
      <c r="CF368" s="382"/>
      <c r="CG368" s="382"/>
      <c r="CH368" s="382"/>
      <c r="CI368" s="382"/>
      <c r="CJ368" s="382"/>
      <c r="CK368" s="382"/>
      <c r="CL368" s="382"/>
      <c r="CM368" s="382"/>
      <c r="CN368" s="382"/>
      <c r="CO368" s="382"/>
      <c r="CP368" s="382"/>
      <c r="CQ368" s="382"/>
      <c r="CR368" s="382"/>
      <c r="CS368" s="382"/>
      <c r="CT368" s="382"/>
      <c r="CU368" s="382"/>
      <c r="CV368" s="382"/>
      <c r="CW368" s="800"/>
      <c r="CX368" s="382"/>
      <c r="CY368" s="382"/>
      <c r="CZ368" s="382"/>
      <c r="DA368" s="382"/>
      <c r="DB368" s="382"/>
      <c r="DC368" s="382"/>
      <c r="DD368" s="382"/>
      <c r="DE368" s="382"/>
      <c r="DF368" s="382"/>
      <c r="DG368" s="382"/>
      <c r="DH368" s="382"/>
      <c r="DI368" s="382"/>
      <c r="DJ368" s="382"/>
      <c r="DK368" s="382"/>
      <c r="DL368" s="382"/>
      <c r="DM368" s="382"/>
      <c r="DN368" s="382"/>
      <c r="DO368" s="382"/>
      <c r="DP368" s="382"/>
      <c r="DQ368" s="382"/>
      <c r="DR368" s="382"/>
      <c r="DS368" s="382"/>
      <c r="DT368" s="382"/>
      <c r="DU368" s="382"/>
      <c r="DV368" s="382"/>
      <c r="DW368" s="382"/>
      <c r="DX368" s="382"/>
      <c r="DY368" s="382"/>
      <c r="DZ368" s="228"/>
    </row>
    <row r="369" spans="2:130" s="180" customFormat="1" ht="14.25" customHeight="1" x14ac:dyDescent="0.2">
      <c r="B369" s="800"/>
      <c r="C369" s="800"/>
      <c r="D369" s="800"/>
      <c r="E369" s="769"/>
      <c r="F369" s="769"/>
      <c r="G369" s="802"/>
      <c r="H369" s="802"/>
      <c r="I369" s="802"/>
      <c r="J369" s="802"/>
      <c r="K369" s="802"/>
      <c r="L369" s="802"/>
      <c r="M369" s="802"/>
      <c r="N369" s="802"/>
      <c r="O369" s="802"/>
      <c r="P369" s="802"/>
      <c r="Q369" s="802"/>
      <c r="R369" s="802"/>
      <c r="S369" s="803"/>
      <c r="T369" s="802"/>
      <c r="U369" s="802"/>
      <c r="V369" s="802"/>
      <c r="W369" s="802"/>
      <c r="X369" s="802"/>
      <c r="Y369" s="802"/>
      <c r="Z369" s="802"/>
      <c r="AA369" s="802"/>
      <c r="AB369" s="802"/>
      <c r="AC369" s="802"/>
      <c r="AD369" s="802"/>
      <c r="AE369" s="802"/>
      <c r="AF369" s="802"/>
      <c r="AG369" s="802"/>
      <c r="AH369" s="382"/>
      <c r="AI369" s="382"/>
      <c r="AJ369" s="382"/>
      <c r="AK369" s="382"/>
      <c r="AL369" s="382"/>
      <c r="AM369" s="382"/>
      <c r="AN369" s="382"/>
      <c r="AO369" s="382"/>
      <c r="AP369" s="382"/>
      <c r="AQ369" s="382"/>
      <c r="AR369" s="382"/>
      <c r="AS369" s="382"/>
      <c r="AT369" s="382"/>
      <c r="AU369" s="382"/>
      <c r="AV369" s="382"/>
      <c r="AW369" s="382"/>
      <c r="AX369" s="382"/>
      <c r="AY369" s="382"/>
      <c r="AZ369" s="382"/>
      <c r="BA369" s="382"/>
      <c r="BB369" s="382"/>
      <c r="BC369" s="382"/>
      <c r="BD369" s="382"/>
      <c r="BE369" s="382"/>
      <c r="BF369" s="382"/>
      <c r="BG369" s="382"/>
      <c r="BH369" s="382"/>
      <c r="BI369" s="382"/>
      <c r="BJ369" s="382"/>
      <c r="BK369" s="382"/>
      <c r="BL369" s="382"/>
      <c r="BM369" s="382"/>
      <c r="BN369" s="382"/>
      <c r="BO369" s="382"/>
      <c r="BP369" s="382"/>
      <c r="BQ369" s="382"/>
      <c r="BR369" s="382"/>
      <c r="BS369" s="382"/>
      <c r="BT369" s="382"/>
      <c r="BU369" s="496"/>
      <c r="BV369" s="382"/>
      <c r="BW369" s="382"/>
      <c r="BX369" s="382"/>
      <c r="BY369" s="382"/>
      <c r="BZ369" s="382"/>
      <c r="CA369" s="382"/>
      <c r="CB369" s="382"/>
      <c r="CC369" s="382"/>
      <c r="CD369" s="382"/>
      <c r="CE369" s="382"/>
      <c r="CF369" s="382"/>
      <c r="CG369" s="382"/>
      <c r="CH369" s="382"/>
      <c r="CI369" s="382"/>
      <c r="CJ369" s="382"/>
      <c r="CK369" s="382"/>
      <c r="CL369" s="382"/>
      <c r="CM369" s="382"/>
      <c r="CN369" s="382"/>
      <c r="CO369" s="382"/>
      <c r="CP369" s="382"/>
      <c r="CQ369" s="382"/>
      <c r="CR369" s="382"/>
      <c r="CS369" s="382"/>
      <c r="CT369" s="382"/>
      <c r="CU369" s="382"/>
      <c r="CV369" s="382"/>
      <c r="CW369" s="800"/>
      <c r="CX369" s="382"/>
      <c r="CY369" s="382"/>
      <c r="CZ369" s="382"/>
      <c r="DA369" s="382"/>
      <c r="DB369" s="382"/>
      <c r="DC369" s="382"/>
      <c r="DD369" s="382"/>
      <c r="DE369" s="382"/>
      <c r="DF369" s="382"/>
      <c r="DG369" s="382"/>
      <c r="DH369" s="382"/>
      <c r="DI369" s="382"/>
      <c r="DJ369" s="382"/>
      <c r="DK369" s="382"/>
      <c r="DL369" s="382"/>
      <c r="DM369" s="382"/>
      <c r="DN369" s="382"/>
      <c r="DO369" s="382"/>
      <c r="DP369" s="382"/>
      <c r="DQ369" s="382"/>
      <c r="DR369" s="382"/>
      <c r="DS369" s="382"/>
      <c r="DT369" s="382"/>
      <c r="DU369" s="382"/>
      <c r="DV369" s="382"/>
      <c r="DW369" s="382"/>
      <c r="DX369" s="382"/>
      <c r="DY369" s="382"/>
      <c r="DZ369" s="228"/>
    </row>
    <row r="370" spans="2:130" s="180" customFormat="1" ht="14.25" customHeight="1" x14ac:dyDescent="0.2">
      <c r="B370" s="800"/>
      <c r="C370" s="800"/>
      <c r="D370" s="800"/>
      <c r="E370" s="769"/>
      <c r="F370" s="769"/>
      <c r="G370" s="802"/>
      <c r="H370" s="802"/>
      <c r="I370" s="802"/>
      <c r="J370" s="802"/>
      <c r="K370" s="802"/>
      <c r="L370" s="802"/>
      <c r="M370" s="802"/>
      <c r="N370" s="802"/>
      <c r="O370" s="802"/>
      <c r="P370" s="802"/>
      <c r="Q370" s="802"/>
      <c r="R370" s="802"/>
      <c r="S370" s="803"/>
      <c r="T370" s="802"/>
      <c r="U370" s="802"/>
      <c r="V370" s="802"/>
      <c r="W370" s="802"/>
      <c r="X370" s="802"/>
      <c r="Y370" s="802"/>
      <c r="Z370" s="802"/>
      <c r="AA370" s="802"/>
      <c r="AB370" s="802"/>
      <c r="AC370" s="802"/>
      <c r="AD370" s="802"/>
      <c r="AE370" s="802"/>
      <c r="AF370" s="802"/>
      <c r="AG370" s="802"/>
      <c r="AH370" s="382"/>
      <c r="AI370" s="382"/>
      <c r="AJ370" s="382"/>
      <c r="AK370" s="382"/>
      <c r="AL370" s="382"/>
      <c r="AM370" s="382"/>
      <c r="AN370" s="382"/>
      <c r="AO370" s="382"/>
      <c r="AP370" s="382"/>
      <c r="AQ370" s="382"/>
      <c r="AR370" s="382"/>
      <c r="AS370" s="382"/>
      <c r="AT370" s="382"/>
      <c r="AU370" s="382"/>
      <c r="AV370" s="382"/>
      <c r="AW370" s="382"/>
      <c r="AX370" s="382"/>
      <c r="AY370" s="382"/>
      <c r="AZ370" s="382"/>
      <c r="BA370" s="382"/>
      <c r="BB370" s="382"/>
      <c r="BC370" s="382"/>
      <c r="BD370" s="382"/>
      <c r="BE370" s="382"/>
      <c r="BF370" s="382"/>
      <c r="BG370" s="382"/>
      <c r="BH370" s="382"/>
      <c r="BI370" s="382"/>
      <c r="BJ370" s="382"/>
      <c r="BK370" s="382"/>
      <c r="BL370" s="382"/>
      <c r="BM370" s="382"/>
      <c r="BN370" s="382"/>
      <c r="BO370" s="382"/>
      <c r="BP370" s="382"/>
      <c r="BQ370" s="382"/>
      <c r="BR370" s="382"/>
      <c r="BS370" s="382"/>
      <c r="BT370" s="382"/>
      <c r="BU370" s="496"/>
      <c r="BV370" s="382"/>
      <c r="BW370" s="382"/>
      <c r="BX370" s="382"/>
      <c r="BY370" s="382"/>
      <c r="BZ370" s="382"/>
      <c r="CA370" s="382"/>
      <c r="CB370" s="382"/>
      <c r="CC370" s="382"/>
      <c r="CD370" s="382"/>
      <c r="CE370" s="382"/>
      <c r="CF370" s="382"/>
      <c r="CG370" s="382"/>
      <c r="CH370" s="382"/>
      <c r="CI370" s="382"/>
      <c r="CJ370" s="382"/>
      <c r="CK370" s="382"/>
      <c r="CL370" s="382"/>
      <c r="CM370" s="382"/>
      <c r="CN370" s="382"/>
      <c r="CO370" s="382"/>
      <c r="CP370" s="382"/>
      <c r="CQ370" s="382"/>
      <c r="CR370" s="382"/>
      <c r="CS370" s="382"/>
      <c r="CT370" s="382"/>
      <c r="CU370" s="382"/>
      <c r="CV370" s="382"/>
      <c r="CW370" s="800"/>
      <c r="CX370" s="382"/>
      <c r="CY370" s="382"/>
      <c r="CZ370" s="382"/>
      <c r="DA370" s="382"/>
      <c r="DB370" s="382"/>
      <c r="DC370" s="382"/>
      <c r="DD370" s="382"/>
      <c r="DE370" s="382"/>
      <c r="DF370" s="382"/>
      <c r="DG370" s="382"/>
      <c r="DH370" s="382"/>
      <c r="DI370" s="382"/>
      <c r="DJ370" s="382"/>
      <c r="DK370" s="382"/>
      <c r="DL370" s="382"/>
      <c r="DM370" s="382"/>
      <c r="DN370" s="382"/>
      <c r="DO370" s="382"/>
      <c r="DP370" s="382"/>
      <c r="DQ370" s="382"/>
      <c r="DR370" s="382"/>
      <c r="DS370" s="382"/>
      <c r="DT370" s="382"/>
      <c r="DU370" s="382"/>
      <c r="DV370" s="382"/>
      <c r="DW370" s="382"/>
      <c r="DX370" s="382"/>
      <c r="DY370" s="382"/>
      <c r="DZ370" s="228"/>
    </row>
    <row r="371" spans="2:130" s="180" customFormat="1" ht="14.25" customHeight="1" x14ac:dyDescent="0.2">
      <c r="B371" s="800"/>
      <c r="C371" s="800"/>
      <c r="D371" s="800"/>
      <c r="E371" s="769"/>
      <c r="F371" s="769"/>
      <c r="G371" s="802"/>
      <c r="H371" s="802"/>
      <c r="I371" s="802"/>
      <c r="J371" s="802"/>
      <c r="K371" s="802"/>
      <c r="L371" s="802"/>
      <c r="M371" s="802"/>
      <c r="N371" s="802"/>
      <c r="O371" s="802"/>
      <c r="P371" s="802"/>
      <c r="Q371" s="802"/>
      <c r="R371" s="802"/>
      <c r="S371" s="803"/>
      <c r="T371" s="802"/>
      <c r="U371" s="802"/>
      <c r="V371" s="802"/>
      <c r="W371" s="802"/>
      <c r="X371" s="802"/>
      <c r="Y371" s="802"/>
      <c r="Z371" s="802"/>
      <c r="AA371" s="802"/>
      <c r="AB371" s="802"/>
      <c r="AC371" s="802"/>
      <c r="AD371" s="802"/>
      <c r="AE371" s="802"/>
      <c r="AF371" s="802"/>
      <c r="AG371" s="802"/>
      <c r="AH371" s="382"/>
      <c r="AI371" s="382"/>
      <c r="AJ371" s="382"/>
      <c r="AK371" s="382"/>
      <c r="AL371" s="382"/>
      <c r="AM371" s="382"/>
      <c r="AN371" s="382"/>
      <c r="AO371" s="382"/>
      <c r="AP371" s="382"/>
      <c r="AQ371" s="382"/>
      <c r="AR371" s="382"/>
      <c r="AS371" s="382"/>
      <c r="AT371" s="382"/>
      <c r="AU371" s="382"/>
      <c r="AV371" s="382"/>
      <c r="AW371" s="382"/>
      <c r="AX371" s="382"/>
      <c r="AY371" s="382"/>
      <c r="AZ371" s="382"/>
      <c r="BA371" s="382"/>
      <c r="BB371" s="382"/>
      <c r="BC371" s="382"/>
      <c r="BD371" s="382"/>
      <c r="BE371" s="382"/>
      <c r="BF371" s="382"/>
      <c r="BG371" s="382"/>
      <c r="BH371" s="382"/>
      <c r="BI371" s="382"/>
      <c r="BJ371" s="382"/>
      <c r="BK371" s="382"/>
      <c r="BL371" s="382"/>
      <c r="BM371" s="382"/>
      <c r="BN371" s="382"/>
      <c r="BO371" s="382"/>
      <c r="BP371" s="382"/>
      <c r="BQ371" s="382"/>
      <c r="BR371" s="382"/>
      <c r="BS371" s="382"/>
      <c r="BT371" s="382"/>
      <c r="BU371" s="496"/>
      <c r="BV371" s="382"/>
      <c r="BW371" s="382"/>
      <c r="BX371" s="382"/>
      <c r="BY371" s="382"/>
      <c r="BZ371" s="382"/>
      <c r="CA371" s="382"/>
      <c r="CB371" s="382"/>
      <c r="CC371" s="382"/>
      <c r="CD371" s="382"/>
      <c r="CE371" s="382"/>
      <c r="CF371" s="382"/>
      <c r="CG371" s="382"/>
      <c r="CH371" s="382"/>
      <c r="CI371" s="382"/>
      <c r="CJ371" s="382"/>
      <c r="CK371" s="382"/>
      <c r="CL371" s="382"/>
      <c r="CM371" s="382"/>
      <c r="CN371" s="382"/>
      <c r="CO371" s="382"/>
      <c r="CP371" s="382"/>
      <c r="CQ371" s="382"/>
      <c r="CR371" s="382"/>
      <c r="CS371" s="382"/>
      <c r="CT371" s="382"/>
      <c r="CU371" s="382"/>
      <c r="CV371" s="382"/>
      <c r="CW371" s="800"/>
      <c r="CX371" s="382"/>
      <c r="CY371" s="382"/>
      <c r="CZ371" s="382"/>
      <c r="DA371" s="382"/>
      <c r="DB371" s="382"/>
      <c r="DC371" s="382"/>
      <c r="DD371" s="382"/>
      <c r="DE371" s="382"/>
      <c r="DF371" s="382"/>
      <c r="DG371" s="382"/>
      <c r="DH371" s="382"/>
      <c r="DI371" s="382"/>
      <c r="DJ371" s="382"/>
      <c r="DK371" s="382"/>
      <c r="DL371" s="382"/>
      <c r="DM371" s="382"/>
      <c r="DN371" s="382"/>
      <c r="DO371" s="382"/>
      <c r="DP371" s="382"/>
      <c r="DQ371" s="382"/>
      <c r="DR371" s="382"/>
      <c r="DS371" s="382"/>
      <c r="DT371" s="382"/>
      <c r="DU371" s="382"/>
      <c r="DV371" s="382"/>
      <c r="DW371" s="382"/>
      <c r="DX371" s="382"/>
      <c r="DY371" s="382"/>
      <c r="DZ371" s="228"/>
    </row>
    <row r="372" spans="2:130" s="180" customFormat="1" ht="14.25" customHeight="1" x14ac:dyDescent="0.2">
      <c r="B372" s="800"/>
      <c r="C372" s="800"/>
      <c r="D372" s="800"/>
      <c r="E372" s="769"/>
      <c r="F372" s="769"/>
      <c r="G372" s="802"/>
      <c r="H372" s="802"/>
      <c r="I372" s="802"/>
      <c r="J372" s="802"/>
      <c r="K372" s="802"/>
      <c r="L372" s="802"/>
      <c r="M372" s="802"/>
      <c r="N372" s="802"/>
      <c r="O372" s="802"/>
      <c r="P372" s="802"/>
      <c r="Q372" s="802"/>
      <c r="R372" s="802"/>
      <c r="S372" s="803"/>
      <c r="T372" s="802"/>
      <c r="U372" s="802"/>
      <c r="V372" s="802"/>
      <c r="W372" s="802"/>
      <c r="X372" s="802"/>
      <c r="Y372" s="802"/>
      <c r="Z372" s="802"/>
      <c r="AA372" s="802"/>
      <c r="AB372" s="802"/>
      <c r="AC372" s="802"/>
      <c r="AD372" s="802"/>
      <c r="AE372" s="802"/>
      <c r="AF372" s="802"/>
      <c r="AG372" s="802"/>
      <c r="AH372" s="382"/>
      <c r="AI372" s="382"/>
      <c r="AJ372" s="382"/>
      <c r="AK372" s="382"/>
      <c r="AL372" s="382"/>
      <c r="AM372" s="382"/>
      <c r="AN372" s="382"/>
      <c r="AO372" s="382"/>
      <c r="AP372" s="382"/>
      <c r="AQ372" s="382"/>
      <c r="AR372" s="382"/>
      <c r="AS372" s="382"/>
      <c r="AT372" s="382"/>
      <c r="AU372" s="382"/>
      <c r="AV372" s="382"/>
      <c r="AW372" s="382"/>
      <c r="AX372" s="382"/>
      <c r="AY372" s="382"/>
      <c r="AZ372" s="382"/>
      <c r="BA372" s="382"/>
      <c r="BB372" s="382"/>
      <c r="BC372" s="382"/>
      <c r="BD372" s="382"/>
      <c r="BE372" s="382"/>
      <c r="BF372" s="382"/>
      <c r="BG372" s="382"/>
      <c r="BH372" s="382"/>
      <c r="BI372" s="382"/>
      <c r="BJ372" s="382"/>
      <c r="BK372" s="382"/>
      <c r="BL372" s="382"/>
      <c r="BM372" s="382"/>
      <c r="BN372" s="382"/>
      <c r="BO372" s="382"/>
      <c r="BP372" s="382"/>
      <c r="BQ372" s="382"/>
      <c r="BR372" s="382"/>
      <c r="BS372" s="382"/>
      <c r="BT372" s="382"/>
      <c r="BU372" s="496"/>
      <c r="BV372" s="382"/>
      <c r="BW372" s="382"/>
      <c r="BX372" s="382"/>
      <c r="BY372" s="382"/>
      <c r="BZ372" s="382"/>
      <c r="CA372" s="382"/>
      <c r="CB372" s="382"/>
      <c r="CC372" s="382"/>
      <c r="CD372" s="382"/>
      <c r="CE372" s="382"/>
      <c r="CF372" s="382"/>
      <c r="CG372" s="382"/>
      <c r="CH372" s="382"/>
      <c r="CI372" s="382"/>
      <c r="CJ372" s="382"/>
      <c r="CK372" s="382"/>
      <c r="CL372" s="382"/>
      <c r="CM372" s="382"/>
      <c r="CN372" s="382"/>
      <c r="CO372" s="382"/>
      <c r="CP372" s="382"/>
      <c r="CQ372" s="382"/>
      <c r="CR372" s="382"/>
      <c r="CS372" s="382"/>
      <c r="CT372" s="382"/>
      <c r="CU372" s="382"/>
      <c r="CV372" s="382"/>
      <c r="CW372" s="800"/>
      <c r="CX372" s="382"/>
      <c r="CY372" s="382"/>
      <c r="CZ372" s="382"/>
      <c r="DA372" s="382"/>
      <c r="DB372" s="382"/>
      <c r="DC372" s="382"/>
      <c r="DD372" s="382"/>
      <c r="DE372" s="382"/>
      <c r="DF372" s="382"/>
      <c r="DG372" s="382"/>
      <c r="DH372" s="382"/>
      <c r="DI372" s="382"/>
      <c r="DJ372" s="382"/>
      <c r="DK372" s="382"/>
      <c r="DL372" s="382"/>
      <c r="DM372" s="382"/>
      <c r="DN372" s="382"/>
      <c r="DO372" s="382"/>
      <c r="DP372" s="382"/>
      <c r="DQ372" s="382"/>
      <c r="DR372" s="382"/>
      <c r="DS372" s="382"/>
      <c r="DT372" s="382"/>
      <c r="DU372" s="382"/>
      <c r="DV372" s="382"/>
      <c r="DW372" s="382"/>
      <c r="DX372" s="382"/>
      <c r="DY372" s="382"/>
      <c r="DZ372" s="228"/>
    </row>
    <row r="373" spans="2:130" s="180" customFormat="1" ht="14.25" customHeight="1" x14ac:dyDescent="0.2">
      <c r="B373" s="800"/>
      <c r="C373" s="800"/>
      <c r="D373" s="800"/>
      <c r="E373" s="769"/>
      <c r="F373" s="769"/>
      <c r="G373" s="802"/>
      <c r="H373" s="802"/>
      <c r="I373" s="802"/>
      <c r="J373" s="802"/>
      <c r="K373" s="802"/>
      <c r="L373" s="802"/>
      <c r="M373" s="802"/>
      <c r="N373" s="802"/>
      <c r="O373" s="802"/>
      <c r="P373" s="802"/>
      <c r="Q373" s="802"/>
      <c r="R373" s="802"/>
      <c r="S373" s="803"/>
      <c r="T373" s="802"/>
      <c r="U373" s="802"/>
      <c r="V373" s="802"/>
      <c r="W373" s="802"/>
      <c r="X373" s="802"/>
      <c r="Y373" s="802"/>
      <c r="Z373" s="802"/>
      <c r="AA373" s="802"/>
      <c r="AB373" s="802"/>
      <c r="AC373" s="802"/>
      <c r="AD373" s="802"/>
      <c r="AE373" s="802"/>
      <c r="AF373" s="802"/>
      <c r="AG373" s="802"/>
      <c r="AH373" s="382"/>
      <c r="AI373" s="382"/>
      <c r="AJ373" s="382"/>
      <c r="AK373" s="382"/>
      <c r="AL373" s="382"/>
      <c r="AM373" s="382"/>
      <c r="AN373" s="382"/>
      <c r="AO373" s="382"/>
      <c r="AP373" s="382"/>
      <c r="AQ373" s="382"/>
      <c r="AR373" s="382"/>
      <c r="AS373" s="382"/>
      <c r="AT373" s="382"/>
      <c r="AU373" s="382"/>
      <c r="AV373" s="382"/>
      <c r="AW373" s="382"/>
      <c r="AX373" s="382"/>
      <c r="AY373" s="382"/>
      <c r="AZ373" s="382"/>
      <c r="BA373" s="382"/>
      <c r="BB373" s="382"/>
      <c r="BC373" s="382"/>
      <c r="BD373" s="382"/>
      <c r="BE373" s="382"/>
      <c r="BF373" s="382"/>
      <c r="BG373" s="382"/>
      <c r="BH373" s="382"/>
      <c r="BI373" s="382"/>
      <c r="BJ373" s="382"/>
      <c r="BK373" s="382"/>
      <c r="BL373" s="382"/>
      <c r="BM373" s="382"/>
      <c r="BN373" s="382"/>
      <c r="BO373" s="382"/>
      <c r="BP373" s="382"/>
      <c r="BQ373" s="382"/>
      <c r="BR373" s="382"/>
      <c r="BS373" s="382"/>
      <c r="BT373" s="382"/>
      <c r="BU373" s="496"/>
      <c r="BV373" s="382"/>
      <c r="BW373" s="382"/>
      <c r="BX373" s="382"/>
      <c r="BY373" s="382"/>
      <c r="BZ373" s="382"/>
      <c r="CA373" s="382"/>
      <c r="CB373" s="382"/>
      <c r="CC373" s="382"/>
      <c r="CD373" s="382"/>
      <c r="CE373" s="382"/>
      <c r="CF373" s="382"/>
      <c r="CG373" s="382"/>
      <c r="CH373" s="382"/>
      <c r="CI373" s="382"/>
      <c r="CJ373" s="382"/>
      <c r="CK373" s="382"/>
      <c r="CL373" s="382"/>
      <c r="CM373" s="382"/>
      <c r="CN373" s="382"/>
      <c r="CO373" s="382"/>
      <c r="CP373" s="382"/>
      <c r="CQ373" s="382"/>
      <c r="CR373" s="382"/>
      <c r="CS373" s="382"/>
      <c r="CT373" s="382"/>
      <c r="CU373" s="382"/>
      <c r="CV373" s="382"/>
      <c r="CW373" s="800"/>
      <c r="CX373" s="382"/>
      <c r="CY373" s="382"/>
      <c r="CZ373" s="382"/>
      <c r="DA373" s="382"/>
      <c r="DB373" s="382"/>
      <c r="DC373" s="382"/>
      <c r="DD373" s="382"/>
      <c r="DE373" s="382"/>
      <c r="DF373" s="382"/>
      <c r="DG373" s="382"/>
      <c r="DH373" s="382"/>
      <c r="DI373" s="382"/>
      <c r="DJ373" s="382"/>
      <c r="DK373" s="382"/>
      <c r="DL373" s="382"/>
      <c r="DM373" s="382"/>
      <c r="DN373" s="382"/>
      <c r="DO373" s="382"/>
      <c r="DP373" s="382"/>
      <c r="DQ373" s="382"/>
      <c r="DR373" s="382"/>
      <c r="DS373" s="382"/>
      <c r="DT373" s="382"/>
      <c r="DU373" s="382"/>
      <c r="DV373" s="382"/>
      <c r="DW373" s="382"/>
      <c r="DX373" s="382"/>
      <c r="DY373" s="382"/>
      <c r="DZ373" s="228"/>
    </row>
    <row r="374" spans="2:130" s="180" customFormat="1" x14ac:dyDescent="0.2">
      <c r="B374" s="800"/>
      <c r="C374" s="800"/>
      <c r="D374" s="800"/>
      <c r="E374" s="769"/>
      <c r="F374" s="769"/>
      <c r="G374" s="802"/>
      <c r="H374" s="802"/>
      <c r="I374" s="802"/>
      <c r="J374" s="802"/>
      <c r="K374" s="802"/>
      <c r="L374" s="802"/>
      <c r="M374" s="802"/>
      <c r="N374" s="802"/>
      <c r="O374" s="802"/>
      <c r="P374" s="802"/>
      <c r="Q374" s="802"/>
      <c r="R374" s="802"/>
      <c r="S374" s="803"/>
      <c r="T374" s="802"/>
      <c r="U374" s="802"/>
      <c r="V374" s="802"/>
      <c r="W374" s="802"/>
      <c r="X374" s="802"/>
      <c r="Y374" s="802"/>
      <c r="Z374" s="802"/>
      <c r="AA374" s="802"/>
      <c r="AB374" s="802"/>
      <c r="AC374" s="802"/>
      <c r="AD374" s="802"/>
      <c r="AE374" s="802"/>
      <c r="AF374" s="802"/>
      <c r="AG374" s="802"/>
      <c r="AH374" s="382"/>
      <c r="AI374" s="382"/>
      <c r="AJ374" s="382"/>
      <c r="AK374" s="382"/>
      <c r="AL374" s="382"/>
      <c r="AM374" s="382"/>
      <c r="AN374" s="382"/>
      <c r="AO374" s="382"/>
      <c r="AP374" s="382"/>
      <c r="AQ374" s="382"/>
      <c r="AR374" s="382"/>
      <c r="AS374" s="382"/>
      <c r="AT374" s="382"/>
      <c r="AU374" s="382"/>
      <c r="AV374" s="382"/>
      <c r="AW374" s="382"/>
      <c r="AX374" s="382"/>
      <c r="AY374" s="382"/>
      <c r="AZ374" s="382"/>
      <c r="BA374" s="382"/>
      <c r="BB374" s="382"/>
      <c r="BC374" s="382"/>
      <c r="BD374" s="382"/>
      <c r="BE374" s="382"/>
      <c r="BF374" s="382"/>
      <c r="BG374" s="382"/>
      <c r="BH374" s="382"/>
      <c r="BI374" s="382"/>
      <c r="BJ374" s="382"/>
      <c r="BK374" s="382"/>
      <c r="BL374" s="382"/>
      <c r="BM374" s="382"/>
      <c r="BN374" s="382"/>
      <c r="BO374" s="382"/>
      <c r="BP374" s="382"/>
      <c r="BQ374" s="382"/>
      <c r="BR374" s="382"/>
      <c r="BS374" s="382"/>
      <c r="BT374" s="382"/>
      <c r="BU374" s="496"/>
      <c r="BV374" s="382"/>
      <c r="BW374" s="382"/>
      <c r="BX374" s="382"/>
      <c r="BY374" s="382"/>
      <c r="BZ374" s="382"/>
      <c r="CA374" s="382"/>
      <c r="CB374" s="382"/>
      <c r="CC374" s="382"/>
      <c r="CD374" s="382"/>
      <c r="CE374" s="382"/>
      <c r="CF374" s="382"/>
      <c r="CG374" s="382"/>
      <c r="CH374" s="382"/>
      <c r="CI374" s="382"/>
      <c r="CJ374" s="382"/>
      <c r="CK374" s="382"/>
      <c r="CL374" s="382"/>
      <c r="CM374" s="382"/>
      <c r="CN374" s="382"/>
      <c r="CO374" s="382"/>
      <c r="CP374" s="382"/>
      <c r="CQ374" s="382"/>
      <c r="CR374" s="382"/>
      <c r="CS374" s="382"/>
      <c r="CT374" s="382"/>
      <c r="CU374" s="382"/>
      <c r="CV374" s="382"/>
      <c r="CW374" s="800"/>
      <c r="CX374" s="382"/>
      <c r="CY374" s="382"/>
      <c r="CZ374" s="382"/>
      <c r="DA374" s="382"/>
      <c r="DB374" s="382"/>
      <c r="DC374" s="382"/>
      <c r="DD374" s="382"/>
      <c r="DE374" s="382"/>
      <c r="DF374" s="382"/>
      <c r="DG374" s="382"/>
      <c r="DH374" s="382"/>
      <c r="DI374" s="382"/>
      <c r="DJ374" s="382"/>
      <c r="DK374" s="382"/>
      <c r="DL374" s="382"/>
      <c r="DM374" s="382"/>
      <c r="DN374" s="382"/>
      <c r="DO374" s="382"/>
      <c r="DP374" s="382"/>
      <c r="DQ374" s="382"/>
      <c r="DR374" s="382"/>
      <c r="DS374" s="382"/>
      <c r="DT374" s="382"/>
      <c r="DU374" s="382"/>
      <c r="DV374" s="382"/>
      <c r="DW374" s="382"/>
      <c r="DX374" s="382"/>
      <c r="DY374" s="382"/>
      <c r="DZ374" s="228"/>
    </row>
    <row r="375" spans="2:130" s="180" customFormat="1" x14ac:dyDescent="0.2">
      <c r="B375" s="800"/>
      <c r="C375" s="800"/>
      <c r="D375" s="800"/>
      <c r="E375" s="769"/>
      <c r="F375" s="769"/>
      <c r="G375" s="802"/>
      <c r="H375" s="802"/>
      <c r="I375" s="802"/>
      <c r="J375" s="802"/>
      <c r="K375" s="802"/>
      <c r="L375" s="802"/>
      <c r="M375" s="802"/>
      <c r="N375" s="802"/>
      <c r="O375" s="802"/>
      <c r="P375" s="802"/>
      <c r="Q375" s="802"/>
      <c r="R375" s="802"/>
      <c r="S375" s="803"/>
      <c r="T375" s="802"/>
      <c r="U375" s="802"/>
      <c r="V375" s="802"/>
      <c r="W375" s="802"/>
      <c r="X375" s="802"/>
      <c r="Y375" s="802"/>
      <c r="Z375" s="802"/>
      <c r="AA375" s="802"/>
      <c r="AB375" s="802"/>
      <c r="AC375" s="802"/>
      <c r="AD375" s="802"/>
      <c r="AE375" s="802"/>
      <c r="AF375" s="802"/>
      <c r="AG375" s="802"/>
      <c r="AH375" s="382"/>
      <c r="AI375" s="382"/>
      <c r="AJ375" s="382"/>
      <c r="AK375" s="382"/>
      <c r="AL375" s="382"/>
      <c r="AM375" s="382"/>
      <c r="AN375" s="382"/>
      <c r="AO375" s="382"/>
      <c r="AP375" s="382"/>
      <c r="AQ375" s="382"/>
      <c r="AR375" s="382"/>
      <c r="AS375" s="382"/>
      <c r="AT375" s="382"/>
      <c r="AU375" s="382"/>
      <c r="AV375" s="382"/>
      <c r="AW375" s="382"/>
      <c r="AX375" s="382"/>
      <c r="AY375" s="382"/>
      <c r="AZ375" s="382"/>
      <c r="BA375" s="382"/>
      <c r="BB375" s="382"/>
      <c r="BC375" s="382"/>
      <c r="BD375" s="382"/>
      <c r="BE375" s="382"/>
      <c r="BF375" s="382"/>
      <c r="BG375" s="382"/>
      <c r="BH375" s="382"/>
      <c r="BI375" s="382"/>
      <c r="BJ375" s="382"/>
      <c r="BK375" s="382"/>
      <c r="BL375" s="382"/>
      <c r="BM375" s="382"/>
      <c r="BN375" s="382"/>
      <c r="BO375" s="382"/>
      <c r="BP375" s="382"/>
      <c r="BQ375" s="382"/>
      <c r="BR375" s="382"/>
      <c r="BS375" s="382"/>
      <c r="BT375" s="382"/>
      <c r="BU375" s="496"/>
      <c r="BV375" s="382"/>
      <c r="BW375" s="382"/>
      <c r="BX375" s="382"/>
      <c r="BY375" s="382"/>
      <c r="BZ375" s="382"/>
      <c r="CA375" s="382"/>
      <c r="CB375" s="382"/>
      <c r="CC375" s="382"/>
      <c r="CD375" s="382"/>
      <c r="CE375" s="382"/>
      <c r="CF375" s="382"/>
      <c r="CG375" s="382"/>
      <c r="CH375" s="382"/>
      <c r="CI375" s="382"/>
      <c r="CJ375" s="382"/>
      <c r="CK375" s="382"/>
      <c r="CL375" s="382"/>
      <c r="CM375" s="382"/>
      <c r="CN375" s="382"/>
      <c r="CO375" s="382"/>
      <c r="CP375" s="382"/>
      <c r="CQ375" s="382"/>
      <c r="CR375" s="382"/>
      <c r="CS375" s="382"/>
      <c r="CT375" s="382"/>
      <c r="CU375" s="382"/>
      <c r="CV375" s="382"/>
      <c r="CW375" s="800"/>
      <c r="CX375" s="382"/>
      <c r="CY375" s="382"/>
      <c r="CZ375" s="382"/>
      <c r="DA375" s="382"/>
      <c r="DB375" s="382"/>
      <c r="DC375" s="382"/>
      <c r="DD375" s="382"/>
      <c r="DE375" s="382"/>
      <c r="DF375" s="382"/>
      <c r="DG375" s="382"/>
      <c r="DH375" s="382"/>
      <c r="DI375" s="382"/>
      <c r="DJ375" s="382"/>
      <c r="DK375" s="382"/>
      <c r="DL375" s="382"/>
      <c r="DM375" s="382"/>
      <c r="DN375" s="382"/>
      <c r="DO375" s="382"/>
      <c r="DP375" s="382"/>
      <c r="DQ375" s="382"/>
      <c r="DR375" s="382"/>
      <c r="DS375" s="382"/>
      <c r="DT375" s="382"/>
      <c r="DU375" s="382"/>
      <c r="DV375" s="382"/>
      <c r="DW375" s="382"/>
      <c r="DX375" s="382"/>
      <c r="DY375" s="382"/>
      <c r="DZ375" s="228"/>
    </row>
    <row r="376" spans="2:130" s="180" customFormat="1" x14ac:dyDescent="0.2">
      <c r="B376" s="800"/>
      <c r="C376" s="800"/>
      <c r="D376" s="800"/>
      <c r="E376" s="769"/>
      <c r="F376" s="769"/>
      <c r="G376" s="802"/>
      <c r="H376" s="802"/>
      <c r="I376" s="802"/>
      <c r="J376" s="802"/>
      <c r="K376" s="802"/>
      <c r="L376" s="802"/>
      <c r="M376" s="802"/>
      <c r="N376" s="802"/>
      <c r="O376" s="802"/>
      <c r="P376" s="802"/>
      <c r="Q376" s="802"/>
      <c r="R376" s="802"/>
      <c r="S376" s="803"/>
      <c r="T376" s="802"/>
      <c r="U376" s="802"/>
      <c r="V376" s="802"/>
      <c r="W376" s="802"/>
      <c r="X376" s="802"/>
      <c r="Y376" s="802"/>
      <c r="Z376" s="802"/>
      <c r="AA376" s="802"/>
      <c r="AB376" s="802"/>
      <c r="AC376" s="802"/>
      <c r="AD376" s="802"/>
      <c r="AE376" s="802"/>
      <c r="AF376" s="802"/>
      <c r="AG376" s="802"/>
      <c r="AH376" s="382"/>
      <c r="AI376" s="382"/>
      <c r="AJ376" s="382"/>
      <c r="AK376" s="382"/>
      <c r="AL376" s="382"/>
      <c r="AM376" s="382"/>
      <c r="AN376" s="382"/>
      <c r="AO376" s="382"/>
      <c r="AP376" s="382"/>
      <c r="AQ376" s="382"/>
      <c r="AR376" s="382"/>
      <c r="AS376" s="382"/>
      <c r="AT376" s="382"/>
      <c r="AU376" s="382"/>
      <c r="AV376" s="382"/>
      <c r="AW376" s="382"/>
      <c r="AX376" s="382"/>
      <c r="AY376" s="382"/>
      <c r="AZ376" s="382"/>
      <c r="BA376" s="382"/>
      <c r="BB376" s="382"/>
      <c r="BC376" s="382"/>
      <c r="BD376" s="382"/>
      <c r="BE376" s="382"/>
      <c r="BF376" s="382"/>
      <c r="BG376" s="382"/>
      <c r="BH376" s="382"/>
      <c r="BI376" s="382"/>
      <c r="BJ376" s="382"/>
      <c r="BK376" s="382"/>
      <c r="BL376" s="382"/>
      <c r="BM376" s="382"/>
      <c r="BN376" s="382"/>
      <c r="BO376" s="382"/>
      <c r="BP376" s="382"/>
      <c r="BQ376" s="382"/>
      <c r="BR376" s="382"/>
      <c r="BS376" s="382"/>
      <c r="BT376" s="382"/>
      <c r="BU376" s="496"/>
      <c r="BV376" s="382"/>
      <c r="BW376" s="382"/>
      <c r="BX376" s="382"/>
      <c r="BY376" s="382"/>
      <c r="BZ376" s="382"/>
      <c r="CA376" s="382"/>
      <c r="CB376" s="382"/>
      <c r="CC376" s="382"/>
      <c r="CD376" s="382"/>
      <c r="CE376" s="382"/>
      <c r="CF376" s="382"/>
      <c r="CG376" s="382"/>
      <c r="CH376" s="382"/>
      <c r="CI376" s="382"/>
      <c r="CJ376" s="382"/>
      <c r="CK376" s="382"/>
      <c r="CL376" s="382"/>
      <c r="CM376" s="382"/>
      <c r="CN376" s="382"/>
      <c r="CO376" s="382"/>
      <c r="CP376" s="382"/>
      <c r="CQ376" s="382"/>
      <c r="CR376" s="382"/>
      <c r="CS376" s="382"/>
      <c r="CT376" s="382"/>
      <c r="CU376" s="382"/>
      <c r="CV376" s="382"/>
      <c r="CW376" s="800"/>
      <c r="CX376" s="382"/>
      <c r="CY376" s="382"/>
      <c r="CZ376" s="382"/>
      <c r="DA376" s="382"/>
      <c r="DB376" s="382"/>
      <c r="DC376" s="382"/>
      <c r="DD376" s="382"/>
      <c r="DE376" s="382"/>
      <c r="DF376" s="382"/>
      <c r="DG376" s="382"/>
      <c r="DH376" s="382"/>
      <c r="DI376" s="382"/>
      <c r="DJ376" s="382"/>
      <c r="DK376" s="382"/>
      <c r="DL376" s="382"/>
      <c r="DM376" s="382"/>
      <c r="DN376" s="382"/>
      <c r="DO376" s="382"/>
      <c r="DP376" s="382"/>
      <c r="DQ376" s="382"/>
      <c r="DR376" s="382"/>
      <c r="DS376" s="382"/>
      <c r="DT376" s="382"/>
      <c r="DU376" s="382"/>
      <c r="DV376" s="382"/>
      <c r="DW376" s="382"/>
      <c r="DX376" s="382"/>
      <c r="DY376" s="382"/>
      <c r="DZ376" s="228"/>
    </row>
    <row r="377" spans="2:130" s="180" customFormat="1" x14ac:dyDescent="0.2">
      <c r="B377" s="800"/>
      <c r="C377" s="800"/>
      <c r="D377" s="800"/>
      <c r="E377" s="769"/>
      <c r="F377" s="769"/>
      <c r="G377" s="802"/>
      <c r="H377" s="802"/>
      <c r="I377" s="802"/>
      <c r="J377" s="802"/>
      <c r="K377" s="802"/>
      <c r="L377" s="802"/>
      <c r="M377" s="802"/>
      <c r="N377" s="802"/>
      <c r="O377" s="802"/>
      <c r="P377" s="802"/>
      <c r="Q377" s="802"/>
      <c r="R377" s="802"/>
      <c r="S377" s="803"/>
      <c r="T377" s="802"/>
      <c r="U377" s="802"/>
      <c r="V377" s="802"/>
      <c r="W377" s="802"/>
      <c r="X377" s="802"/>
      <c r="Y377" s="802"/>
      <c r="Z377" s="802"/>
      <c r="AA377" s="802"/>
      <c r="AB377" s="802"/>
      <c r="AC377" s="802"/>
      <c r="AD377" s="802"/>
      <c r="AE377" s="802"/>
      <c r="AF377" s="802"/>
      <c r="AG377" s="802"/>
      <c r="AH377" s="382"/>
      <c r="AI377" s="382"/>
      <c r="AJ377" s="382"/>
      <c r="AK377" s="382"/>
      <c r="AL377" s="382"/>
      <c r="AM377" s="382"/>
      <c r="AN377" s="382"/>
      <c r="AO377" s="382"/>
      <c r="AP377" s="382"/>
      <c r="AQ377" s="382"/>
      <c r="AR377" s="382"/>
      <c r="AS377" s="382"/>
      <c r="AT377" s="382"/>
      <c r="AU377" s="382"/>
      <c r="AV377" s="382"/>
      <c r="AW377" s="382"/>
      <c r="AX377" s="382"/>
      <c r="AY377" s="382"/>
      <c r="AZ377" s="382"/>
      <c r="BA377" s="382"/>
      <c r="BB377" s="382"/>
      <c r="BC377" s="382"/>
      <c r="BD377" s="382"/>
      <c r="BE377" s="382"/>
      <c r="BF377" s="382"/>
      <c r="BG377" s="382"/>
      <c r="BH377" s="382"/>
      <c r="BI377" s="382"/>
      <c r="BJ377" s="382"/>
      <c r="BK377" s="382"/>
      <c r="BL377" s="382"/>
      <c r="BM377" s="382"/>
      <c r="BN377" s="382"/>
      <c r="BO377" s="382"/>
      <c r="BP377" s="382"/>
      <c r="BQ377" s="382"/>
      <c r="BR377" s="382"/>
      <c r="BS377" s="382"/>
      <c r="BT377" s="382"/>
      <c r="BU377" s="496"/>
      <c r="BV377" s="382"/>
      <c r="BW377" s="382"/>
      <c r="BX377" s="382"/>
      <c r="BY377" s="382"/>
      <c r="BZ377" s="382"/>
      <c r="CA377" s="382"/>
      <c r="CB377" s="382"/>
      <c r="CC377" s="382"/>
      <c r="CD377" s="382"/>
      <c r="CE377" s="382"/>
      <c r="CF377" s="382"/>
      <c r="CG377" s="382"/>
      <c r="CH377" s="382"/>
      <c r="CI377" s="382"/>
      <c r="CJ377" s="382"/>
      <c r="CK377" s="382"/>
      <c r="CL377" s="382"/>
      <c r="CM377" s="382"/>
      <c r="CN377" s="382"/>
      <c r="CO377" s="382"/>
      <c r="CP377" s="382"/>
      <c r="CQ377" s="382"/>
      <c r="CR377" s="382"/>
      <c r="CS377" s="382"/>
      <c r="CT377" s="382"/>
      <c r="CU377" s="382"/>
      <c r="CV377" s="382"/>
      <c r="CW377" s="800"/>
      <c r="CX377" s="382"/>
      <c r="CY377" s="382"/>
      <c r="CZ377" s="382"/>
      <c r="DA377" s="382"/>
      <c r="DB377" s="382"/>
      <c r="DC377" s="382"/>
      <c r="DD377" s="382"/>
      <c r="DE377" s="382"/>
      <c r="DF377" s="382"/>
      <c r="DG377" s="382"/>
      <c r="DH377" s="382"/>
      <c r="DI377" s="382"/>
      <c r="DJ377" s="382"/>
      <c r="DK377" s="382"/>
      <c r="DL377" s="382"/>
      <c r="DM377" s="382"/>
      <c r="DN377" s="382"/>
      <c r="DO377" s="382"/>
      <c r="DP377" s="382"/>
      <c r="DQ377" s="382"/>
      <c r="DR377" s="382"/>
      <c r="DS377" s="382"/>
      <c r="DT377" s="382"/>
      <c r="DU377" s="382"/>
      <c r="DV377" s="382"/>
      <c r="DW377" s="382"/>
      <c r="DX377" s="382"/>
      <c r="DY377" s="382"/>
      <c r="DZ377" s="228"/>
    </row>
    <row r="378" spans="2:130" s="180" customFormat="1" x14ac:dyDescent="0.2">
      <c r="D378" s="805"/>
      <c r="E378" s="805"/>
      <c r="F378" s="805"/>
      <c r="G378" s="805"/>
      <c r="H378" s="805"/>
      <c r="I378" s="805"/>
      <c r="J378" s="805"/>
      <c r="K378" s="805"/>
      <c r="L378" s="805"/>
      <c r="M378" s="805"/>
      <c r="N378" s="806"/>
      <c r="O378" s="805"/>
      <c r="P378" s="805"/>
      <c r="Q378" s="807"/>
      <c r="R378" s="807"/>
      <c r="S378" s="808"/>
      <c r="T378" s="805"/>
      <c r="U378" s="805"/>
      <c r="V378" s="805"/>
      <c r="W378" s="805"/>
      <c r="X378" s="805"/>
      <c r="Y378" s="297"/>
      <c r="AB378" s="382"/>
      <c r="AC378" s="382"/>
      <c r="AD378" s="496"/>
      <c r="AE378" s="382"/>
      <c r="AF378" s="382"/>
      <c r="AG378" s="382"/>
      <c r="AH378" s="382"/>
      <c r="AI378" s="382"/>
      <c r="AJ378" s="382"/>
      <c r="AK378" s="382"/>
      <c r="AL378" s="382"/>
      <c r="AM378" s="382"/>
      <c r="AN378" s="382"/>
      <c r="AO378" s="382"/>
      <c r="AP378" s="382"/>
      <c r="AQ378" s="382"/>
      <c r="AR378" s="382"/>
      <c r="AS378" s="382"/>
      <c r="AT378" s="382"/>
      <c r="AU378" s="382"/>
      <c r="AV378" s="382"/>
      <c r="AW378" s="382"/>
      <c r="AX378" s="382"/>
      <c r="AY378" s="382"/>
      <c r="AZ378" s="382"/>
      <c r="BA378" s="382"/>
      <c r="BB378" s="382"/>
      <c r="BC378" s="382"/>
      <c r="BD378" s="382"/>
      <c r="BE378" s="382"/>
      <c r="BF378" s="382"/>
      <c r="BG378" s="382"/>
      <c r="BH378" s="382"/>
      <c r="BI378" s="382"/>
      <c r="BJ378" s="382"/>
      <c r="BK378" s="382"/>
      <c r="BL378" s="382"/>
      <c r="BM378" s="382"/>
      <c r="BN378" s="382"/>
      <c r="BO378" s="382"/>
      <c r="BP378" s="382"/>
      <c r="BQ378" s="382"/>
      <c r="BR378" s="382"/>
      <c r="BS378" s="382"/>
      <c r="BT378" s="382"/>
      <c r="BU378" s="496"/>
      <c r="BV378" s="382"/>
      <c r="BW378" s="382"/>
      <c r="BX378" s="382"/>
      <c r="BY378" s="382"/>
      <c r="BZ378" s="382"/>
      <c r="CA378" s="382"/>
      <c r="CB378" s="382"/>
      <c r="CC378" s="382"/>
      <c r="CD378" s="382"/>
      <c r="CE378" s="382"/>
      <c r="CF378" s="382"/>
      <c r="CG378" s="382"/>
      <c r="CH378" s="382"/>
      <c r="CI378" s="382"/>
      <c r="CJ378" s="382"/>
      <c r="CK378" s="382"/>
      <c r="CL378" s="382"/>
      <c r="CM378" s="382"/>
      <c r="CN378" s="382"/>
      <c r="CO378" s="382"/>
      <c r="CP378" s="382"/>
      <c r="CQ378" s="382"/>
      <c r="CR378" s="382"/>
      <c r="CS378" s="382"/>
      <c r="CT378" s="382"/>
      <c r="CU378" s="382"/>
      <c r="CV378" s="382"/>
      <c r="CW378" s="189"/>
      <c r="CX378" s="382"/>
      <c r="CY378" s="382"/>
      <c r="CZ378" s="382"/>
      <c r="DA378" s="382"/>
      <c r="DB378" s="382"/>
      <c r="DC378" s="382"/>
      <c r="DD378" s="382"/>
      <c r="DE378" s="382"/>
      <c r="DF378" s="382"/>
      <c r="DG378" s="382"/>
      <c r="DH378" s="382"/>
      <c r="DI378" s="382"/>
      <c r="DJ378" s="382"/>
      <c r="DK378" s="382"/>
      <c r="DL378" s="382"/>
      <c r="DM378" s="382"/>
      <c r="DN378" s="382"/>
      <c r="DO378" s="382"/>
      <c r="DP378" s="382"/>
      <c r="DQ378" s="382"/>
      <c r="DR378" s="382"/>
      <c r="DS378" s="382"/>
      <c r="DT378" s="382"/>
      <c r="DU378" s="382"/>
      <c r="DV378" s="382"/>
      <c r="DW378" s="382"/>
      <c r="DX378" s="382"/>
      <c r="DY378" s="382"/>
      <c r="DZ378" s="228"/>
    </row>
    <row r="379" spans="2:130" s="180" customFormat="1" x14ac:dyDescent="0.2">
      <c r="D379" s="805"/>
      <c r="E379" s="805"/>
      <c r="F379" s="805"/>
      <c r="G379" s="805"/>
      <c r="H379" s="805"/>
      <c r="I379" s="805"/>
      <c r="J379" s="805"/>
      <c r="K379" s="805"/>
      <c r="L379" s="805"/>
      <c r="M379" s="805"/>
      <c r="N379" s="806"/>
      <c r="O379" s="805"/>
      <c r="P379" s="805"/>
      <c r="Q379" s="807"/>
      <c r="R379" s="807"/>
      <c r="S379" s="808"/>
      <c r="T379" s="805"/>
      <c r="U379" s="805"/>
      <c r="V379" s="805"/>
      <c r="W379" s="805"/>
      <c r="X379" s="805"/>
      <c r="Y379" s="297"/>
      <c r="AB379" s="382"/>
      <c r="AC379" s="382"/>
      <c r="AD379" s="496"/>
      <c r="AE379" s="382"/>
      <c r="AF379" s="382"/>
      <c r="AG379" s="382"/>
      <c r="AH379" s="382"/>
      <c r="AI379" s="382"/>
      <c r="AJ379" s="382"/>
      <c r="AK379" s="382"/>
      <c r="AL379" s="382"/>
      <c r="AM379" s="382"/>
      <c r="AN379" s="382"/>
      <c r="AO379" s="382"/>
      <c r="AP379" s="382"/>
      <c r="AQ379" s="382"/>
      <c r="AR379" s="382"/>
      <c r="AS379" s="382"/>
      <c r="AT379" s="382"/>
      <c r="AU379" s="382"/>
      <c r="AV379" s="382"/>
      <c r="AW379" s="382"/>
      <c r="AX379" s="382"/>
      <c r="AY379" s="382"/>
      <c r="AZ379" s="382"/>
      <c r="BA379" s="382"/>
      <c r="BB379" s="382"/>
      <c r="BC379" s="382"/>
      <c r="BD379" s="382"/>
      <c r="BE379" s="382"/>
      <c r="BF379" s="382"/>
      <c r="BG379" s="382"/>
      <c r="BH379" s="382"/>
      <c r="BI379" s="382"/>
      <c r="BJ379" s="382"/>
      <c r="BK379" s="382"/>
      <c r="BL379" s="382"/>
      <c r="BM379" s="382"/>
      <c r="BN379" s="382"/>
      <c r="BO379" s="382"/>
      <c r="BP379" s="382"/>
      <c r="BQ379" s="382"/>
      <c r="BR379" s="382"/>
      <c r="BS379" s="382"/>
      <c r="BT379" s="382"/>
      <c r="BU379" s="496"/>
      <c r="BV379" s="382"/>
      <c r="BW379" s="382"/>
      <c r="BX379" s="382"/>
      <c r="BY379" s="382"/>
      <c r="BZ379" s="382"/>
      <c r="CA379" s="382"/>
      <c r="CB379" s="382"/>
      <c r="CC379" s="382"/>
      <c r="CD379" s="382"/>
      <c r="CE379" s="382"/>
      <c r="CF379" s="382"/>
      <c r="CG379" s="382"/>
      <c r="CH379" s="382"/>
      <c r="CI379" s="382"/>
      <c r="CJ379" s="382"/>
      <c r="CK379" s="382"/>
      <c r="CL379" s="382"/>
      <c r="CM379" s="382"/>
      <c r="CN379" s="382"/>
      <c r="CO379" s="382"/>
      <c r="CP379" s="382"/>
      <c r="CQ379" s="382"/>
      <c r="CR379" s="382"/>
      <c r="CS379" s="382"/>
      <c r="CT379" s="382"/>
      <c r="CU379" s="382"/>
      <c r="CV379" s="382"/>
      <c r="CW379" s="189"/>
      <c r="CX379" s="382"/>
      <c r="CY379" s="382"/>
      <c r="CZ379" s="382"/>
      <c r="DA379" s="382"/>
      <c r="DB379" s="382"/>
      <c r="DC379" s="382"/>
      <c r="DD379" s="382"/>
      <c r="DE379" s="382"/>
      <c r="DF379" s="382"/>
      <c r="DG379" s="382"/>
      <c r="DH379" s="382"/>
      <c r="DI379" s="382"/>
      <c r="DJ379" s="382"/>
      <c r="DK379" s="382"/>
      <c r="DL379" s="382"/>
      <c r="DM379" s="382"/>
      <c r="DN379" s="382"/>
      <c r="DO379" s="382"/>
      <c r="DP379" s="382"/>
      <c r="DQ379" s="382"/>
      <c r="DR379" s="382"/>
      <c r="DS379" s="382"/>
      <c r="DT379" s="382"/>
      <c r="DU379" s="382"/>
      <c r="DV379" s="382"/>
      <c r="DW379" s="382"/>
      <c r="DX379" s="382"/>
      <c r="DY379" s="382"/>
      <c r="DZ379" s="228"/>
    </row>
    <row r="380" spans="2:130" s="180" customFormat="1" x14ac:dyDescent="0.2">
      <c r="D380" s="805"/>
      <c r="E380" s="805"/>
      <c r="F380" s="805"/>
      <c r="G380" s="805"/>
      <c r="H380" s="805"/>
      <c r="I380" s="805"/>
      <c r="J380" s="805"/>
      <c r="K380" s="805"/>
      <c r="L380" s="805"/>
      <c r="M380" s="805"/>
      <c r="N380" s="806"/>
      <c r="O380" s="805"/>
      <c r="P380" s="805"/>
      <c r="Q380" s="807"/>
      <c r="R380" s="807"/>
      <c r="S380" s="808"/>
      <c r="T380" s="805"/>
      <c r="U380" s="805"/>
      <c r="V380" s="805"/>
      <c r="W380" s="805"/>
      <c r="X380" s="805"/>
      <c r="Y380" s="297"/>
      <c r="AB380" s="382"/>
      <c r="AC380" s="382"/>
      <c r="AD380" s="496"/>
      <c r="AE380" s="382"/>
      <c r="AF380" s="382"/>
      <c r="AG380" s="382"/>
      <c r="AH380" s="382"/>
      <c r="AI380" s="382"/>
      <c r="AJ380" s="382"/>
      <c r="AK380" s="382"/>
      <c r="AL380" s="382"/>
      <c r="AM380" s="382"/>
      <c r="AN380" s="382"/>
      <c r="AO380" s="382"/>
      <c r="AP380" s="382"/>
      <c r="AQ380" s="382"/>
      <c r="AR380" s="382"/>
      <c r="AS380" s="382"/>
      <c r="AT380" s="382"/>
      <c r="AU380" s="382"/>
      <c r="AV380" s="382"/>
      <c r="AW380" s="382"/>
      <c r="AX380" s="382"/>
      <c r="AY380" s="382"/>
      <c r="AZ380" s="382"/>
      <c r="BA380" s="382"/>
      <c r="BB380" s="382"/>
      <c r="BC380" s="382"/>
      <c r="BD380" s="382"/>
      <c r="BE380" s="382"/>
      <c r="BF380" s="382"/>
      <c r="BG380" s="382"/>
      <c r="BH380" s="382"/>
      <c r="BI380" s="382"/>
      <c r="BJ380" s="382"/>
      <c r="BK380" s="382"/>
      <c r="BL380" s="382"/>
      <c r="BM380" s="382"/>
      <c r="BN380" s="382"/>
      <c r="BO380" s="382"/>
      <c r="BP380" s="382"/>
      <c r="BQ380" s="382"/>
      <c r="BR380" s="382"/>
      <c r="BS380" s="382"/>
      <c r="BT380" s="382"/>
      <c r="BU380" s="496"/>
      <c r="BV380" s="382"/>
      <c r="BW380" s="382"/>
      <c r="BX380" s="382"/>
      <c r="BY380" s="382"/>
      <c r="BZ380" s="382"/>
      <c r="CA380" s="382"/>
      <c r="CB380" s="382"/>
      <c r="CC380" s="382"/>
      <c r="CD380" s="382"/>
      <c r="CE380" s="382"/>
      <c r="CF380" s="382"/>
      <c r="CG380" s="382"/>
      <c r="CH380" s="382"/>
      <c r="CI380" s="382"/>
      <c r="CJ380" s="382"/>
      <c r="CK380" s="382"/>
      <c r="CL380" s="382"/>
      <c r="CM380" s="382"/>
      <c r="CN380" s="382"/>
      <c r="CO380" s="382"/>
      <c r="CP380" s="382"/>
      <c r="CQ380" s="382"/>
      <c r="CR380" s="382"/>
      <c r="CS380" s="382"/>
      <c r="CT380" s="382"/>
      <c r="CU380" s="382"/>
      <c r="CV380" s="382"/>
      <c r="CW380" s="189"/>
      <c r="CX380" s="382"/>
      <c r="CY380" s="382"/>
      <c r="CZ380" s="382"/>
      <c r="DA380" s="382"/>
      <c r="DB380" s="382"/>
      <c r="DC380" s="382"/>
      <c r="DD380" s="382"/>
      <c r="DE380" s="382"/>
      <c r="DF380" s="382"/>
      <c r="DG380" s="382"/>
      <c r="DH380" s="382"/>
      <c r="DI380" s="382"/>
      <c r="DJ380" s="382"/>
      <c r="DK380" s="382"/>
      <c r="DL380" s="382"/>
      <c r="DM380" s="382"/>
      <c r="DN380" s="382"/>
      <c r="DO380" s="382"/>
      <c r="DP380" s="382"/>
      <c r="DQ380" s="382"/>
      <c r="DR380" s="382"/>
      <c r="DS380" s="382"/>
      <c r="DT380" s="382"/>
      <c r="DU380" s="382"/>
      <c r="DV380" s="382"/>
      <c r="DW380" s="382"/>
      <c r="DX380" s="382"/>
      <c r="DY380" s="382"/>
      <c r="DZ380" s="228"/>
    </row>
    <row r="381" spans="2:130" s="180" customFormat="1" x14ac:dyDescent="0.2">
      <c r="D381" s="805"/>
      <c r="E381" s="805"/>
      <c r="F381" s="805"/>
      <c r="G381" s="805"/>
      <c r="H381" s="805"/>
      <c r="I381" s="805"/>
      <c r="J381" s="805"/>
      <c r="K381" s="805"/>
      <c r="L381" s="805"/>
      <c r="M381" s="805"/>
      <c r="N381" s="806"/>
      <c r="O381" s="805"/>
      <c r="P381" s="805"/>
      <c r="Q381" s="807"/>
      <c r="R381" s="807"/>
      <c r="S381" s="808"/>
      <c r="T381" s="805"/>
      <c r="U381" s="805"/>
      <c r="V381" s="805"/>
      <c r="W381" s="805"/>
      <c r="X381" s="805"/>
      <c r="Y381" s="297"/>
      <c r="AB381" s="382"/>
      <c r="AC381" s="382"/>
      <c r="AD381" s="496"/>
      <c r="AE381" s="382"/>
      <c r="AF381" s="382"/>
      <c r="AG381" s="382"/>
      <c r="AH381" s="382"/>
      <c r="AI381" s="382"/>
      <c r="AJ381" s="382"/>
      <c r="AK381" s="382"/>
      <c r="AL381" s="382"/>
      <c r="AM381" s="382"/>
      <c r="AN381" s="382"/>
      <c r="AO381" s="382"/>
      <c r="AP381" s="382"/>
      <c r="AQ381" s="382"/>
      <c r="AR381" s="382"/>
      <c r="AS381" s="382"/>
      <c r="AT381" s="382"/>
      <c r="AU381" s="382"/>
      <c r="AV381" s="382"/>
      <c r="AW381" s="382"/>
      <c r="AX381" s="382"/>
      <c r="AY381" s="382"/>
      <c r="AZ381" s="382"/>
      <c r="BA381" s="382"/>
      <c r="BB381" s="382"/>
      <c r="BC381" s="382"/>
      <c r="BD381" s="382"/>
      <c r="BE381" s="382"/>
      <c r="BF381" s="382"/>
      <c r="BG381" s="382"/>
      <c r="BH381" s="382"/>
      <c r="BI381" s="382"/>
      <c r="BJ381" s="382"/>
      <c r="BK381" s="382"/>
      <c r="BL381" s="382"/>
      <c r="BM381" s="382"/>
      <c r="BN381" s="382"/>
      <c r="BO381" s="382"/>
      <c r="BP381" s="382"/>
      <c r="BQ381" s="382"/>
      <c r="BR381" s="382"/>
      <c r="BS381" s="382"/>
      <c r="BT381" s="382"/>
      <c r="BU381" s="496"/>
      <c r="BV381" s="382"/>
      <c r="BW381" s="382"/>
      <c r="BX381" s="382"/>
      <c r="BY381" s="382"/>
      <c r="BZ381" s="382"/>
      <c r="CA381" s="382"/>
      <c r="CB381" s="382"/>
      <c r="CC381" s="382"/>
      <c r="CD381" s="382"/>
      <c r="CE381" s="382"/>
      <c r="CF381" s="382"/>
      <c r="CG381" s="382"/>
      <c r="CH381" s="382"/>
      <c r="CI381" s="382"/>
      <c r="CJ381" s="382"/>
      <c r="CK381" s="382"/>
      <c r="CL381" s="382"/>
      <c r="CM381" s="382"/>
      <c r="CN381" s="382"/>
      <c r="CO381" s="382"/>
      <c r="CP381" s="382"/>
      <c r="CQ381" s="382"/>
      <c r="CR381" s="382"/>
      <c r="CS381" s="382"/>
      <c r="CT381" s="382"/>
      <c r="CU381" s="382"/>
      <c r="CV381" s="382"/>
      <c r="CW381" s="189"/>
      <c r="CX381" s="382"/>
      <c r="CY381" s="382"/>
      <c r="CZ381" s="382"/>
      <c r="DA381" s="382"/>
      <c r="DB381" s="382"/>
      <c r="DC381" s="382"/>
      <c r="DD381" s="382"/>
      <c r="DE381" s="382"/>
      <c r="DF381" s="382"/>
      <c r="DG381" s="382"/>
      <c r="DH381" s="382"/>
      <c r="DI381" s="382"/>
      <c r="DJ381" s="382"/>
      <c r="DK381" s="382"/>
      <c r="DL381" s="382"/>
      <c r="DM381" s="382"/>
      <c r="DN381" s="382"/>
      <c r="DO381" s="382"/>
      <c r="DP381" s="382"/>
      <c r="DQ381" s="382"/>
      <c r="DR381" s="382"/>
      <c r="DS381" s="382"/>
      <c r="DT381" s="382"/>
      <c r="DU381" s="382"/>
      <c r="DV381" s="382"/>
      <c r="DW381" s="382"/>
      <c r="DX381" s="382"/>
      <c r="DY381" s="382"/>
      <c r="DZ381" s="228"/>
    </row>
    <row r="382" spans="2:130" s="180" customFormat="1" x14ac:dyDescent="0.2">
      <c r="D382" s="805"/>
      <c r="E382" s="805"/>
      <c r="F382" s="805"/>
      <c r="G382" s="805"/>
      <c r="H382" s="805"/>
      <c r="I382" s="805"/>
      <c r="J382" s="805"/>
      <c r="K382" s="805"/>
      <c r="L382" s="805"/>
      <c r="M382" s="805"/>
      <c r="N382" s="806"/>
      <c r="O382" s="805"/>
      <c r="P382" s="805"/>
      <c r="Q382" s="807"/>
      <c r="R382" s="807"/>
      <c r="S382" s="808"/>
      <c r="T382" s="805"/>
      <c r="U382" s="805"/>
      <c r="V382" s="805"/>
      <c r="W382" s="805"/>
      <c r="X382" s="805"/>
      <c r="Y382" s="297"/>
      <c r="AB382" s="382"/>
      <c r="AC382" s="382"/>
      <c r="AD382" s="496"/>
      <c r="AE382" s="382"/>
      <c r="AF382" s="382"/>
      <c r="AG382" s="382"/>
      <c r="AH382" s="382"/>
      <c r="AI382" s="382"/>
      <c r="AJ382" s="382"/>
      <c r="AK382" s="382"/>
      <c r="AL382" s="382"/>
      <c r="AM382" s="382"/>
      <c r="AN382" s="382"/>
      <c r="AO382" s="382"/>
      <c r="AP382" s="382"/>
      <c r="AQ382" s="382"/>
      <c r="AR382" s="382"/>
      <c r="AS382" s="382"/>
      <c r="AT382" s="382"/>
      <c r="AU382" s="382"/>
      <c r="AV382" s="382"/>
      <c r="AW382" s="382"/>
      <c r="AX382" s="382"/>
      <c r="AY382" s="382"/>
      <c r="AZ382" s="382"/>
      <c r="BA382" s="382"/>
      <c r="BB382" s="382"/>
      <c r="BC382" s="382"/>
      <c r="BD382" s="382"/>
      <c r="BE382" s="382"/>
      <c r="BF382" s="382"/>
      <c r="BG382" s="382"/>
      <c r="BH382" s="382"/>
      <c r="BI382" s="382"/>
      <c r="BJ382" s="382"/>
      <c r="BK382" s="382"/>
      <c r="BL382" s="382"/>
      <c r="BM382" s="382"/>
      <c r="BN382" s="382"/>
      <c r="BO382" s="382"/>
      <c r="BP382" s="382"/>
      <c r="BQ382" s="382"/>
      <c r="BR382" s="382"/>
      <c r="BS382" s="382"/>
      <c r="BT382" s="382"/>
      <c r="BU382" s="496"/>
      <c r="BV382" s="382"/>
      <c r="BW382" s="382"/>
      <c r="BX382" s="382"/>
      <c r="BY382" s="382"/>
      <c r="BZ382" s="382"/>
      <c r="CA382" s="382"/>
      <c r="CB382" s="382"/>
      <c r="CC382" s="382"/>
      <c r="CD382" s="382"/>
      <c r="CE382" s="382"/>
      <c r="CF382" s="382"/>
      <c r="CG382" s="382"/>
      <c r="CH382" s="382"/>
      <c r="CI382" s="382"/>
      <c r="CJ382" s="382"/>
      <c r="CK382" s="382"/>
      <c r="CL382" s="382"/>
      <c r="CM382" s="382"/>
      <c r="CN382" s="382"/>
      <c r="CO382" s="382"/>
      <c r="CP382" s="382"/>
      <c r="CQ382" s="382"/>
      <c r="CR382" s="382"/>
      <c r="CS382" s="382"/>
      <c r="CT382" s="382"/>
      <c r="CU382" s="382"/>
      <c r="CV382" s="382"/>
      <c r="CW382" s="189"/>
      <c r="CX382" s="382"/>
      <c r="CY382" s="382"/>
      <c r="CZ382" s="382"/>
      <c r="DA382" s="382"/>
      <c r="DB382" s="382"/>
      <c r="DC382" s="382"/>
      <c r="DD382" s="382"/>
      <c r="DE382" s="382"/>
      <c r="DF382" s="382"/>
      <c r="DG382" s="382"/>
      <c r="DH382" s="382"/>
      <c r="DI382" s="382"/>
      <c r="DJ382" s="382"/>
      <c r="DK382" s="382"/>
      <c r="DL382" s="382"/>
      <c r="DM382" s="382"/>
      <c r="DN382" s="382"/>
      <c r="DO382" s="382"/>
      <c r="DP382" s="382"/>
      <c r="DQ382" s="382"/>
      <c r="DR382" s="382"/>
      <c r="DS382" s="382"/>
      <c r="DT382" s="382"/>
      <c r="DU382" s="382"/>
      <c r="DV382" s="382"/>
      <c r="DW382" s="382"/>
      <c r="DX382" s="382"/>
      <c r="DY382" s="382"/>
      <c r="DZ382" s="228"/>
    </row>
    <row r="383" spans="2:130" s="180" customFormat="1" x14ac:dyDescent="0.2">
      <c r="D383" s="805"/>
      <c r="E383" s="805"/>
      <c r="F383" s="805"/>
      <c r="G383" s="805"/>
      <c r="H383" s="805"/>
      <c r="I383" s="805"/>
      <c r="J383" s="805"/>
      <c r="K383" s="805"/>
      <c r="L383" s="805"/>
      <c r="M383" s="805"/>
      <c r="N383" s="806"/>
      <c r="O383" s="805"/>
      <c r="P383" s="805"/>
      <c r="Q383" s="807"/>
      <c r="R383" s="807"/>
      <c r="S383" s="808"/>
      <c r="T383" s="805"/>
      <c r="U383" s="805"/>
      <c r="V383" s="805"/>
      <c r="W383" s="805"/>
      <c r="X383" s="805"/>
      <c r="Y383" s="297"/>
      <c r="AB383" s="382"/>
      <c r="AC383" s="382"/>
      <c r="AD383" s="496"/>
      <c r="AE383" s="382"/>
      <c r="AF383" s="382"/>
      <c r="AG383" s="382"/>
      <c r="AH383" s="382"/>
      <c r="AI383" s="382"/>
      <c r="AJ383" s="382"/>
      <c r="AK383" s="382"/>
      <c r="AL383" s="382"/>
      <c r="AM383" s="382"/>
      <c r="AN383" s="382"/>
      <c r="AO383" s="382"/>
      <c r="AP383" s="382"/>
      <c r="AQ383" s="382"/>
      <c r="AR383" s="382"/>
      <c r="AS383" s="382"/>
      <c r="AT383" s="382"/>
      <c r="AU383" s="382"/>
      <c r="AV383" s="382"/>
      <c r="AW383" s="382"/>
      <c r="AX383" s="382"/>
      <c r="AY383" s="382"/>
      <c r="AZ383" s="382"/>
      <c r="BA383" s="382"/>
      <c r="BB383" s="382"/>
      <c r="BC383" s="382"/>
      <c r="BD383" s="382"/>
      <c r="BE383" s="382"/>
      <c r="BF383" s="382"/>
      <c r="BG383" s="382"/>
      <c r="BH383" s="382"/>
      <c r="BI383" s="382"/>
      <c r="BJ383" s="382"/>
      <c r="BK383" s="382"/>
      <c r="BL383" s="382"/>
      <c r="BM383" s="382"/>
      <c r="BN383" s="382"/>
      <c r="BO383" s="382"/>
      <c r="BP383" s="382"/>
      <c r="BQ383" s="382"/>
      <c r="BR383" s="382"/>
      <c r="BS383" s="382"/>
      <c r="BT383" s="382"/>
      <c r="BU383" s="496"/>
      <c r="BV383" s="382"/>
      <c r="BW383" s="382"/>
      <c r="BX383" s="382"/>
      <c r="BY383" s="382"/>
      <c r="BZ383" s="382"/>
      <c r="CA383" s="382"/>
      <c r="CB383" s="382"/>
      <c r="CC383" s="382"/>
      <c r="CD383" s="382"/>
      <c r="CE383" s="382"/>
      <c r="CF383" s="382"/>
      <c r="CG383" s="382"/>
      <c r="CH383" s="382"/>
      <c r="CI383" s="382"/>
      <c r="CJ383" s="382"/>
      <c r="CK383" s="382"/>
      <c r="CL383" s="382"/>
      <c r="CM383" s="382"/>
      <c r="CN383" s="382"/>
      <c r="CO383" s="382"/>
      <c r="CP383" s="382"/>
      <c r="CQ383" s="382"/>
      <c r="CR383" s="382"/>
      <c r="CS383" s="382"/>
      <c r="CT383" s="382"/>
      <c r="CU383" s="382"/>
      <c r="CV383" s="382"/>
      <c r="CW383" s="189"/>
      <c r="CX383" s="382"/>
      <c r="CY383" s="382"/>
      <c r="CZ383" s="382"/>
      <c r="DA383" s="382"/>
      <c r="DB383" s="382"/>
      <c r="DC383" s="382"/>
      <c r="DD383" s="382"/>
      <c r="DE383" s="382"/>
      <c r="DF383" s="382"/>
      <c r="DG383" s="382"/>
      <c r="DH383" s="382"/>
      <c r="DI383" s="382"/>
      <c r="DJ383" s="382"/>
      <c r="DK383" s="382"/>
      <c r="DL383" s="382"/>
      <c r="DM383" s="382"/>
      <c r="DN383" s="382"/>
      <c r="DO383" s="382"/>
      <c r="DP383" s="382"/>
      <c r="DQ383" s="382"/>
      <c r="DR383" s="382"/>
      <c r="DS383" s="382"/>
      <c r="DT383" s="382"/>
      <c r="DU383" s="382"/>
      <c r="DV383" s="382"/>
      <c r="DW383" s="382"/>
      <c r="DX383" s="382"/>
      <c r="DY383" s="382"/>
      <c r="DZ383" s="228"/>
    </row>
    <row r="384" spans="2:130" s="180" customFormat="1" x14ac:dyDescent="0.2">
      <c r="D384" s="805"/>
      <c r="E384" s="805"/>
      <c r="F384" s="805"/>
      <c r="G384" s="805"/>
      <c r="H384" s="805"/>
      <c r="I384" s="805"/>
      <c r="J384" s="805"/>
      <c r="K384" s="805"/>
      <c r="L384" s="805"/>
      <c r="M384" s="805"/>
      <c r="N384" s="806"/>
      <c r="O384" s="805"/>
      <c r="P384" s="805"/>
      <c r="Q384" s="807"/>
      <c r="R384" s="807"/>
      <c r="S384" s="808"/>
      <c r="T384" s="805"/>
      <c r="U384" s="805"/>
      <c r="V384" s="805"/>
      <c r="W384" s="805"/>
      <c r="X384" s="805"/>
      <c r="Y384" s="297"/>
      <c r="AB384" s="382"/>
      <c r="AC384" s="382"/>
      <c r="AD384" s="496"/>
      <c r="AE384" s="382"/>
      <c r="AF384" s="382"/>
      <c r="AG384" s="382"/>
      <c r="AH384" s="382"/>
      <c r="AI384" s="382"/>
      <c r="AJ384" s="382"/>
      <c r="AK384" s="382"/>
      <c r="AL384" s="382"/>
      <c r="AM384" s="382"/>
      <c r="AN384" s="382"/>
      <c r="AO384" s="382"/>
      <c r="AP384" s="382"/>
      <c r="AQ384" s="382"/>
      <c r="AR384" s="382"/>
      <c r="AS384" s="382"/>
      <c r="AT384" s="382"/>
      <c r="AU384" s="382"/>
      <c r="AV384" s="382"/>
      <c r="AW384" s="382"/>
      <c r="AX384" s="382"/>
      <c r="AY384" s="382"/>
      <c r="AZ384" s="382"/>
      <c r="BA384" s="382"/>
      <c r="BB384" s="382"/>
      <c r="BC384" s="382"/>
      <c r="BD384" s="382"/>
      <c r="BE384" s="382"/>
      <c r="BF384" s="382"/>
      <c r="BG384" s="382"/>
      <c r="BH384" s="382"/>
      <c r="BI384" s="382"/>
      <c r="BJ384" s="382"/>
      <c r="BK384" s="382"/>
      <c r="BL384" s="382"/>
      <c r="BM384" s="382"/>
      <c r="BN384" s="382"/>
      <c r="BO384" s="382"/>
      <c r="BP384" s="382"/>
      <c r="BQ384" s="382"/>
      <c r="BR384" s="382"/>
      <c r="BS384" s="382"/>
      <c r="BT384" s="382"/>
      <c r="BU384" s="496"/>
      <c r="BV384" s="382"/>
      <c r="BW384" s="382"/>
      <c r="BX384" s="382"/>
      <c r="BY384" s="382"/>
      <c r="BZ384" s="382"/>
      <c r="CA384" s="382"/>
      <c r="CB384" s="382"/>
      <c r="CC384" s="382"/>
      <c r="CD384" s="382"/>
      <c r="CE384" s="382"/>
      <c r="CF384" s="382"/>
      <c r="CG384" s="382"/>
      <c r="CH384" s="382"/>
      <c r="CI384" s="382"/>
      <c r="CJ384" s="382"/>
      <c r="CK384" s="382"/>
      <c r="CL384" s="382"/>
      <c r="CM384" s="382"/>
      <c r="CN384" s="382"/>
      <c r="CO384" s="382"/>
      <c r="CP384" s="382"/>
      <c r="CQ384" s="382"/>
      <c r="CR384" s="382"/>
      <c r="CS384" s="382"/>
      <c r="CT384" s="382"/>
      <c r="CU384" s="382"/>
      <c r="CV384" s="382"/>
      <c r="CW384" s="189"/>
      <c r="CX384" s="382"/>
      <c r="CY384" s="382"/>
      <c r="CZ384" s="382"/>
      <c r="DA384" s="382"/>
      <c r="DB384" s="382"/>
      <c r="DC384" s="382"/>
      <c r="DD384" s="382"/>
      <c r="DE384" s="382"/>
      <c r="DF384" s="382"/>
      <c r="DG384" s="382"/>
      <c r="DH384" s="382"/>
      <c r="DI384" s="382"/>
      <c r="DJ384" s="382"/>
      <c r="DK384" s="382"/>
      <c r="DL384" s="382"/>
      <c r="DM384" s="382"/>
      <c r="DN384" s="382"/>
      <c r="DO384" s="382"/>
      <c r="DP384" s="382"/>
      <c r="DQ384" s="382"/>
      <c r="DR384" s="382"/>
      <c r="DS384" s="382"/>
      <c r="DT384" s="382"/>
      <c r="DU384" s="382"/>
      <c r="DV384" s="382"/>
      <c r="DW384" s="382"/>
      <c r="DX384" s="382"/>
      <c r="DY384" s="382"/>
      <c r="DZ384" s="228"/>
    </row>
    <row r="385" spans="4:130" s="180" customFormat="1" x14ac:dyDescent="0.2">
      <c r="D385" s="805"/>
      <c r="E385" s="805"/>
      <c r="F385" s="805"/>
      <c r="G385" s="805"/>
      <c r="H385" s="805"/>
      <c r="I385" s="805"/>
      <c r="J385" s="805"/>
      <c r="K385" s="805"/>
      <c r="L385" s="805"/>
      <c r="M385" s="805"/>
      <c r="N385" s="806"/>
      <c r="O385" s="805"/>
      <c r="P385" s="805"/>
      <c r="Q385" s="807"/>
      <c r="R385" s="807"/>
      <c r="S385" s="808"/>
      <c r="T385" s="805"/>
      <c r="U385" s="805"/>
      <c r="V385" s="805"/>
      <c r="W385" s="805"/>
      <c r="X385" s="805"/>
      <c r="Y385" s="297"/>
      <c r="AB385" s="382"/>
      <c r="AC385" s="382"/>
      <c r="AD385" s="496"/>
      <c r="AE385" s="382"/>
      <c r="AF385" s="382"/>
      <c r="AG385" s="382"/>
      <c r="AH385" s="382"/>
      <c r="AI385" s="382"/>
      <c r="AJ385" s="382"/>
      <c r="AK385" s="382"/>
      <c r="AL385" s="382"/>
      <c r="AM385" s="382"/>
      <c r="AN385" s="382"/>
      <c r="AO385" s="382"/>
      <c r="AP385" s="382"/>
      <c r="AQ385" s="382"/>
      <c r="AR385" s="382"/>
      <c r="AS385" s="382"/>
      <c r="AT385" s="382"/>
      <c r="AU385" s="382"/>
      <c r="AV385" s="382"/>
      <c r="AW385" s="382"/>
      <c r="AX385" s="382"/>
      <c r="AY385" s="382"/>
      <c r="AZ385" s="382"/>
      <c r="BA385" s="382"/>
      <c r="BB385" s="382"/>
      <c r="BC385" s="382"/>
      <c r="BD385" s="382"/>
      <c r="BE385" s="382"/>
      <c r="BF385" s="382"/>
      <c r="BG385" s="382"/>
      <c r="BH385" s="382"/>
      <c r="BI385" s="382"/>
      <c r="BJ385" s="382"/>
      <c r="BK385" s="382"/>
      <c r="BL385" s="382"/>
      <c r="BM385" s="382"/>
      <c r="BN385" s="382"/>
      <c r="BO385" s="382"/>
      <c r="BP385" s="382"/>
      <c r="BQ385" s="382"/>
      <c r="BR385" s="382"/>
      <c r="BS385" s="382"/>
      <c r="BT385" s="382"/>
      <c r="BU385" s="496"/>
      <c r="BV385" s="382"/>
      <c r="BW385" s="382"/>
      <c r="BX385" s="382"/>
      <c r="BY385" s="382"/>
      <c r="BZ385" s="382"/>
      <c r="CA385" s="382"/>
      <c r="CB385" s="382"/>
      <c r="CC385" s="382"/>
      <c r="CD385" s="382"/>
      <c r="CE385" s="382"/>
      <c r="CF385" s="382"/>
      <c r="CG385" s="382"/>
      <c r="CH385" s="382"/>
      <c r="CI385" s="382"/>
      <c r="CJ385" s="382"/>
      <c r="CK385" s="382"/>
      <c r="CL385" s="382"/>
      <c r="CM385" s="382"/>
      <c r="CN385" s="382"/>
      <c r="CO385" s="382"/>
      <c r="CP385" s="382"/>
      <c r="CQ385" s="382"/>
      <c r="CR385" s="382"/>
      <c r="CS385" s="382"/>
      <c r="CT385" s="382"/>
      <c r="CU385" s="382"/>
      <c r="CV385" s="382"/>
      <c r="CW385" s="189"/>
      <c r="CX385" s="382"/>
      <c r="CY385" s="382"/>
      <c r="CZ385" s="382"/>
      <c r="DA385" s="382"/>
      <c r="DB385" s="382"/>
      <c r="DC385" s="382"/>
      <c r="DD385" s="382"/>
      <c r="DE385" s="382"/>
      <c r="DF385" s="382"/>
      <c r="DG385" s="382"/>
      <c r="DH385" s="382"/>
      <c r="DI385" s="382"/>
      <c r="DJ385" s="382"/>
      <c r="DK385" s="382"/>
      <c r="DL385" s="382"/>
      <c r="DM385" s="382"/>
      <c r="DN385" s="382"/>
      <c r="DO385" s="382"/>
      <c r="DP385" s="382"/>
      <c r="DQ385" s="382"/>
      <c r="DR385" s="382"/>
      <c r="DS385" s="382"/>
      <c r="DT385" s="382"/>
      <c r="DU385" s="382"/>
      <c r="DV385" s="382"/>
      <c r="DW385" s="382"/>
      <c r="DX385" s="382"/>
      <c r="DY385" s="382"/>
      <c r="DZ385" s="228"/>
    </row>
    <row r="386" spans="4:130" s="180" customFormat="1" x14ac:dyDescent="0.2">
      <c r="D386" s="805"/>
      <c r="E386" s="805"/>
      <c r="F386" s="805"/>
      <c r="G386" s="805"/>
      <c r="H386" s="805"/>
      <c r="I386" s="805"/>
      <c r="J386" s="805"/>
      <c r="K386" s="805"/>
      <c r="L386" s="805"/>
      <c r="M386" s="805"/>
      <c r="N386" s="806"/>
      <c r="O386" s="805"/>
      <c r="P386" s="805"/>
      <c r="Q386" s="807"/>
      <c r="R386" s="807"/>
      <c r="S386" s="808"/>
      <c r="T386" s="805"/>
      <c r="U386" s="805"/>
      <c r="V386" s="805"/>
      <c r="W386" s="805"/>
      <c r="X386" s="805"/>
      <c r="Y386" s="297"/>
      <c r="AB386" s="382"/>
      <c r="AC386" s="382"/>
      <c r="AD386" s="496"/>
      <c r="AE386" s="382"/>
      <c r="AF386" s="382"/>
      <c r="AG386" s="382"/>
      <c r="AH386" s="382"/>
      <c r="AI386" s="382"/>
      <c r="AJ386" s="382"/>
      <c r="AK386" s="382"/>
      <c r="AL386" s="382"/>
      <c r="AM386" s="382"/>
      <c r="AN386" s="382"/>
      <c r="AO386" s="382"/>
      <c r="AP386" s="382"/>
      <c r="AQ386" s="382"/>
      <c r="AR386" s="382"/>
      <c r="AS386" s="382"/>
      <c r="AT386" s="382"/>
      <c r="AU386" s="382"/>
      <c r="AV386" s="382"/>
      <c r="AW386" s="382"/>
      <c r="AX386" s="382"/>
      <c r="AY386" s="382"/>
      <c r="AZ386" s="382"/>
      <c r="BA386" s="382"/>
      <c r="BB386" s="382"/>
      <c r="BC386" s="382"/>
      <c r="BD386" s="382"/>
      <c r="BE386" s="382"/>
      <c r="BF386" s="382"/>
      <c r="BG386" s="382"/>
      <c r="BH386" s="382"/>
      <c r="BI386" s="382"/>
      <c r="BJ386" s="382"/>
      <c r="BK386" s="382"/>
      <c r="BL386" s="382"/>
      <c r="BM386" s="382"/>
      <c r="BN386" s="382"/>
      <c r="BO386" s="382"/>
      <c r="BP386" s="382"/>
      <c r="BQ386" s="382"/>
      <c r="BR386" s="382"/>
      <c r="BS386" s="382"/>
      <c r="BT386" s="382"/>
      <c r="BU386" s="496"/>
      <c r="BV386" s="382"/>
      <c r="BW386" s="382"/>
      <c r="BX386" s="382"/>
      <c r="BY386" s="382"/>
      <c r="BZ386" s="382"/>
      <c r="CA386" s="382"/>
      <c r="CB386" s="382"/>
      <c r="CC386" s="382"/>
      <c r="CD386" s="382"/>
      <c r="CE386" s="382"/>
      <c r="CF386" s="382"/>
      <c r="CG386" s="382"/>
      <c r="CH386" s="382"/>
      <c r="CI386" s="382"/>
      <c r="CJ386" s="382"/>
      <c r="CK386" s="382"/>
      <c r="CL386" s="382"/>
      <c r="CM386" s="382"/>
      <c r="CN386" s="382"/>
      <c r="CO386" s="382"/>
      <c r="CP386" s="382"/>
      <c r="CQ386" s="382"/>
      <c r="CR386" s="382"/>
      <c r="CS386" s="382"/>
      <c r="CT386" s="382"/>
      <c r="CU386" s="382"/>
      <c r="CV386" s="382"/>
      <c r="CW386" s="189"/>
      <c r="CX386" s="382"/>
      <c r="CY386" s="382"/>
      <c r="CZ386" s="382"/>
      <c r="DA386" s="382"/>
      <c r="DB386" s="382"/>
      <c r="DC386" s="382"/>
      <c r="DD386" s="382"/>
      <c r="DE386" s="382"/>
      <c r="DF386" s="382"/>
      <c r="DG386" s="382"/>
      <c r="DH386" s="382"/>
      <c r="DI386" s="382"/>
      <c r="DJ386" s="382"/>
      <c r="DK386" s="382"/>
      <c r="DL386" s="382"/>
      <c r="DM386" s="382"/>
      <c r="DN386" s="382"/>
      <c r="DO386" s="382"/>
      <c r="DP386" s="382"/>
      <c r="DQ386" s="382"/>
      <c r="DR386" s="382"/>
      <c r="DS386" s="382"/>
      <c r="DT386" s="382"/>
      <c r="DU386" s="382"/>
      <c r="DV386" s="382"/>
      <c r="DW386" s="382"/>
      <c r="DX386" s="382"/>
      <c r="DY386" s="382"/>
      <c r="DZ386" s="228"/>
    </row>
    <row r="387" spans="4:130" s="180" customFormat="1" x14ac:dyDescent="0.2">
      <c r="D387" s="805"/>
      <c r="E387" s="805"/>
      <c r="F387" s="805"/>
      <c r="G387" s="805"/>
      <c r="H387" s="805"/>
      <c r="I387" s="805"/>
      <c r="J387" s="805"/>
      <c r="K387" s="805"/>
      <c r="L387" s="805"/>
      <c r="M387" s="805"/>
      <c r="N387" s="806"/>
      <c r="O387" s="805"/>
      <c r="P387" s="805"/>
      <c r="Q387" s="807"/>
      <c r="R387" s="807"/>
      <c r="S387" s="808"/>
      <c r="T387" s="805"/>
      <c r="U387" s="805"/>
      <c r="V387" s="805"/>
      <c r="W387" s="805"/>
      <c r="X387" s="805"/>
      <c r="Y387" s="297"/>
      <c r="AB387" s="382"/>
      <c r="AC387" s="382"/>
      <c r="AD387" s="496"/>
      <c r="AE387" s="382"/>
      <c r="AF387" s="382"/>
      <c r="AG387" s="382"/>
      <c r="AH387" s="382"/>
      <c r="AI387" s="382"/>
      <c r="AJ387" s="382"/>
      <c r="AK387" s="382"/>
      <c r="AL387" s="382"/>
      <c r="AM387" s="382"/>
      <c r="AN387" s="382"/>
      <c r="AO387" s="382"/>
      <c r="AP387" s="382"/>
      <c r="AQ387" s="382"/>
      <c r="AR387" s="382"/>
      <c r="AS387" s="382"/>
      <c r="AT387" s="382"/>
      <c r="AU387" s="382"/>
      <c r="AV387" s="382"/>
      <c r="AW387" s="382"/>
      <c r="AX387" s="382"/>
      <c r="AY387" s="382"/>
      <c r="AZ387" s="382"/>
      <c r="BA387" s="382"/>
      <c r="BB387" s="382"/>
      <c r="BC387" s="382"/>
      <c r="BD387" s="382"/>
      <c r="BE387" s="382"/>
      <c r="BF387" s="382"/>
      <c r="BG387" s="382"/>
      <c r="BH387" s="382"/>
      <c r="BI387" s="382"/>
      <c r="BJ387" s="382"/>
      <c r="BK387" s="382"/>
      <c r="BL387" s="382"/>
      <c r="BM387" s="382"/>
      <c r="BN387" s="382"/>
      <c r="BO387" s="382"/>
      <c r="BP387" s="382"/>
      <c r="BQ387" s="382"/>
      <c r="BR387" s="382"/>
      <c r="BS387" s="382"/>
      <c r="BT387" s="382"/>
      <c r="BU387" s="496"/>
      <c r="BV387" s="382"/>
      <c r="BW387" s="382"/>
      <c r="BX387" s="382"/>
      <c r="BY387" s="382"/>
      <c r="BZ387" s="382"/>
      <c r="CA387" s="382"/>
      <c r="CB387" s="382"/>
      <c r="CC387" s="382"/>
      <c r="CD387" s="382"/>
      <c r="CE387" s="382"/>
      <c r="CF387" s="382"/>
      <c r="CG387" s="382"/>
      <c r="CH387" s="382"/>
      <c r="CI387" s="382"/>
      <c r="CJ387" s="382"/>
      <c r="CK387" s="382"/>
      <c r="CL387" s="382"/>
      <c r="CM387" s="382"/>
      <c r="CN387" s="382"/>
      <c r="CO387" s="382"/>
      <c r="CP387" s="382"/>
      <c r="CQ387" s="382"/>
      <c r="CR387" s="382"/>
      <c r="CS387" s="382"/>
      <c r="CT387" s="382"/>
      <c r="CU387" s="382"/>
      <c r="CV387" s="382"/>
      <c r="CW387" s="189"/>
      <c r="CX387" s="382"/>
      <c r="CY387" s="382"/>
      <c r="CZ387" s="382"/>
      <c r="DA387" s="382"/>
      <c r="DB387" s="382"/>
      <c r="DC387" s="382"/>
      <c r="DD387" s="382"/>
      <c r="DE387" s="382"/>
      <c r="DF387" s="382"/>
      <c r="DG387" s="382"/>
      <c r="DH387" s="382"/>
      <c r="DI387" s="382"/>
      <c r="DJ387" s="382"/>
      <c r="DK387" s="382"/>
      <c r="DL387" s="382"/>
      <c r="DM387" s="382"/>
      <c r="DN387" s="382"/>
      <c r="DO387" s="382"/>
      <c r="DP387" s="382"/>
      <c r="DQ387" s="382"/>
      <c r="DR387" s="382"/>
      <c r="DS387" s="382"/>
      <c r="DT387" s="382"/>
      <c r="DU387" s="382"/>
      <c r="DV387" s="382"/>
      <c r="DW387" s="382"/>
      <c r="DX387" s="382"/>
      <c r="DY387" s="382"/>
      <c r="DZ387" s="228"/>
    </row>
    <row r="388" spans="4:130" s="180" customFormat="1" x14ac:dyDescent="0.2">
      <c r="D388" s="805"/>
      <c r="E388" s="805"/>
      <c r="F388" s="805"/>
      <c r="G388" s="805"/>
      <c r="H388" s="805"/>
      <c r="I388" s="805"/>
      <c r="J388" s="805"/>
      <c r="K388" s="805"/>
      <c r="L388" s="805"/>
      <c r="M388" s="805"/>
      <c r="N388" s="806"/>
      <c r="O388" s="805"/>
      <c r="P388" s="805"/>
      <c r="Q388" s="807"/>
      <c r="R388" s="807"/>
      <c r="S388" s="808"/>
      <c r="T388" s="805"/>
      <c r="U388" s="805"/>
      <c r="V388" s="805"/>
      <c r="W388" s="805"/>
      <c r="X388" s="805"/>
      <c r="Y388" s="297"/>
      <c r="AB388" s="382"/>
      <c r="AC388" s="382"/>
      <c r="AD388" s="496"/>
      <c r="AE388" s="382"/>
      <c r="AF388" s="382"/>
      <c r="AG388" s="382"/>
      <c r="AH388" s="382"/>
      <c r="AI388" s="382"/>
      <c r="AJ388" s="382"/>
      <c r="AK388" s="382"/>
      <c r="AL388" s="382"/>
      <c r="AM388" s="382"/>
      <c r="AN388" s="382"/>
      <c r="AO388" s="382"/>
      <c r="AP388" s="382"/>
      <c r="AQ388" s="382"/>
      <c r="AR388" s="382"/>
      <c r="AS388" s="382"/>
      <c r="AT388" s="382"/>
      <c r="AU388" s="382"/>
      <c r="AV388" s="382"/>
      <c r="AW388" s="382"/>
      <c r="AX388" s="382"/>
      <c r="AY388" s="382"/>
      <c r="AZ388" s="382"/>
      <c r="BA388" s="382"/>
      <c r="BB388" s="382"/>
      <c r="BC388" s="382"/>
      <c r="BD388" s="382"/>
      <c r="BE388" s="382"/>
      <c r="BF388" s="382"/>
      <c r="BG388" s="382"/>
      <c r="BH388" s="382"/>
      <c r="BI388" s="382"/>
      <c r="BJ388" s="382"/>
      <c r="BK388" s="382"/>
      <c r="BL388" s="382"/>
      <c r="BM388" s="382"/>
      <c r="BN388" s="382"/>
      <c r="BO388" s="382"/>
      <c r="BP388" s="382"/>
      <c r="BQ388" s="382"/>
      <c r="BR388" s="382"/>
      <c r="BS388" s="382"/>
      <c r="BT388" s="382"/>
      <c r="BU388" s="496"/>
      <c r="BV388" s="382"/>
      <c r="BW388" s="382"/>
      <c r="BX388" s="382"/>
      <c r="BY388" s="382"/>
      <c r="BZ388" s="382"/>
      <c r="CA388" s="382"/>
      <c r="CB388" s="382"/>
      <c r="CC388" s="382"/>
      <c r="CD388" s="382"/>
      <c r="CE388" s="382"/>
      <c r="CF388" s="382"/>
      <c r="CG388" s="382"/>
      <c r="CH388" s="382"/>
      <c r="CI388" s="382"/>
      <c r="CJ388" s="382"/>
      <c r="CK388" s="382"/>
      <c r="CL388" s="382"/>
      <c r="CM388" s="382"/>
      <c r="CN388" s="382"/>
      <c r="CO388" s="382"/>
      <c r="CP388" s="382"/>
      <c r="CQ388" s="382"/>
      <c r="CR388" s="382"/>
      <c r="CS388" s="382"/>
      <c r="CT388" s="382"/>
      <c r="CU388" s="382"/>
      <c r="CV388" s="382"/>
      <c r="CW388" s="189"/>
      <c r="CX388" s="382"/>
      <c r="CY388" s="382"/>
      <c r="CZ388" s="382"/>
      <c r="DA388" s="382"/>
      <c r="DB388" s="382"/>
      <c r="DC388" s="382"/>
      <c r="DD388" s="382"/>
      <c r="DE388" s="382"/>
      <c r="DF388" s="382"/>
      <c r="DG388" s="382"/>
      <c r="DH388" s="382"/>
      <c r="DI388" s="382"/>
      <c r="DJ388" s="382"/>
      <c r="DK388" s="382"/>
      <c r="DL388" s="382"/>
      <c r="DM388" s="382"/>
      <c r="DN388" s="382"/>
      <c r="DO388" s="382"/>
      <c r="DP388" s="382"/>
      <c r="DQ388" s="382"/>
      <c r="DR388" s="382"/>
      <c r="DS388" s="382"/>
      <c r="DT388" s="382"/>
      <c r="DU388" s="382"/>
      <c r="DV388" s="382"/>
      <c r="DW388" s="382"/>
      <c r="DX388" s="382"/>
      <c r="DY388" s="382"/>
      <c r="DZ388" s="228"/>
    </row>
    <row r="389" spans="4:130" s="180" customFormat="1" x14ac:dyDescent="0.2">
      <c r="D389" s="805"/>
      <c r="E389" s="805"/>
      <c r="F389" s="805"/>
      <c r="G389" s="805"/>
      <c r="H389" s="805"/>
      <c r="I389" s="805"/>
      <c r="J389" s="805"/>
      <c r="K389" s="805"/>
      <c r="L389" s="805"/>
      <c r="M389" s="805"/>
      <c r="N389" s="806"/>
      <c r="O389" s="805"/>
      <c r="P389" s="805"/>
      <c r="Q389" s="807"/>
      <c r="R389" s="807"/>
      <c r="S389" s="808"/>
      <c r="T389" s="805"/>
      <c r="U389" s="805"/>
      <c r="V389" s="805"/>
      <c r="W389" s="805"/>
      <c r="X389" s="805"/>
      <c r="Y389" s="297"/>
      <c r="AB389" s="382"/>
      <c r="AC389" s="382"/>
      <c r="AD389" s="496"/>
      <c r="AE389" s="382"/>
      <c r="AF389" s="382"/>
      <c r="AG389" s="382"/>
      <c r="AH389" s="382"/>
      <c r="AI389" s="382"/>
      <c r="AJ389" s="382"/>
      <c r="AK389" s="382"/>
      <c r="AL389" s="382"/>
      <c r="AM389" s="382"/>
      <c r="AN389" s="382"/>
      <c r="AO389" s="382"/>
      <c r="AP389" s="382"/>
      <c r="AQ389" s="382"/>
      <c r="AR389" s="382"/>
      <c r="AS389" s="382"/>
      <c r="AT389" s="382"/>
      <c r="AU389" s="382"/>
      <c r="AV389" s="382"/>
      <c r="AW389" s="382"/>
      <c r="AX389" s="382"/>
      <c r="AY389" s="382"/>
      <c r="AZ389" s="382"/>
      <c r="BA389" s="382"/>
      <c r="BB389" s="382"/>
      <c r="BC389" s="382"/>
      <c r="BD389" s="382"/>
      <c r="BE389" s="382"/>
      <c r="BF389" s="382"/>
      <c r="BG389" s="382"/>
      <c r="BH389" s="382"/>
      <c r="BI389" s="382"/>
      <c r="BJ389" s="382"/>
      <c r="BK389" s="382"/>
      <c r="BL389" s="382"/>
      <c r="BM389" s="382"/>
      <c r="BN389" s="382"/>
      <c r="BO389" s="382"/>
      <c r="BP389" s="382"/>
      <c r="BQ389" s="382"/>
      <c r="BR389" s="382"/>
      <c r="BS389" s="382"/>
      <c r="BT389" s="382"/>
      <c r="BU389" s="496"/>
      <c r="BV389" s="382"/>
      <c r="BW389" s="382"/>
      <c r="BX389" s="382"/>
      <c r="BY389" s="382"/>
      <c r="BZ389" s="382"/>
      <c r="CA389" s="382"/>
      <c r="CB389" s="382"/>
      <c r="CC389" s="382"/>
      <c r="CD389" s="382"/>
      <c r="CE389" s="382"/>
      <c r="CF389" s="382"/>
      <c r="CG389" s="382"/>
      <c r="CH389" s="382"/>
      <c r="CI389" s="382"/>
      <c r="CJ389" s="382"/>
      <c r="CK389" s="382"/>
      <c r="CL389" s="382"/>
      <c r="CM389" s="382"/>
      <c r="CN389" s="382"/>
      <c r="CO389" s="382"/>
      <c r="CP389" s="382"/>
      <c r="CQ389" s="382"/>
      <c r="CR389" s="382"/>
      <c r="CS389" s="382"/>
      <c r="CT389" s="382"/>
      <c r="CU389" s="382"/>
      <c r="CV389" s="382"/>
      <c r="CW389" s="189"/>
      <c r="CX389" s="382"/>
      <c r="CY389" s="382"/>
      <c r="CZ389" s="382"/>
      <c r="DA389" s="382"/>
      <c r="DB389" s="382"/>
      <c r="DC389" s="382"/>
      <c r="DD389" s="382"/>
      <c r="DE389" s="382"/>
      <c r="DF389" s="382"/>
      <c r="DG389" s="382"/>
      <c r="DH389" s="382"/>
      <c r="DI389" s="382"/>
      <c r="DJ389" s="382"/>
      <c r="DK389" s="382"/>
      <c r="DL389" s="382"/>
      <c r="DM389" s="382"/>
      <c r="DN389" s="382"/>
      <c r="DO389" s="382"/>
      <c r="DP389" s="382"/>
      <c r="DQ389" s="382"/>
      <c r="DR389" s="382"/>
      <c r="DS389" s="382"/>
      <c r="DT389" s="382"/>
      <c r="DU389" s="382"/>
      <c r="DV389" s="382"/>
      <c r="DW389" s="382"/>
      <c r="DX389" s="382"/>
      <c r="DY389" s="382"/>
      <c r="DZ389" s="228"/>
    </row>
    <row r="390" spans="4:130" s="180" customFormat="1" x14ac:dyDescent="0.2">
      <c r="D390" s="805"/>
      <c r="E390" s="805"/>
      <c r="F390" s="805"/>
      <c r="G390" s="805"/>
      <c r="H390" s="805"/>
      <c r="I390" s="805"/>
      <c r="J390" s="805"/>
      <c r="K390" s="805"/>
      <c r="L390" s="805"/>
      <c r="M390" s="805"/>
      <c r="N390" s="806"/>
      <c r="O390" s="805"/>
      <c r="P390" s="805"/>
      <c r="Q390" s="807"/>
      <c r="R390" s="807"/>
      <c r="S390" s="808"/>
      <c r="T390" s="805"/>
      <c r="U390" s="805"/>
      <c r="V390" s="805"/>
      <c r="W390" s="805"/>
      <c r="X390" s="805"/>
      <c r="Y390" s="297"/>
      <c r="AB390" s="382"/>
      <c r="AC390" s="382"/>
      <c r="AD390" s="496"/>
      <c r="AE390" s="382"/>
      <c r="AF390" s="382"/>
      <c r="AG390" s="382"/>
      <c r="AH390" s="382"/>
      <c r="AI390" s="382"/>
      <c r="AJ390" s="382"/>
      <c r="AK390" s="382"/>
      <c r="AL390" s="382"/>
      <c r="AM390" s="382"/>
      <c r="AN390" s="382"/>
      <c r="AO390" s="382"/>
      <c r="AP390" s="382"/>
      <c r="AQ390" s="382"/>
      <c r="AR390" s="382"/>
      <c r="AS390" s="382"/>
      <c r="AT390" s="382"/>
      <c r="AU390" s="382"/>
      <c r="AV390" s="382"/>
      <c r="AW390" s="382"/>
      <c r="AX390" s="382"/>
      <c r="AY390" s="382"/>
      <c r="AZ390" s="382"/>
      <c r="BA390" s="382"/>
      <c r="BB390" s="382"/>
      <c r="BC390" s="382"/>
      <c r="BD390" s="382"/>
      <c r="BE390" s="382"/>
      <c r="BF390" s="382"/>
      <c r="BG390" s="382"/>
      <c r="BH390" s="382"/>
      <c r="BI390" s="382"/>
      <c r="BJ390" s="382"/>
      <c r="BK390" s="382"/>
      <c r="BL390" s="382"/>
      <c r="BM390" s="382"/>
      <c r="BN390" s="382"/>
      <c r="BO390" s="382"/>
      <c r="BP390" s="382"/>
      <c r="BQ390" s="382"/>
      <c r="BR390" s="382"/>
      <c r="BS390" s="382"/>
      <c r="BT390" s="382"/>
      <c r="BU390" s="496"/>
      <c r="BV390" s="382"/>
      <c r="BW390" s="382"/>
      <c r="BX390" s="382"/>
      <c r="BY390" s="382"/>
      <c r="BZ390" s="382"/>
      <c r="CA390" s="382"/>
      <c r="CB390" s="382"/>
      <c r="CC390" s="382"/>
      <c r="CD390" s="382"/>
      <c r="CE390" s="382"/>
      <c r="CF390" s="382"/>
      <c r="CG390" s="382"/>
      <c r="CH390" s="382"/>
      <c r="CI390" s="382"/>
      <c r="CJ390" s="382"/>
      <c r="CK390" s="382"/>
      <c r="CL390" s="382"/>
      <c r="CM390" s="382"/>
      <c r="CN390" s="382"/>
      <c r="CO390" s="382"/>
      <c r="CP390" s="382"/>
      <c r="CQ390" s="382"/>
      <c r="CR390" s="382"/>
      <c r="CS390" s="382"/>
      <c r="CT390" s="382"/>
      <c r="CU390" s="382"/>
      <c r="CV390" s="382"/>
      <c r="CW390" s="189"/>
      <c r="CX390" s="382"/>
      <c r="CY390" s="382"/>
      <c r="CZ390" s="382"/>
      <c r="DA390" s="382"/>
      <c r="DB390" s="382"/>
      <c r="DC390" s="382"/>
      <c r="DD390" s="382"/>
      <c r="DE390" s="382"/>
      <c r="DF390" s="382"/>
      <c r="DG390" s="382"/>
      <c r="DH390" s="382"/>
      <c r="DI390" s="382"/>
      <c r="DJ390" s="382"/>
      <c r="DK390" s="382"/>
      <c r="DL390" s="382"/>
      <c r="DM390" s="382"/>
      <c r="DN390" s="382"/>
      <c r="DO390" s="382"/>
      <c r="DP390" s="382"/>
      <c r="DQ390" s="382"/>
      <c r="DR390" s="382"/>
      <c r="DS390" s="382"/>
      <c r="DT390" s="382"/>
      <c r="DU390" s="382"/>
      <c r="DV390" s="382"/>
      <c r="DW390" s="382"/>
      <c r="DX390" s="382"/>
      <c r="DY390" s="382"/>
      <c r="DZ390" s="228"/>
    </row>
    <row r="391" spans="4:130" s="180" customFormat="1" x14ac:dyDescent="0.2">
      <c r="D391" s="805"/>
      <c r="E391" s="805"/>
      <c r="F391" s="805"/>
      <c r="G391" s="805"/>
      <c r="H391" s="805"/>
      <c r="I391" s="805"/>
      <c r="J391" s="805"/>
      <c r="K391" s="805"/>
      <c r="L391" s="805"/>
      <c r="M391" s="805"/>
      <c r="N391" s="806"/>
      <c r="O391" s="805"/>
      <c r="P391" s="805"/>
      <c r="Q391" s="807"/>
      <c r="R391" s="807"/>
      <c r="S391" s="808"/>
      <c r="T391" s="805"/>
      <c r="U391" s="805"/>
      <c r="V391" s="805"/>
      <c r="W391" s="805"/>
      <c r="X391" s="805"/>
      <c r="Y391" s="297"/>
      <c r="AB391" s="382"/>
      <c r="AC391" s="382"/>
      <c r="AD391" s="496"/>
      <c r="AE391" s="382"/>
      <c r="AF391" s="382"/>
      <c r="AG391" s="382"/>
      <c r="AH391" s="382"/>
      <c r="AI391" s="382"/>
      <c r="AJ391" s="382"/>
      <c r="AK391" s="382"/>
      <c r="AL391" s="382"/>
      <c r="AM391" s="382"/>
      <c r="AN391" s="382"/>
      <c r="AO391" s="382"/>
      <c r="AP391" s="382"/>
      <c r="AQ391" s="382"/>
      <c r="AR391" s="382"/>
      <c r="AS391" s="382"/>
      <c r="AT391" s="382"/>
      <c r="AU391" s="382"/>
      <c r="AV391" s="382"/>
      <c r="AW391" s="382"/>
      <c r="AX391" s="382"/>
      <c r="AY391" s="382"/>
      <c r="AZ391" s="382"/>
      <c r="BA391" s="382"/>
      <c r="BB391" s="382"/>
      <c r="BC391" s="382"/>
      <c r="BD391" s="382"/>
      <c r="BE391" s="382"/>
      <c r="BF391" s="382"/>
      <c r="BG391" s="382"/>
      <c r="BH391" s="382"/>
      <c r="BI391" s="382"/>
      <c r="BJ391" s="382"/>
      <c r="BK391" s="382"/>
      <c r="BL391" s="382"/>
      <c r="BM391" s="382"/>
      <c r="BN391" s="382"/>
      <c r="BO391" s="382"/>
      <c r="BP391" s="382"/>
      <c r="BQ391" s="382"/>
      <c r="BR391" s="382"/>
      <c r="BS391" s="382"/>
      <c r="BT391" s="382"/>
      <c r="BU391" s="496"/>
      <c r="BV391" s="382"/>
      <c r="BW391" s="382"/>
      <c r="BX391" s="382"/>
      <c r="BY391" s="382"/>
      <c r="BZ391" s="382"/>
      <c r="CA391" s="382"/>
      <c r="CB391" s="382"/>
      <c r="CC391" s="382"/>
      <c r="CD391" s="382"/>
      <c r="CE391" s="382"/>
      <c r="CF391" s="382"/>
      <c r="CG391" s="382"/>
      <c r="CH391" s="382"/>
      <c r="CI391" s="382"/>
      <c r="CJ391" s="382"/>
      <c r="CK391" s="382"/>
      <c r="CL391" s="382"/>
      <c r="CM391" s="382"/>
      <c r="CN391" s="382"/>
      <c r="CO391" s="382"/>
      <c r="CP391" s="382"/>
      <c r="CQ391" s="382"/>
      <c r="CR391" s="382"/>
      <c r="CS391" s="382"/>
      <c r="CT391" s="382"/>
      <c r="CU391" s="382"/>
      <c r="CV391" s="382"/>
      <c r="CW391" s="189"/>
      <c r="CX391" s="382"/>
      <c r="CY391" s="382"/>
      <c r="CZ391" s="382"/>
      <c r="DA391" s="382"/>
      <c r="DB391" s="382"/>
      <c r="DC391" s="382"/>
      <c r="DD391" s="382"/>
      <c r="DE391" s="382"/>
      <c r="DF391" s="382"/>
      <c r="DG391" s="382"/>
      <c r="DH391" s="382"/>
      <c r="DI391" s="382"/>
      <c r="DJ391" s="382"/>
      <c r="DK391" s="382"/>
      <c r="DL391" s="382"/>
      <c r="DM391" s="382"/>
      <c r="DN391" s="382"/>
      <c r="DO391" s="382"/>
      <c r="DP391" s="382"/>
      <c r="DQ391" s="382"/>
      <c r="DR391" s="382"/>
      <c r="DS391" s="382"/>
      <c r="DT391" s="382"/>
      <c r="DU391" s="382"/>
      <c r="DV391" s="382"/>
      <c r="DW391" s="382"/>
      <c r="DX391" s="382"/>
      <c r="DY391" s="382"/>
      <c r="DZ391" s="228"/>
    </row>
    <row r="392" spans="4:130" s="180" customFormat="1" x14ac:dyDescent="0.2">
      <c r="D392" s="805"/>
      <c r="E392" s="805"/>
      <c r="F392" s="805"/>
      <c r="G392" s="805"/>
      <c r="H392" s="805"/>
      <c r="I392" s="805"/>
      <c r="J392" s="805"/>
      <c r="K392" s="805"/>
      <c r="L392" s="805"/>
      <c r="M392" s="805"/>
      <c r="N392" s="806"/>
      <c r="O392" s="805"/>
      <c r="P392" s="805"/>
      <c r="Q392" s="807"/>
      <c r="R392" s="807"/>
      <c r="S392" s="808"/>
      <c r="T392" s="805"/>
      <c r="U392" s="805"/>
      <c r="V392" s="805"/>
      <c r="W392" s="805"/>
      <c r="X392" s="805"/>
      <c r="Y392" s="297"/>
      <c r="AB392" s="382"/>
      <c r="AC392" s="382"/>
      <c r="AD392" s="496"/>
      <c r="AE392" s="382"/>
      <c r="AF392" s="382"/>
      <c r="AG392" s="382"/>
      <c r="AH392" s="382"/>
      <c r="AI392" s="382"/>
      <c r="AJ392" s="382"/>
      <c r="AK392" s="382"/>
      <c r="AL392" s="382"/>
      <c r="AM392" s="382"/>
      <c r="AN392" s="382"/>
      <c r="AO392" s="382"/>
      <c r="AP392" s="382"/>
      <c r="AQ392" s="382"/>
      <c r="AR392" s="382"/>
      <c r="AS392" s="382"/>
      <c r="AT392" s="382"/>
      <c r="AU392" s="382"/>
      <c r="AV392" s="382"/>
      <c r="AW392" s="382"/>
      <c r="AX392" s="382"/>
      <c r="AY392" s="382"/>
      <c r="AZ392" s="382"/>
      <c r="BA392" s="382"/>
      <c r="BB392" s="382"/>
      <c r="BC392" s="382"/>
      <c r="BD392" s="382"/>
      <c r="BE392" s="382"/>
      <c r="BF392" s="382"/>
      <c r="BG392" s="382"/>
      <c r="BH392" s="382"/>
      <c r="BI392" s="382"/>
      <c r="BJ392" s="382"/>
      <c r="BK392" s="382"/>
      <c r="BL392" s="382"/>
      <c r="BM392" s="382"/>
      <c r="BN392" s="382"/>
      <c r="BO392" s="382"/>
      <c r="BP392" s="382"/>
      <c r="BQ392" s="382"/>
      <c r="BR392" s="382"/>
      <c r="BS392" s="382"/>
      <c r="BT392" s="382"/>
      <c r="BU392" s="496"/>
      <c r="BV392" s="382"/>
      <c r="BW392" s="382"/>
      <c r="BX392" s="382"/>
      <c r="BY392" s="382"/>
      <c r="BZ392" s="382"/>
      <c r="CA392" s="382"/>
      <c r="CB392" s="382"/>
      <c r="CC392" s="382"/>
      <c r="CD392" s="382"/>
      <c r="CE392" s="382"/>
      <c r="CF392" s="382"/>
      <c r="CG392" s="382"/>
      <c r="CH392" s="382"/>
      <c r="CI392" s="382"/>
      <c r="CJ392" s="382"/>
      <c r="CK392" s="382"/>
      <c r="CL392" s="382"/>
      <c r="CM392" s="382"/>
      <c r="CN392" s="382"/>
      <c r="CO392" s="382"/>
      <c r="CP392" s="382"/>
      <c r="CQ392" s="382"/>
      <c r="CR392" s="382"/>
      <c r="CS392" s="382"/>
      <c r="CT392" s="382"/>
      <c r="CU392" s="382"/>
      <c r="CV392" s="382"/>
      <c r="CW392" s="189"/>
      <c r="CX392" s="382"/>
      <c r="CY392" s="382"/>
      <c r="CZ392" s="382"/>
      <c r="DA392" s="382"/>
      <c r="DB392" s="382"/>
      <c r="DC392" s="382"/>
      <c r="DD392" s="382"/>
      <c r="DE392" s="382"/>
      <c r="DF392" s="382"/>
      <c r="DG392" s="382"/>
      <c r="DH392" s="382"/>
      <c r="DI392" s="382"/>
      <c r="DJ392" s="382"/>
      <c r="DK392" s="382"/>
      <c r="DL392" s="382"/>
      <c r="DM392" s="382"/>
      <c r="DN392" s="382"/>
      <c r="DO392" s="382"/>
      <c r="DP392" s="382"/>
      <c r="DQ392" s="382"/>
      <c r="DR392" s="382"/>
      <c r="DS392" s="382"/>
      <c r="DT392" s="382"/>
      <c r="DU392" s="382"/>
      <c r="DV392" s="382"/>
      <c r="DW392" s="382"/>
      <c r="DX392" s="382"/>
      <c r="DY392" s="382"/>
      <c r="DZ392" s="228"/>
    </row>
    <row r="393" spans="4:130" s="180" customFormat="1" x14ac:dyDescent="0.2">
      <c r="D393" s="805"/>
      <c r="E393" s="805"/>
      <c r="F393" s="805"/>
      <c r="G393" s="805"/>
      <c r="H393" s="805"/>
      <c r="I393" s="805"/>
      <c r="J393" s="805"/>
      <c r="K393" s="805"/>
      <c r="L393" s="805"/>
      <c r="M393" s="805"/>
      <c r="N393" s="806"/>
      <c r="O393" s="805"/>
      <c r="P393" s="805"/>
      <c r="Q393" s="807"/>
      <c r="R393" s="807"/>
      <c r="S393" s="808"/>
      <c r="T393" s="805"/>
      <c r="U393" s="805"/>
      <c r="V393" s="805"/>
      <c r="W393" s="805"/>
      <c r="X393" s="805"/>
      <c r="Y393" s="297"/>
      <c r="AB393" s="382"/>
      <c r="AC393" s="382"/>
      <c r="AD393" s="496"/>
      <c r="AE393" s="382"/>
      <c r="AF393" s="382"/>
      <c r="AG393" s="382"/>
      <c r="AH393" s="382"/>
      <c r="AI393" s="382"/>
      <c r="AJ393" s="382"/>
      <c r="AK393" s="382"/>
      <c r="AL393" s="382"/>
      <c r="AM393" s="382"/>
      <c r="AN393" s="382"/>
      <c r="AO393" s="382"/>
      <c r="AP393" s="382"/>
      <c r="AQ393" s="382"/>
      <c r="AR393" s="382"/>
      <c r="AS393" s="382"/>
      <c r="AT393" s="382"/>
      <c r="AU393" s="382"/>
      <c r="AV393" s="382"/>
      <c r="AW393" s="382"/>
      <c r="AX393" s="382"/>
      <c r="AY393" s="382"/>
      <c r="AZ393" s="382"/>
      <c r="BA393" s="382"/>
      <c r="BB393" s="382"/>
      <c r="BC393" s="382"/>
      <c r="BD393" s="382"/>
      <c r="BE393" s="382"/>
      <c r="BF393" s="382"/>
      <c r="BG393" s="382"/>
      <c r="BH393" s="382"/>
      <c r="BI393" s="382"/>
      <c r="BJ393" s="382"/>
      <c r="BK393" s="382"/>
      <c r="BL393" s="382"/>
      <c r="BM393" s="382"/>
      <c r="BN393" s="382"/>
      <c r="BO393" s="382"/>
      <c r="BP393" s="382"/>
      <c r="BQ393" s="382"/>
      <c r="BR393" s="382"/>
      <c r="BS393" s="382"/>
      <c r="BT393" s="382"/>
      <c r="BU393" s="496"/>
      <c r="BV393" s="382"/>
      <c r="BW393" s="382"/>
      <c r="BX393" s="382"/>
      <c r="BY393" s="382"/>
      <c r="BZ393" s="382"/>
      <c r="CA393" s="382"/>
      <c r="CB393" s="382"/>
      <c r="CC393" s="382"/>
      <c r="CD393" s="382"/>
      <c r="CE393" s="382"/>
      <c r="CF393" s="382"/>
      <c r="CG393" s="382"/>
      <c r="CH393" s="382"/>
      <c r="CI393" s="382"/>
      <c r="CJ393" s="382"/>
      <c r="CK393" s="382"/>
      <c r="CL393" s="382"/>
      <c r="CM393" s="382"/>
      <c r="CN393" s="382"/>
      <c r="CO393" s="382"/>
      <c r="CP393" s="382"/>
      <c r="CQ393" s="382"/>
      <c r="CR393" s="382"/>
      <c r="CS393" s="382"/>
      <c r="CT393" s="382"/>
      <c r="CU393" s="382"/>
      <c r="CV393" s="382"/>
      <c r="CW393" s="189"/>
      <c r="CX393" s="382"/>
      <c r="CY393" s="382"/>
      <c r="CZ393" s="382"/>
      <c r="DA393" s="382"/>
      <c r="DB393" s="382"/>
      <c r="DC393" s="382"/>
      <c r="DD393" s="382"/>
      <c r="DE393" s="382"/>
      <c r="DF393" s="382"/>
      <c r="DG393" s="382"/>
      <c r="DH393" s="382"/>
      <c r="DI393" s="382"/>
      <c r="DJ393" s="382"/>
      <c r="DK393" s="382"/>
      <c r="DL393" s="382"/>
      <c r="DM393" s="382"/>
      <c r="DN393" s="382"/>
      <c r="DO393" s="382"/>
      <c r="DP393" s="382"/>
      <c r="DQ393" s="382"/>
      <c r="DR393" s="382"/>
      <c r="DS393" s="382"/>
      <c r="DT393" s="382"/>
      <c r="DU393" s="382"/>
      <c r="DV393" s="382"/>
      <c r="DW393" s="382"/>
      <c r="DX393" s="382"/>
      <c r="DY393" s="382"/>
      <c r="DZ393" s="228"/>
    </row>
    <row r="394" spans="4:130" s="180" customFormat="1" x14ac:dyDescent="0.2">
      <c r="D394" s="805"/>
      <c r="E394" s="805"/>
      <c r="F394" s="805"/>
      <c r="G394" s="805"/>
      <c r="H394" s="805"/>
      <c r="I394" s="805"/>
      <c r="J394" s="805"/>
      <c r="K394" s="805"/>
      <c r="L394" s="805"/>
      <c r="M394" s="805"/>
      <c r="N394" s="806"/>
      <c r="O394" s="805"/>
      <c r="P394" s="805"/>
      <c r="Q394" s="807"/>
      <c r="R394" s="807"/>
      <c r="S394" s="808"/>
      <c r="T394" s="805"/>
      <c r="U394" s="805"/>
      <c r="V394" s="805"/>
      <c r="W394" s="805"/>
      <c r="X394" s="805"/>
      <c r="Y394" s="297"/>
      <c r="AB394" s="382"/>
      <c r="AC394" s="382"/>
      <c r="AD394" s="496"/>
      <c r="AE394" s="382"/>
      <c r="AF394" s="382"/>
      <c r="AG394" s="382"/>
      <c r="AH394" s="382"/>
      <c r="AI394" s="382"/>
      <c r="AJ394" s="382"/>
      <c r="AK394" s="382"/>
      <c r="AL394" s="382"/>
      <c r="AM394" s="382"/>
      <c r="AN394" s="382"/>
      <c r="AO394" s="382"/>
      <c r="AP394" s="382"/>
      <c r="AQ394" s="382"/>
      <c r="AR394" s="382"/>
      <c r="AS394" s="382"/>
      <c r="AT394" s="382"/>
      <c r="AU394" s="382"/>
      <c r="AV394" s="382"/>
      <c r="AW394" s="382"/>
      <c r="AX394" s="382"/>
      <c r="AY394" s="382"/>
      <c r="AZ394" s="382"/>
      <c r="BA394" s="382"/>
      <c r="BB394" s="382"/>
      <c r="BC394" s="382"/>
      <c r="BD394" s="382"/>
      <c r="BE394" s="382"/>
      <c r="BF394" s="382"/>
      <c r="BG394" s="382"/>
      <c r="BH394" s="382"/>
      <c r="BI394" s="382"/>
      <c r="BJ394" s="382"/>
      <c r="BK394" s="382"/>
      <c r="BL394" s="382"/>
      <c r="BM394" s="382"/>
      <c r="BN394" s="382"/>
      <c r="BO394" s="382"/>
      <c r="BP394" s="382"/>
      <c r="BQ394" s="382"/>
      <c r="BR394" s="382"/>
      <c r="BS394" s="382"/>
      <c r="BT394" s="382"/>
      <c r="BU394" s="496"/>
      <c r="BV394" s="382"/>
      <c r="BW394" s="382"/>
      <c r="BX394" s="382"/>
      <c r="BY394" s="382"/>
      <c r="BZ394" s="382"/>
      <c r="CA394" s="382"/>
      <c r="CB394" s="382"/>
      <c r="CC394" s="382"/>
      <c r="CD394" s="382"/>
      <c r="CE394" s="382"/>
      <c r="CF394" s="382"/>
      <c r="CG394" s="382"/>
      <c r="CH394" s="382"/>
      <c r="CI394" s="382"/>
      <c r="CJ394" s="382"/>
      <c r="CK394" s="382"/>
      <c r="CL394" s="382"/>
      <c r="CM394" s="382"/>
      <c r="CN394" s="382"/>
      <c r="CO394" s="382"/>
      <c r="CP394" s="382"/>
      <c r="CQ394" s="382"/>
      <c r="CR394" s="382"/>
      <c r="CS394" s="382"/>
      <c r="CT394" s="382"/>
      <c r="CU394" s="382"/>
      <c r="CV394" s="382"/>
      <c r="CW394" s="189"/>
      <c r="CX394" s="382"/>
      <c r="CY394" s="382"/>
      <c r="CZ394" s="382"/>
      <c r="DA394" s="382"/>
      <c r="DB394" s="382"/>
      <c r="DC394" s="382"/>
      <c r="DD394" s="382"/>
      <c r="DE394" s="382"/>
      <c r="DF394" s="382"/>
      <c r="DG394" s="382"/>
      <c r="DH394" s="382"/>
      <c r="DI394" s="382"/>
      <c r="DJ394" s="382"/>
      <c r="DK394" s="382"/>
      <c r="DL394" s="382"/>
      <c r="DM394" s="382"/>
      <c r="DN394" s="382"/>
      <c r="DO394" s="382"/>
      <c r="DP394" s="382"/>
      <c r="DQ394" s="382"/>
      <c r="DR394" s="382"/>
      <c r="DS394" s="382"/>
      <c r="DT394" s="382"/>
      <c r="DU394" s="382"/>
      <c r="DV394" s="382"/>
      <c r="DW394" s="382"/>
      <c r="DX394" s="382"/>
      <c r="DY394" s="382"/>
      <c r="DZ394" s="228"/>
    </row>
    <row r="395" spans="4:130" s="180" customFormat="1" x14ac:dyDescent="0.2">
      <c r="D395" s="805"/>
      <c r="E395" s="805"/>
      <c r="F395" s="805"/>
      <c r="G395" s="805"/>
      <c r="H395" s="805"/>
      <c r="I395" s="805"/>
      <c r="J395" s="805"/>
      <c r="K395" s="805"/>
      <c r="L395" s="805"/>
      <c r="M395" s="805"/>
      <c r="N395" s="806"/>
      <c r="O395" s="805"/>
      <c r="P395" s="805"/>
      <c r="Q395" s="807"/>
      <c r="R395" s="807"/>
      <c r="S395" s="808"/>
      <c r="T395" s="805"/>
      <c r="U395" s="805"/>
      <c r="V395" s="805"/>
      <c r="W395" s="805"/>
      <c r="X395" s="805"/>
      <c r="Y395" s="297"/>
      <c r="AB395" s="382"/>
      <c r="AC395" s="382"/>
      <c r="AD395" s="496"/>
      <c r="AE395" s="382"/>
      <c r="AF395" s="382"/>
      <c r="AG395" s="382"/>
      <c r="AH395" s="382"/>
      <c r="AI395" s="382"/>
      <c r="AJ395" s="382"/>
      <c r="AK395" s="382"/>
      <c r="AL395" s="382"/>
      <c r="AM395" s="382"/>
      <c r="AN395" s="382"/>
      <c r="AO395" s="382"/>
      <c r="AP395" s="382"/>
      <c r="AQ395" s="382"/>
      <c r="AR395" s="382"/>
      <c r="AS395" s="382"/>
      <c r="AT395" s="382"/>
      <c r="AU395" s="382"/>
      <c r="AV395" s="382"/>
      <c r="AW395" s="382"/>
      <c r="AX395" s="382"/>
      <c r="AY395" s="382"/>
      <c r="AZ395" s="382"/>
      <c r="BA395" s="382"/>
      <c r="BB395" s="382"/>
      <c r="BC395" s="382"/>
      <c r="BD395" s="382"/>
      <c r="BE395" s="382"/>
      <c r="BF395" s="382"/>
      <c r="BG395" s="382"/>
      <c r="BH395" s="382"/>
      <c r="BI395" s="382"/>
      <c r="BJ395" s="382"/>
      <c r="BK395" s="382"/>
      <c r="BL395" s="382"/>
      <c r="BM395" s="382"/>
      <c r="BN395" s="382"/>
      <c r="BO395" s="382"/>
      <c r="BP395" s="382"/>
      <c r="BQ395" s="382"/>
      <c r="BR395" s="382"/>
      <c r="BS395" s="382"/>
      <c r="BT395" s="382"/>
      <c r="BU395" s="496"/>
      <c r="BV395" s="382"/>
      <c r="BW395" s="382"/>
      <c r="BX395" s="382"/>
      <c r="BY395" s="382"/>
      <c r="BZ395" s="382"/>
      <c r="CA395" s="382"/>
      <c r="CB395" s="382"/>
      <c r="CC395" s="382"/>
      <c r="CD395" s="382"/>
      <c r="CE395" s="382"/>
      <c r="CF395" s="382"/>
      <c r="CG395" s="382"/>
      <c r="CH395" s="382"/>
      <c r="CI395" s="382"/>
      <c r="CJ395" s="382"/>
      <c r="CK395" s="382"/>
      <c r="CL395" s="382"/>
      <c r="CM395" s="382"/>
      <c r="CN395" s="382"/>
      <c r="CO395" s="382"/>
      <c r="CP395" s="382"/>
      <c r="CQ395" s="382"/>
      <c r="CR395" s="382"/>
      <c r="CS395" s="382"/>
      <c r="CT395" s="382"/>
      <c r="CU395" s="382"/>
      <c r="CV395" s="382"/>
      <c r="CW395" s="189"/>
      <c r="CX395" s="382"/>
      <c r="CY395" s="382"/>
      <c r="CZ395" s="382"/>
      <c r="DA395" s="382"/>
      <c r="DB395" s="382"/>
      <c r="DC395" s="382"/>
      <c r="DD395" s="382"/>
      <c r="DE395" s="382"/>
      <c r="DF395" s="382"/>
      <c r="DG395" s="382"/>
      <c r="DH395" s="382"/>
      <c r="DI395" s="382"/>
      <c r="DJ395" s="382"/>
      <c r="DK395" s="382"/>
      <c r="DL395" s="382"/>
      <c r="DM395" s="382"/>
      <c r="DN395" s="382"/>
      <c r="DO395" s="382"/>
      <c r="DP395" s="382"/>
      <c r="DQ395" s="382"/>
      <c r="DR395" s="382"/>
      <c r="DS395" s="382"/>
      <c r="DT395" s="382"/>
      <c r="DU395" s="382"/>
      <c r="DV395" s="382"/>
      <c r="DW395" s="382"/>
      <c r="DX395" s="382"/>
      <c r="DY395" s="382"/>
      <c r="DZ395" s="228"/>
    </row>
    <row r="396" spans="4:130" s="180" customFormat="1" x14ac:dyDescent="0.2">
      <c r="D396" s="805"/>
      <c r="E396" s="805"/>
      <c r="F396" s="805"/>
      <c r="G396" s="805"/>
      <c r="H396" s="805"/>
      <c r="I396" s="805"/>
      <c r="J396" s="805"/>
      <c r="K396" s="805"/>
      <c r="L396" s="805"/>
      <c r="M396" s="805"/>
      <c r="N396" s="806"/>
      <c r="O396" s="805"/>
      <c r="P396" s="805"/>
      <c r="Q396" s="807"/>
      <c r="R396" s="807"/>
      <c r="S396" s="808"/>
      <c r="T396" s="805"/>
      <c r="U396" s="805"/>
      <c r="V396" s="805"/>
      <c r="W396" s="805"/>
      <c r="X396" s="805"/>
      <c r="Y396" s="297"/>
      <c r="AB396" s="382"/>
      <c r="AC396" s="382"/>
      <c r="AD396" s="496"/>
      <c r="AE396" s="382"/>
      <c r="AF396" s="382"/>
      <c r="AG396" s="382"/>
      <c r="AH396" s="382"/>
      <c r="AI396" s="382"/>
      <c r="AJ396" s="382"/>
      <c r="AK396" s="382"/>
      <c r="AL396" s="382"/>
      <c r="AM396" s="382"/>
      <c r="AN396" s="382"/>
      <c r="AO396" s="382"/>
      <c r="AP396" s="382"/>
      <c r="AQ396" s="382"/>
      <c r="AR396" s="382"/>
      <c r="AS396" s="382"/>
      <c r="AT396" s="382"/>
      <c r="AU396" s="382"/>
      <c r="AV396" s="382"/>
      <c r="AW396" s="382"/>
      <c r="AX396" s="382"/>
      <c r="AY396" s="382"/>
      <c r="AZ396" s="382"/>
      <c r="BA396" s="382"/>
      <c r="BB396" s="382"/>
      <c r="BC396" s="382"/>
      <c r="BD396" s="382"/>
      <c r="BE396" s="382"/>
      <c r="BF396" s="382"/>
      <c r="BG396" s="382"/>
      <c r="BH396" s="382"/>
      <c r="BI396" s="382"/>
      <c r="BJ396" s="382"/>
      <c r="BK396" s="382"/>
      <c r="BL396" s="382"/>
      <c r="BM396" s="382"/>
      <c r="BN396" s="382"/>
      <c r="BO396" s="382"/>
      <c r="BP396" s="382"/>
      <c r="BQ396" s="382"/>
      <c r="BR396" s="382"/>
      <c r="BS396" s="382"/>
      <c r="BT396" s="382"/>
      <c r="BU396" s="496"/>
      <c r="BV396" s="382"/>
      <c r="BW396" s="382"/>
      <c r="BX396" s="382"/>
      <c r="BY396" s="382"/>
      <c r="BZ396" s="382"/>
      <c r="CA396" s="382"/>
      <c r="CB396" s="382"/>
      <c r="CC396" s="382"/>
      <c r="CD396" s="382"/>
      <c r="CE396" s="382"/>
      <c r="CF396" s="382"/>
      <c r="CG396" s="382"/>
      <c r="CH396" s="382"/>
      <c r="CI396" s="382"/>
      <c r="CJ396" s="382"/>
      <c r="CK396" s="382"/>
      <c r="CL396" s="382"/>
      <c r="CM396" s="382"/>
      <c r="CN396" s="382"/>
      <c r="CO396" s="382"/>
      <c r="CP396" s="382"/>
      <c r="CQ396" s="382"/>
      <c r="CR396" s="382"/>
      <c r="CS396" s="382"/>
      <c r="CT396" s="382"/>
      <c r="CU396" s="382"/>
      <c r="CV396" s="382"/>
      <c r="CW396" s="189"/>
      <c r="CX396" s="382"/>
      <c r="CY396" s="382"/>
      <c r="CZ396" s="382"/>
      <c r="DA396" s="382"/>
      <c r="DB396" s="382"/>
      <c r="DC396" s="382"/>
      <c r="DD396" s="382"/>
      <c r="DE396" s="382"/>
      <c r="DF396" s="382"/>
      <c r="DG396" s="382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  <c r="DS396" s="382"/>
      <c r="DT396" s="382"/>
      <c r="DU396" s="382"/>
      <c r="DV396" s="382"/>
      <c r="DW396" s="382"/>
      <c r="DX396" s="382"/>
      <c r="DY396" s="382"/>
      <c r="DZ396" s="228"/>
    </row>
    <row r="397" spans="4:130" s="180" customFormat="1" x14ac:dyDescent="0.2">
      <c r="D397" s="805"/>
      <c r="E397" s="805"/>
      <c r="F397" s="805"/>
      <c r="G397" s="805"/>
      <c r="H397" s="805"/>
      <c r="I397" s="805"/>
      <c r="J397" s="805"/>
      <c r="K397" s="805"/>
      <c r="L397" s="805"/>
      <c r="M397" s="805"/>
      <c r="N397" s="806"/>
      <c r="O397" s="805"/>
      <c r="P397" s="805"/>
      <c r="Q397" s="807"/>
      <c r="R397" s="807"/>
      <c r="S397" s="808"/>
      <c r="T397" s="805"/>
      <c r="U397" s="805"/>
      <c r="V397" s="805"/>
      <c r="W397" s="805"/>
      <c r="X397" s="805"/>
      <c r="Y397" s="297"/>
      <c r="AB397" s="382"/>
      <c r="AC397" s="382"/>
      <c r="AD397" s="496"/>
      <c r="AE397" s="382"/>
      <c r="AF397" s="382"/>
      <c r="AG397" s="382"/>
      <c r="AH397" s="382"/>
      <c r="AI397" s="382"/>
      <c r="AJ397" s="382"/>
      <c r="AK397" s="382"/>
      <c r="AL397" s="382"/>
      <c r="AM397" s="382"/>
      <c r="AN397" s="382"/>
      <c r="AO397" s="382"/>
      <c r="AP397" s="382"/>
      <c r="AQ397" s="382"/>
      <c r="AR397" s="382"/>
      <c r="AS397" s="382"/>
      <c r="AT397" s="382"/>
      <c r="AU397" s="382"/>
      <c r="AV397" s="382"/>
      <c r="AW397" s="382"/>
      <c r="AX397" s="382"/>
      <c r="AY397" s="382"/>
      <c r="AZ397" s="382"/>
      <c r="BA397" s="382"/>
      <c r="BB397" s="382"/>
      <c r="BC397" s="382"/>
      <c r="BD397" s="382"/>
      <c r="BE397" s="382"/>
      <c r="BF397" s="382"/>
      <c r="BG397" s="382"/>
      <c r="BH397" s="382"/>
      <c r="BI397" s="382"/>
      <c r="BJ397" s="382"/>
      <c r="BK397" s="382"/>
      <c r="BL397" s="382"/>
      <c r="BM397" s="382"/>
      <c r="BN397" s="382"/>
      <c r="BO397" s="382"/>
      <c r="BP397" s="382"/>
      <c r="BQ397" s="382"/>
      <c r="BR397" s="382"/>
      <c r="BS397" s="382"/>
      <c r="BT397" s="382"/>
      <c r="BU397" s="496"/>
      <c r="BV397" s="382"/>
      <c r="BW397" s="382"/>
      <c r="BX397" s="382"/>
      <c r="BY397" s="382"/>
      <c r="BZ397" s="382"/>
      <c r="CA397" s="382"/>
      <c r="CB397" s="382"/>
      <c r="CC397" s="382"/>
      <c r="CD397" s="382"/>
      <c r="CE397" s="382"/>
      <c r="CF397" s="382"/>
      <c r="CG397" s="382"/>
      <c r="CH397" s="382"/>
      <c r="CI397" s="382"/>
      <c r="CJ397" s="382"/>
      <c r="CK397" s="382"/>
      <c r="CL397" s="382"/>
      <c r="CM397" s="382"/>
      <c r="CN397" s="382"/>
      <c r="CO397" s="382"/>
      <c r="CP397" s="382"/>
      <c r="CQ397" s="382"/>
      <c r="CR397" s="382"/>
      <c r="CS397" s="382"/>
      <c r="CT397" s="382"/>
      <c r="CU397" s="382"/>
      <c r="CV397" s="382"/>
      <c r="CW397" s="189"/>
      <c r="CX397" s="382"/>
      <c r="CY397" s="382"/>
      <c r="CZ397" s="382"/>
      <c r="DA397" s="382"/>
      <c r="DB397" s="382"/>
      <c r="DC397" s="382"/>
      <c r="DD397" s="382"/>
      <c r="DE397" s="382"/>
      <c r="DF397" s="382"/>
      <c r="DG397" s="382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  <c r="DS397" s="382"/>
      <c r="DT397" s="382"/>
      <c r="DU397" s="382"/>
      <c r="DV397" s="382"/>
      <c r="DW397" s="382"/>
      <c r="DX397" s="382"/>
      <c r="DY397" s="382"/>
      <c r="DZ397" s="228"/>
    </row>
    <row r="398" spans="4:130" s="180" customFormat="1" x14ac:dyDescent="0.2">
      <c r="D398" s="805"/>
      <c r="E398" s="805"/>
      <c r="F398" s="805"/>
      <c r="G398" s="805"/>
      <c r="H398" s="805"/>
      <c r="I398" s="805"/>
      <c r="J398" s="805"/>
      <c r="K398" s="805"/>
      <c r="L398" s="805"/>
      <c r="M398" s="805"/>
      <c r="N398" s="806"/>
      <c r="O398" s="805"/>
      <c r="P398" s="805"/>
      <c r="Q398" s="807"/>
      <c r="R398" s="807"/>
      <c r="S398" s="808"/>
      <c r="T398" s="805"/>
      <c r="U398" s="805"/>
      <c r="V398" s="805"/>
      <c r="W398" s="805"/>
      <c r="X398" s="805"/>
      <c r="Y398" s="297"/>
      <c r="AB398" s="382"/>
      <c r="AC398" s="382"/>
      <c r="AD398" s="496"/>
      <c r="AE398" s="382"/>
      <c r="AF398" s="382"/>
      <c r="AG398" s="382"/>
      <c r="AH398" s="382"/>
      <c r="AI398" s="382"/>
      <c r="AJ398" s="382"/>
      <c r="AK398" s="382"/>
      <c r="AL398" s="382"/>
      <c r="AM398" s="382"/>
      <c r="AN398" s="382"/>
      <c r="AO398" s="382"/>
      <c r="AP398" s="382"/>
      <c r="AQ398" s="382"/>
      <c r="AR398" s="382"/>
      <c r="AS398" s="382"/>
      <c r="AT398" s="382"/>
      <c r="AU398" s="382"/>
      <c r="AV398" s="382"/>
      <c r="AW398" s="382"/>
      <c r="AX398" s="382"/>
      <c r="AY398" s="382"/>
      <c r="AZ398" s="382"/>
      <c r="BA398" s="382"/>
      <c r="BB398" s="382"/>
      <c r="BC398" s="382"/>
      <c r="BD398" s="382"/>
      <c r="BE398" s="382"/>
      <c r="BF398" s="382"/>
      <c r="BG398" s="382"/>
      <c r="BH398" s="382"/>
      <c r="BI398" s="382"/>
      <c r="BJ398" s="382"/>
      <c r="BK398" s="382"/>
      <c r="BL398" s="382"/>
      <c r="BM398" s="382"/>
      <c r="BN398" s="382"/>
      <c r="BO398" s="382"/>
      <c r="BP398" s="382"/>
      <c r="BQ398" s="382"/>
      <c r="BR398" s="382"/>
      <c r="BS398" s="382"/>
      <c r="BT398" s="382"/>
      <c r="BU398" s="496"/>
      <c r="BV398" s="382"/>
      <c r="BW398" s="382"/>
      <c r="BX398" s="382"/>
      <c r="BY398" s="382"/>
      <c r="BZ398" s="382"/>
      <c r="CA398" s="382"/>
      <c r="CB398" s="382"/>
      <c r="CC398" s="382"/>
      <c r="CD398" s="382"/>
      <c r="CE398" s="382"/>
      <c r="CF398" s="382"/>
      <c r="CG398" s="382"/>
      <c r="CH398" s="382"/>
      <c r="CI398" s="382"/>
      <c r="CJ398" s="382"/>
      <c r="CK398" s="382"/>
      <c r="CL398" s="382"/>
      <c r="CM398" s="382"/>
      <c r="CN398" s="382"/>
      <c r="CO398" s="382"/>
      <c r="CP398" s="382"/>
      <c r="CQ398" s="382"/>
      <c r="CR398" s="382"/>
      <c r="CS398" s="382"/>
      <c r="CT398" s="382"/>
      <c r="CU398" s="382"/>
      <c r="CV398" s="382"/>
      <c r="CW398" s="189"/>
      <c r="CX398" s="382"/>
      <c r="CY398" s="382"/>
      <c r="CZ398" s="382"/>
      <c r="DA398" s="382"/>
      <c r="DB398" s="382"/>
      <c r="DC398" s="382"/>
      <c r="DD398" s="382"/>
      <c r="DE398" s="382"/>
      <c r="DF398" s="382"/>
      <c r="DG398" s="382"/>
      <c r="DH398" s="382"/>
      <c r="DI398" s="382"/>
      <c r="DJ398" s="382"/>
      <c r="DK398" s="382"/>
      <c r="DL398" s="382"/>
      <c r="DM398" s="382"/>
      <c r="DN398" s="382"/>
      <c r="DO398" s="382"/>
      <c r="DP398" s="382"/>
      <c r="DQ398" s="382"/>
      <c r="DR398" s="382"/>
      <c r="DS398" s="382"/>
      <c r="DT398" s="382"/>
      <c r="DU398" s="382"/>
      <c r="DV398" s="382"/>
      <c r="DW398" s="382"/>
      <c r="DX398" s="382"/>
      <c r="DY398" s="382"/>
      <c r="DZ398" s="228"/>
    </row>
    <row r="399" spans="4:130" s="180" customFormat="1" x14ac:dyDescent="0.2">
      <c r="D399" s="805"/>
      <c r="E399" s="805"/>
      <c r="F399" s="805"/>
      <c r="G399" s="805"/>
      <c r="H399" s="805"/>
      <c r="I399" s="805"/>
      <c r="J399" s="805"/>
      <c r="K399" s="805"/>
      <c r="L399" s="805"/>
      <c r="M399" s="805"/>
      <c r="N399" s="806"/>
      <c r="O399" s="805"/>
      <c r="P399" s="805"/>
      <c r="Q399" s="807"/>
      <c r="R399" s="807"/>
      <c r="S399" s="808"/>
      <c r="T399" s="805"/>
      <c r="U399" s="805"/>
      <c r="V399" s="805"/>
      <c r="W399" s="805"/>
      <c r="X399" s="805"/>
      <c r="Y399" s="297"/>
      <c r="AB399" s="382"/>
      <c r="AC399" s="382"/>
      <c r="AD399" s="496"/>
      <c r="AE399" s="382"/>
      <c r="AF399" s="382"/>
      <c r="AG399" s="382"/>
      <c r="AH399" s="382"/>
      <c r="AI399" s="382"/>
      <c r="AJ399" s="382"/>
      <c r="AK399" s="382"/>
      <c r="AL399" s="382"/>
      <c r="AM399" s="382"/>
      <c r="AN399" s="382"/>
      <c r="AO399" s="382"/>
      <c r="AP399" s="382"/>
      <c r="AQ399" s="382"/>
      <c r="AR399" s="382"/>
      <c r="AS399" s="382"/>
      <c r="AT399" s="382"/>
      <c r="AU399" s="382"/>
      <c r="AV399" s="382"/>
      <c r="AW399" s="382"/>
      <c r="AX399" s="382"/>
      <c r="AY399" s="382"/>
      <c r="AZ399" s="382"/>
      <c r="BA399" s="382"/>
      <c r="BB399" s="382"/>
      <c r="BC399" s="382"/>
      <c r="BD399" s="382"/>
      <c r="BE399" s="382"/>
      <c r="BF399" s="382"/>
      <c r="BG399" s="382"/>
      <c r="BH399" s="382"/>
      <c r="BI399" s="382"/>
      <c r="BJ399" s="382"/>
      <c r="BK399" s="382"/>
      <c r="BL399" s="382"/>
      <c r="BM399" s="382"/>
      <c r="BN399" s="382"/>
      <c r="BO399" s="382"/>
      <c r="BP399" s="382"/>
      <c r="BQ399" s="382"/>
      <c r="BR399" s="382"/>
      <c r="BS399" s="382"/>
      <c r="BT399" s="382"/>
      <c r="BU399" s="496"/>
      <c r="BV399" s="382"/>
      <c r="BW399" s="382"/>
      <c r="BX399" s="382"/>
      <c r="BY399" s="382"/>
      <c r="BZ399" s="382"/>
      <c r="CA399" s="382"/>
      <c r="CB399" s="382"/>
      <c r="CC399" s="382"/>
      <c r="CD399" s="382"/>
      <c r="CE399" s="382"/>
      <c r="CF399" s="382"/>
      <c r="CG399" s="382"/>
      <c r="CH399" s="382"/>
      <c r="CI399" s="382"/>
      <c r="CJ399" s="382"/>
      <c r="CK399" s="382"/>
      <c r="CL399" s="382"/>
      <c r="CM399" s="382"/>
      <c r="CN399" s="382"/>
      <c r="CO399" s="382"/>
      <c r="CP399" s="382"/>
      <c r="CQ399" s="382"/>
      <c r="CR399" s="382"/>
      <c r="CS399" s="382"/>
      <c r="CT399" s="382"/>
      <c r="CU399" s="382"/>
      <c r="CV399" s="382"/>
      <c r="CW399" s="189"/>
      <c r="CX399" s="382"/>
      <c r="CY399" s="382"/>
      <c r="CZ399" s="382"/>
      <c r="DA399" s="382"/>
      <c r="DB399" s="382"/>
      <c r="DC399" s="382"/>
      <c r="DD399" s="382"/>
      <c r="DE399" s="382"/>
      <c r="DF399" s="382"/>
      <c r="DG399" s="382"/>
      <c r="DH399" s="382"/>
      <c r="DI399" s="382"/>
      <c r="DJ399" s="382"/>
      <c r="DK399" s="382"/>
      <c r="DL399" s="382"/>
      <c r="DM399" s="382"/>
      <c r="DN399" s="382"/>
      <c r="DO399" s="382"/>
      <c r="DP399" s="382"/>
      <c r="DQ399" s="382"/>
      <c r="DR399" s="382"/>
      <c r="DS399" s="382"/>
      <c r="DT399" s="382"/>
      <c r="DU399" s="382"/>
      <c r="DV399" s="382"/>
      <c r="DW399" s="382"/>
      <c r="DX399" s="382"/>
      <c r="DY399" s="382"/>
      <c r="DZ399" s="228"/>
    </row>
    <row r="400" spans="4:130" s="180" customFormat="1" x14ac:dyDescent="0.2">
      <c r="D400" s="805"/>
      <c r="E400" s="805"/>
      <c r="F400" s="805"/>
      <c r="G400" s="805"/>
      <c r="H400" s="805"/>
      <c r="I400" s="805"/>
      <c r="J400" s="805"/>
      <c r="K400" s="805"/>
      <c r="L400" s="805"/>
      <c r="M400" s="805"/>
      <c r="N400" s="806"/>
      <c r="O400" s="805"/>
      <c r="P400" s="805"/>
      <c r="Q400" s="807"/>
      <c r="R400" s="807"/>
      <c r="S400" s="808"/>
      <c r="T400" s="805"/>
      <c r="U400" s="805"/>
      <c r="V400" s="805"/>
      <c r="W400" s="805"/>
      <c r="X400" s="805"/>
      <c r="Y400" s="297"/>
      <c r="AB400" s="382"/>
      <c r="AC400" s="382"/>
      <c r="AD400" s="496"/>
      <c r="AE400" s="382"/>
      <c r="AF400" s="382"/>
      <c r="AG400" s="382"/>
      <c r="AH400" s="382"/>
      <c r="AI400" s="382"/>
      <c r="AJ400" s="382"/>
      <c r="AK400" s="382"/>
      <c r="AL400" s="382"/>
      <c r="AM400" s="382"/>
      <c r="AN400" s="382"/>
      <c r="AO400" s="382"/>
      <c r="AP400" s="382"/>
      <c r="AQ400" s="382"/>
      <c r="AR400" s="382"/>
      <c r="AS400" s="382"/>
      <c r="AT400" s="382"/>
      <c r="AU400" s="382"/>
      <c r="AV400" s="382"/>
      <c r="AW400" s="382"/>
      <c r="AX400" s="382"/>
      <c r="AY400" s="382"/>
      <c r="AZ400" s="382"/>
      <c r="BA400" s="382"/>
      <c r="BB400" s="382"/>
      <c r="BC400" s="382"/>
      <c r="BD400" s="382"/>
      <c r="BE400" s="382"/>
      <c r="BF400" s="382"/>
      <c r="BG400" s="382"/>
      <c r="BH400" s="382"/>
      <c r="BI400" s="382"/>
      <c r="BJ400" s="382"/>
      <c r="BK400" s="382"/>
      <c r="BL400" s="382"/>
      <c r="BM400" s="382"/>
      <c r="BN400" s="382"/>
      <c r="BO400" s="382"/>
      <c r="BP400" s="382"/>
      <c r="BQ400" s="382"/>
      <c r="BR400" s="382"/>
      <c r="BS400" s="382"/>
      <c r="BT400" s="382"/>
      <c r="BU400" s="496"/>
      <c r="BV400" s="382"/>
      <c r="BW400" s="382"/>
      <c r="BX400" s="382"/>
      <c r="BY400" s="382"/>
      <c r="BZ400" s="382"/>
      <c r="CA400" s="382"/>
      <c r="CB400" s="382"/>
      <c r="CC400" s="382"/>
      <c r="CD400" s="382"/>
      <c r="CE400" s="382"/>
      <c r="CF400" s="382"/>
      <c r="CG400" s="382"/>
      <c r="CH400" s="382"/>
      <c r="CI400" s="382"/>
      <c r="CJ400" s="382"/>
      <c r="CK400" s="382"/>
      <c r="CL400" s="382"/>
      <c r="CM400" s="382"/>
      <c r="CN400" s="382"/>
      <c r="CO400" s="382"/>
      <c r="CP400" s="382"/>
      <c r="CQ400" s="382"/>
      <c r="CR400" s="382"/>
      <c r="CS400" s="382"/>
      <c r="CT400" s="382"/>
      <c r="CU400" s="382"/>
      <c r="CV400" s="382"/>
      <c r="CW400" s="189"/>
      <c r="CX400" s="382"/>
      <c r="CY400" s="382"/>
      <c r="CZ400" s="382"/>
      <c r="DA400" s="382"/>
      <c r="DB400" s="382"/>
      <c r="DC400" s="382"/>
      <c r="DD400" s="382"/>
      <c r="DE400" s="382"/>
      <c r="DF400" s="382"/>
      <c r="DG400" s="382"/>
      <c r="DH400" s="382"/>
      <c r="DI400" s="382"/>
      <c r="DJ400" s="382"/>
      <c r="DK400" s="382"/>
      <c r="DL400" s="382"/>
      <c r="DM400" s="382"/>
      <c r="DN400" s="382"/>
      <c r="DO400" s="382"/>
      <c r="DP400" s="382"/>
      <c r="DQ400" s="382"/>
      <c r="DR400" s="382"/>
      <c r="DS400" s="382"/>
      <c r="DT400" s="382"/>
      <c r="DU400" s="382"/>
      <c r="DV400" s="382"/>
      <c r="DW400" s="382"/>
      <c r="DX400" s="382"/>
      <c r="DY400" s="382"/>
      <c r="DZ400" s="228"/>
    </row>
    <row r="401" spans="2:130" s="180" customFormat="1" x14ac:dyDescent="0.2">
      <c r="D401" s="805"/>
      <c r="E401" s="805"/>
      <c r="F401" s="805"/>
      <c r="G401" s="805"/>
      <c r="H401" s="805"/>
      <c r="I401" s="805"/>
      <c r="J401" s="805"/>
      <c r="K401" s="805"/>
      <c r="L401" s="805"/>
      <c r="M401" s="805"/>
      <c r="N401" s="806"/>
      <c r="O401" s="805"/>
      <c r="P401" s="805"/>
      <c r="Q401" s="807"/>
      <c r="R401" s="807"/>
      <c r="S401" s="808"/>
      <c r="T401" s="805"/>
      <c r="U401" s="805"/>
      <c r="V401" s="805"/>
      <c r="W401" s="805"/>
      <c r="X401" s="805"/>
      <c r="Y401" s="297"/>
      <c r="AB401" s="382"/>
      <c r="AC401" s="382"/>
      <c r="AD401" s="496"/>
      <c r="AE401" s="382"/>
      <c r="AF401" s="382"/>
      <c r="AG401" s="382"/>
      <c r="AH401" s="382"/>
      <c r="AI401" s="382"/>
      <c r="AJ401" s="382"/>
      <c r="AK401" s="382"/>
      <c r="AL401" s="382"/>
      <c r="AM401" s="382"/>
      <c r="AN401" s="382"/>
      <c r="AO401" s="382"/>
      <c r="AP401" s="382"/>
      <c r="AQ401" s="382"/>
      <c r="AR401" s="382"/>
      <c r="AS401" s="382"/>
      <c r="AT401" s="382"/>
      <c r="AU401" s="382"/>
      <c r="AV401" s="382"/>
      <c r="AW401" s="382"/>
      <c r="AX401" s="382"/>
      <c r="AY401" s="382"/>
      <c r="AZ401" s="382"/>
      <c r="BA401" s="382"/>
      <c r="BB401" s="382"/>
      <c r="BC401" s="382"/>
      <c r="BD401" s="382"/>
      <c r="BE401" s="382"/>
      <c r="BF401" s="382"/>
      <c r="BG401" s="382"/>
      <c r="BH401" s="382"/>
      <c r="BI401" s="382"/>
      <c r="BJ401" s="382"/>
      <c r="BK401" s="382"/>
      <c r="BL401" s="382"/>
      <c r="BM401" s="382"/>
      <c r="BN401" s="382"/>
      <c r="BO401" s="382"/>
      <c r="BP401" s="382"/>
      <c r="BQ401" s="382"/>
      <c r="BR401" s="382"/>
      <c r="BS401" s="382"/>
      <c r="BT401" s="382"/>
      <c r="BU401" s="496"/>
      <c r="BV401" s="382"/>
      <c r="BW401" s="382"/>
      <c r="BX401" s="382"/>
      <c r="BY401" s="382"/>
      <c r="BZ401" s="382"/>
      <c r="CA401" s="382"/>
      <c r="CB401" s="382"/>
      <c r="CC401" s="382"/>
      <c r="CD401" s="382"/>
      <c r="CE401" s="382"/>
      <c r="CF401" s="382"/>
      <c r="CG401" s="382"/>
      <c r="CH401" s="382"/>
      <c r="CI401" s="382"/>
      <c r="CJ401" s="382"/>
      <c r="CK401" s="382"/>
      <c r="CL401" s="382"/>
      <c r="CM401" s="382"/>
      <c r="CN401" s="382"/>
      <c r="CO401" s="382"/>
      <c r="CP401" s="382"/>
      <c r="CQ401" s="382"/>
      <c r="CR401" s="382"/>
      <c r="CS401" s="382"/>
      <c r="CT401" s="382"/>
      <c r="CU401" s="382"/>
      <c r="CV401" s="382"/>
      <c r="CW401" s="189"/>
      <c r="CX401" s="382"/>
      <c r="CY401" s="382"/>
      <c r="CZ401" s="382"/>
      <c r="DA401" s="382"/>
      <c r="DB401" s="382"/>
      <c r="DC401" s="382"/>
      <c r="DD401" s="382"/>
      <c r="DE401" s="382"/>
      <c r="DF401" s="382"/>
      <c r="DG401" s="382"/>
      <c r="DH401" s="382"/>
      <c r="DI401" s="382"/>
      <c r="DJ401" s="382"/>
      <c r="DK401" s="382"/>
      <c r="DL401" s="382"/>
      <c r="DM401" s="382"/>
      <c r="DN401" s="382"/>
      <c r="DO401" s="382"/>
      <c r="DP401" s="382"/>
      <c r="DQ401" s="382"/>
      <c r="DR401" s="382"/>
      <c r="DS401" s="382"/>
      <c r="DT401" s="382"/>
      <c r="DU401" s="382"/>
      <c r="DV401" s="382"/>
      <c r="DW401" s="382"/>
      <c r="DX401" s="382"/>
      <c r="DY401" s="382"/>
      <c r="DZ401" s="228"/>
    </row>
    <row r="402" spans="2:130" s="180" customFormat="1" x14ac:dyDescent="0.2">
      <c r="D402" s="805"/>
      <c r="E402" s="805"/>
      <c r="F402" s="805"/>
      <c r="G402" s="805"/>
      <c r="H402" s="805"/>
      <c r="I402" s="805"/>
      <c r="J402" s="805"/>
      <c r="K402" s="805"/>
      <c r="L402" s="805"/>
      <c r="M402" s="805"/>
      <c r="N402" s="806"/>
      <c r="O402" s="805"/>
      <c r="P402" s="805"/>
      <c r="Q402" s="807"/>
      <c r="R402" s="807"/>
      <c r="S402" s="808"/>
      <c r="T402" s="805"/>
      <c r="U402" s="805"/>
      <c r="V402" s="805"/>
      <c r="W402" s="805"/>
      <c r="X402" s="805"/>
      <c r="Y402" s="297"/>
      <c r="AB402" s="382"/>
      <c r="AC402" s="382"/>
      <c r="AD402" s="496"/>
      <c r="AE402" s="382"/>
      <c r="AF402" s="382"/>
      <c r="AG402" s="382"/>
      <c r="AH402" s="382"/>
      <c r="AI402" s="382"/>
      <c r="AJ402" s="382"/>
      <c r="AK402" s="382"/>
      <c r="AL402" s="382"/>
      <c r="AM402" s="382"/>
      <c r="AN402" s="382"/>
      <c r="AO402" s="382"/>
      <c r="AP402" s="382"/>
      <c r="AQ402" s="382"/>
      <c r="AR402" s="382"/>
      <c r="AS402" s="382"/>
      <c r="AT402" s="382"/>
      <c r="AU402" s="382"/>
      <c r="AV402" s="382"/>
      <c r="AW402" s="382"/>
      <c r="AX402" s="382"/>
      <c r="AY402" s="382"/>
      <c r="AZ402" s="382"/>
      <c r="BA402" s="382"/>
      <c r="BB402" s="382"/>
      <c r="BC402" s="382"/>
      <c r="BD402" s="382"/>
      <c r="BE402" s="382"/>
      <c r="BF402" s="382"/>
      <c r="BG402" s="382"/>
      <c r="BH402" s="382"/>
      <c r="BI402" s="382"/>
      <c r="BJ402" s="382"/>
      <c r="BK402" s="382"/>
      <c r="BL402" s="382"/>
      <c r="BM402" s="382"/>
      <c r="BN402" s="382"/>
      <c r="BO402" s="382"/>
      <c r="BP402" s="382"/>
      <c r="BQ402" s="382"/>
      <c r="BR402" s="382"/>
      <c r="BS402" s="382"/>
      <c r="BT402" s="382"/>
      <c r="BU402" s="496"/>
      <c r="BV402" s="382"/>
      <c r="BW402" s="382"/>
      <c r="BX402" s="382"/>
      <c r="BY402" s="382"/>
      <c r="BZ402" s="382"/>
      <c r="CA402" s="382"/>
      <c r="CB402" s="382"/>
      <c r="CC402" s="382"/>
      <c r="CD402" s="382"/>
      <c r="CE402" s="382"/>
      <c r="CF402" s="382"/>
      <c r="CG402" s="382"/>
      <c r="CH402" s="382"/>
      <c r="CI402" s="382"/>
      <c r="CJ402" s="382"/>
      <c r="CK402" s="382"/>
      <c r="CL402" s="382"/>
      <c r="CM402" s="382"/>
      <c r="CN402" s="382"/>
      <c r="CO402" s="382"/>
      <c r="CP402" s="382"/>
      <c r="CQ402" s="382"/>
      <c r="CR402" s="382"/>
      <c r="CS402" s="382"/>
      <c r="CT402" s="382"/>
      <c r="CU402" s="382"/>
      <c r="CV402" s="382"/>
      <c r="CW402" s="189"/>
      <c r="CX402" s="382"/>
      <c r="CY402" s="382"/>
      <c r="CZ402" s="382"/>
      <c r="DA402" s="382"/>
      <c r="DB402" s="382"/>
      <c r="DC402" s="382"/>
      <c r="DD402" s="382"/>
      <c r="DE402" s="382"/>
      <c r="DF402" s="382"/>
      <c r="DG402" s="382"/>
      <c r="DH402" s="382"/>
      <c r="DI402" s="382"/>
      <c r="DJ402" s="382"/>
      <c r="DK402" s="382"/>
      <c r="DL402" s="382"/>
      <c r="DM402" s="382"/>
      <c r="DN402" s="382"/>
      <c r="DO402" s="382"/>
      <c r="DP402" s="382"/>
      <c r="DQ402" s="382"/>
      <c r="DR402" s="382"/>
      <c r="DS402" s="382"/>
      <c r="DT402" s="382"/>
      <c r="DU402" s="382"/>
      <c r="DV402" s="382"/>
      <c r="DW402" s="382"/>
      <c r="DX402" s="382"/>
      <c r="DY402" s="382"/>
      <c r="DZ402" s="228"/>
    </row>
    <row r="403" spans="2:130" s="180" customFormat="1" x14ac:dyDescent="0.2">
      <c r="D403" s="805"/>
      <c r="E403" s="805"/>
      <c r="F403" s="805"/>
      <c r="G403" s="805"/>
      <c r="H403" s="805"/>
      <c r="I403" s="805"/>
      <c r="J403" s="805"/>
      <c r="K403" s="805"/>
      <c r="L403" s="805"/>
      <c r="M403" s="805"/>
      <c r="N403" s="806"/>
      <c r="O403" s="805"/>
      <c r="P403" s="805"/>
      <c r="Q403" s="807"/>
      <c r="R403" s="807"/>
      <c r="S403" s="808"/>
      <c r="T403" s="805"/>
      <c r="U403" s="805"/>
      <c r="V403" s="805"/>
      <c r="W403" s="805"/>
      <c r="X403" s="805"/>
      <c r="Y403" s="297"/>
      <c r="AB403" s="382"/>
      <c r="AC403" s="382"/>
      <c r="AD403" s="496"/>
      <c r="AE403" s="382"/>
      <c r="AF403" s="382"/>
      <c r="AG403" s="382"/>
      <c r="AH403" s="382"/>
      <c r="AI403" s="382"/>
      <c r="AJ403" s="382"/>
      <c r="AK403" s="382"/>
      <c r="AL403" s="382"/>
      <c r="AM403" s="382"/>
      <c r="AN403" s="382"/>
      <c r="AO403" s="382"/>
      <c r="AP403" s="382"/>
      <c r="AQ403" s="382"/>
      <c r="AR403" s="382"/>
      <c r="AS403" s="382"/>
      <c r="AT403" s="382"/>
      <c r="AU403" s="382"/>
      <c r="AV403" s="382"/>
      <c r="AW403" s="382"/>
      <c r="AX403" s="382"/>
      <c r="AY403" s="382"/>
      <c r="AZ403" s="382"/>
      <c r="BA403" s="382"/>
      <c r="BB403" s="382"/>
      <c r="BC403" s="382"/>
      <c r="BD403" s="382"/>
      <c r="BE403" s="382"/>
      <c r="BF403" s="382"/>
      <c r="BG403" s="382"/>
      <c r="BH403" s="382"/>
      <c r="BI403" s="382"/>
      <c r="BJ403" s="382"/>
      <c r="BK403" s="382"/>
      <c r="BL403" s="382"/>
      <c r="BM403" s="382"/>
      <c r="BN403" s="382"/>
      <c r="BO403" s="382"/>
      <c r="BP403" s="382"/>
      <c r="BQ403" s="382"/>
      <c r="BR403" s="382"/>
      <c r="BS403" s="382"/>
      <c r="BT403" s="382"/>
      <c r="BU403" s="496"/>
      <c r="BV403" s="382"/>
      <c r="BW403" s="382"/>
      <c r="BX403" s="382"/>
      <c r="BY403" s="382"/>
      <c r="BZ403" s="382"/>
      <c r="CA403" s="382"/>
      <c r="CB403" s="382"/>
      <c r="CC403" s="382"/>
      <c r="CD403" s="382"/>
      <c r="CE403" s="382"/>
      <c r="CF403" s="382"/>
      <c r="CG403" s="382"/>
      <c r="CH403" s="382"/>
      <c r="CI403" s="382"/>
      <c r="CJ403" s="382"/>
      <c r="CK403" s="382"/>
      <c r="CL403" s="382"/>
      <c r="CM403" s="382"/>
      <c r="CN403" s="382"/>
      <c r="CO403" s="382"/>
      <c r="CP403" s="382"/>
      <c r="CQ403" s="382"/>
      <c r="CR403" s="382"/>
      <c r="CS403" s="382"/>
      <c r="CT403" s="382"/>
      <c r="CU403" s="382"/>
      <c r="CV403" s="382"/>
      <c r="CW403" s="189"/>
      <c r="CX403" s="382"/>
      <c r="CY403" s="382"/>
      <c r="CZ403" s="382"/>
      <c r="DA403" s="382"/>
      <c r="DB403" s="382"/>
      <c r="DC403" s="382"/>
      <c r="DD403" s="382"/>
      <c r="DE403" s="382"/>
      <c r="DF403" s="382"/>
      <c r="DG403" s="382"/>
      <c r="DH403" s="382"/>
      <c r="DI403" s="382"/>
      <c r="DJ403" s="382"/>
      <c r="DK403" s="382"/>
      <c r="DL403" s="382"/>
      <c r="DM403" s="382"/>
      <c r="DN403" s="382"/>
      <c r="DO403" s="382"/>
      <c r="DP403" s="382"/>
      <c r="DQ403" s="382"/>
      <c r="DR403" s="382"/>
      <c r="DS403" s="382"/>
      <c r="DT403" s="382"/>
      <c r="DU403" s="382"/>
      <c r="DV403" s="382"/>
      <c r="DW403" s="382"/>
      <c r="DX403" s="382"/>
      <c r="DY403" s="382"/>
      <c r="DZ403" s="228"/>
    </row>
    <row r="404" spans="2:130" s="180" customFormat="1" ht="13.7" customHeight="1" x14ac:dyDescent="0.2">
      <c r="D404" s="800"/>
      <c r="E404" s="800"/>
      <c r="F404" s="800"/>
      <c r="G404" s="800"/>
      <c r="H404" s="800"/>
      <c r="I404" s="800"/>
      <c r="J404" s="800"/>
      <c r="K404" s="800"/>
      <c r="L404" s="800"/>
      <c r="M404" s="800"/>
      <c r="N404" s="800"/>
      <c r="O404" s="800"/>
      <c r="P404" s="800"/>
      <c r="Q404" s="800"/>
      <c r="R404" s="800"/>
      <c r="S404" s="809"/>
      <c r="T404" s="800"/>
      <c r="U404" s="800"/>
      <c r="V404" s="800"/>
      <c r="W404" s="800"/>
      <c r="X404" s="800"/>
      <c r="Y404" s="800"/>
      <c r="Z404" s="800"/>
      <c r="AA404" s="800"/>
      <c r="AB404" s="800"/>
      <c r="AC404" s="800"/>
      <c r="AD404" s="800"/>
      <c r="AE404" s="382"/>
      <c r="AF404" s="382"/>
      <c r="AG404" s="382"/>
      <c r="AH404" s="382"/>
      <c r="AI404" s="382"/>
      <c r="AJ404" s="382"/>
      <c r="AK404" s="382"/>
      <c r="AL404" s="382"/>
      <c r="AM404" s="382"/>
      <c r="AN404" s="382"/>
      <c r="AO404" s="382"/>
      <c r="AP404" s="382"/>
      <c r="AQ404" s="382"/>
      <c r="AR404" s="382"/>
      <c r="AS404" s="382"/>
      <c r="AT404" s="382"/>
      <c r="AU404" s="382"/>
      <c r="AV404" s="382"/>
      <c r="AW404" s="382"/>
      <c r="AX404" s="382"/>
      <c r="AY404" s="382"/>
      <c r="AZ404" s="382"/>
      <c r="BA404" s="382"/>
      <c r="BB404" s="382"/>
      <c r="BC404" s="382"/>
      <c r="BD404" s="382"/>
      <c r="BE404" s="382"/>
      <c r="BF404" s="382"/>
      <c r="BG404" s="382"/>
      <c r="BH404" s="382"/>
      <c r="BI404" s="382"/>
      <c r="BJ404" s="382"/>
      <c r="BK404" s="382"/>
      <c r="BL404" s="382"/>
      <c r="BM404" s="382"/>
      <c r="BN404" s="382"/>
      <c r="BO404" s="382"/>
      <c r="BP404" s="382"/>
      <c r="BQ404" s="382"/>
      <c r="BR404" s="382"/>
      <c r="BS404" s="382"/>
      <c r="BT404" s="382"/>
      <c r="BU404" s="496"/>
      <c r="BV404" s="382"/>
      <c r="BW404" s="382"/>
      <c r="BX404" s="382"/>
      <c r="BY404" s="382"/>
      <c r="BZ404" s="382"/>
      <c r="CA404" s="382"/>
      <c r="CB404" s="382"/>
      <c r="CC404" s="382"/>
      <c r="CD404" s="382"/>
      <c r="CE404" s="382"/>
      <c r="CF404" s="382"/>
      <c r="CG404" s="382"/>
      <c r="CH404" s="382"/>
      <c r="CI404" s="382"/>
      <c r="CJ404" s="382"/>
      <c r="CK404" s="382"/>
      <c r="CL404" s="382"/>
      <c r="CM404" s="382"/>
      <c r="CN404" s="382"/>
      <c r="CO404" s="382"/>
      <c r="CP404" s="382"/>
      <c r="CQ404" s="382"/>
      <c r="CR404" s="382"/>
      <c r="CS404" s="382"/>
      <c r="CT404" s="382"/>
      <c r="CU404" s="382"/>
      <c r="CV404" s="382"/>
      <c r="CW404" s="189"/>
      <c r="CX404" s="382"/>
      <c r="CY404" s="382"/>
      <c r="CZ404" s="382"/>
      <c r="DA404" s="382"/>
      <c r="DB404" s="382"/>
      <c r="DC404" s="382"/>
      <c r="DD404" s="382"/>
      <c r="DE404" s="382"/>
      <c r="DF404" s="382"/>
      <c r="DG404" s="382"/>
      <c r="DH404" s="382"/>
      <c r="DI404" s="382"/>
      <c r="DJ404" s="382"/>
      <c r="DK404" s="382"/>
      <c r="DL404" s="382"/>
      <c r="DM404" s="382"/>
      <c r="DN404" s="382"/>
      <c r="DO404" s="382"/>
      <c r="DP404" s="382"/>
      <c r="DQ404" s="382"/>
      <c r="DR404" s="382"/>
      <c r="DS404" s="382"/>
      <c r="DT404" s="382"/>
      <c r="DU404" s="382"/>
      <c r="DV404" s="382"/>
      <c r="DW404" s="382"/>
      <c r="DX404" s="382"/>
      <c r="DY404" s="382"/>
      <c r="DZ404" s="228"/>
    </row>
    <row r="405" spans="2:130" s="180" customFormat="1" x14ac:dyDescent="0.2">
      <c r="D405" s="769"/>
      <c r="E405" s="810"/>
      <c r="F405" s="769"/>
      <c r="G405" s="769"/>
      <c r="H405" s="769"/>
      <c r="I405" s="769"/>
      <c r="J405" s="769"/>
      <c r="K405" s="769"/>
      <c r="L405" s="769"/>
      <c r="M405" s="769"/>
      <c r="N405" s="769"/>
      <c r="O405" s="769"/>
      <c r="P405" s="769"/>
      <c r="Q405" s="769"/>
      <c r="R405" s="769"/>
      <c r="S405" s="404"/>
      <c r="T405" s="769"/>
      <c r="U405" s="769"/>
      <c r="V405" s="769"/>
      <c r="W405" s="769"/>
      <c r="X405" s="769"/>
      <c r="Y405" s="769"/>
      <c r="Z405" s="769"/>
      <c r="AA405" s="769"/>
      <c r="AB405" s="769"/>
      <c r="AC405" s="769"/>
      <c r="AD405" s="769"/>
      <c r="AE405" s="382"/>
      <c r="AF405" s="382"/>
      <c r="AG405" s="382"/>
      <c r="AH405" s="382"/>
      <c r="AI405" s="382"/>
      <c r="AJ405" s="382"/>
      <c r="AK405" s="382"/>
      <c r="AL405" s="382"/>
      <c r="AM405" s="382"/>
      <c r="AN405" s="382"/>
      <c r="AO405" s="382"/>
      <c r="AP405" s="382"/>
      <c r="AQ405" s="382"/>
      <c r="AR405" s="382"/>
      <c r="AS405" s="382"/>
      <c r="AT405" s="382"/>
      <c r="AU405" s="382"/>
      <c r="AV405" s="382"/>
      <c r="AW405" s="382"/>
      <c r="AX405" s="382"/>
      <c r="AY405" s="382"/>
      <c r="AZ405" s="382"/>
      <c r="BA405" s="382"/>
      <c r="BB405" s="382"/>
      <c r="BC405" s="382"/>
      <c r="BD405" s="382"/>
      <c r="BE405" s="382"/>
      <c r="BF405" s="382"/>
      <c r="BG405" s="382"/>
      <c r="BH405" s="382"/>
      <c r="BI405" s="382"/>
      <c r="BJ405" s="382"/>
      <c r="BK405" s="382"/>
      <c r="BL405" s="382"/>
      <c r="BM405" s="382"/>
      <c r="BN405" s="382"/>
      <c r="BO405" s="382"/>
      <c r="BP405" s="382"/>
      <c r="BQ405" s="382"/>
      <c r="BR405" s="382"/>
      <c r="BS405" s="382"/>
      <c r="BT405" s="382"/>
      <c r="BU405" s="496"/>
      <c r="BV405" s="382"/>
      <c r="BW405" s="382"/>
      <c r="BX405" s="382"/>
      <c r="BY405" s="382"/>
      <c r="BZ405" s="382"/>
      <c r="CA405" s="382"/>
      <c r="CB405" s="382"/>
      <c r="CC405" s="382"/>
      <c r="CD405" s="382"/>
      <c r="CE405" s="382"/>
      <c r="CF405" s="382"/>
      <c r="CG405" s="382"/>
      <c r="CH405" s="382"/>
      <c r="CI405" s="382"/>
      <c r="CJ405" s="382"/>
      <c r="CK405" s="382"/>
      <c r="CL405" s="382"/>
      <c r="CM405" s="382"/>
      <c r="CN405" s="382"/>
      <c r="CO405" s="382"/>
      <c r="CP405" s="382"/>
      <c r="CQ405" s="382"/>
      <c r="CR405" s="382"/>
      <c r="CS405" s="382"/>
      <c r="CT405" s="382"/>
      <c r="CU405" s="382"/>
      <c r="CV405" s="382"/>
      <c r="CW405" s="189"/>
      <c r="CX405" s="382"/>
      <c r="CY405" s="382"/>
      <c r="CZ405" s="382"/>
      <c r="DA405" s="382"/>
      <c r="DB405" s="382"/>
      <c r="DC405" s="382"/>
      <c r="DD405" s="382"/>
      <c r="DE405" s="382"/>
      <c r="DF405" s="382"/>
      <c r="DG405" s="382"/>
      <c r="DH405" s="382"/>
      <c r="DI405" s="382"/>
      <c r="DJ405" s="382"/>
      <c r="DK405" s="382"/>
      <c r="DL405" s="382"/>
      <c r="DM405" s="382"/>
      <c r="DN405" s="382"/>
      <c r="DO405" s="382"/>
      <c r="DP405" s="382"/>
      <c r="DQ405" s="382"/>
      <c r="DR405" s="382"/>
      <c r="DS405" s="382"/>
      <c r="DT405" s="382"/>
      <c r="DU405" s="382"/>
      <c r="DV405" s="382"/>
      <c r="DW405" s="382"/>
      <c r="DX405" s="382"/>
      <c r="DY405" s="382"/>
      <c r="DZ405" s="228"/>
    </row>
    <row r="406" spans="2:130" s="180" customFormat="1" x14ac:dyDescent="0.2">
      <c r="D406" s="769"/>
      <c r="E406" s="769"/>
      <c r="F406" s="769"/>
      <c r="G406" s="769"/>
      <c r="H406" s="769"/>
      <c r="I406" s="769"/>
      <c r="J406" s="769"/>
      <c r="K406" s="769"/>
      <c r="L406" s="769"/>
      <c r="M406" s="769"/>
      <c r="N406" s="769"/>
      <c r="O406" s="769"/>
      <c r="P406" s="769"/>
      <c r="Q406" s="769"/>
      <c r="R406" s="769"/>
      <c r="S406" s="404"/>
      <c r="T406" s="769"/>
      <c r="U406" s="769"/>
      <c r="V406" s="769"/>
      <c r="W406" s="769"/>
      <c r="X406" s="769"/>
      <c r="Y406" s="769"/>
      <c r="Z406" s="769"/>
      <c r="AA406" s="769"/>
      <c r="AB406" s="769"/>
      <c r="AC406" s="769"/>
      <c r="AD406" s="769"/>
      <c r="AE406" s="382"/>
      <c r="AF406" s="382"/>
      <c r="AG406" s="382"/>
      <c r="AH406" s="382"/>
      <c r="AI406" s="382"/>
      <c r="AJ406" s="382"/>
      <c r="AK406" s="382"/>
      <c r="AL406" s="382"/>
      <c r="AM406" s="382"/>
      <c r="AN406" s="382"/>
      <c r="AO406" s="382"/>
      <c r="AP406" s="382"/>
      <c r="AQ406" s="382"/>
      <c r="AR406" s="382"/>
      <c r="AS406" s="382"/>
      <c r="AT406" s="382"/>
      <c r="AU406" s="382"/>
      <c r="AV406" s="382"/>
      <c r="AW406" s="382"/>
      <c r="AX406" s="382"/>
      <c r="AY406" s="382"/>
      <c r="AZ406" s="382"/>
      <c r="BA406" s="382"/>
      <c r="BB406" s="382"/>
      <c r="BC406" s="382"/>
      <c r="BD406" s="382"/>
      <c r="BE406" s="382"/>
      <c r="BF406" s="382"/>
      <c r="BG406" s="382"/>
      <c r="BH406" s="382"/>
      <c r="BI406" s="382"/>
      <c r="BJ406" s="382"/>
      <c r="BK406" s="382"/>
      <c r="BL406" s="382"/>
      <c r="BM406" s="382"/>
      <c r="BN406" s="382"/>
      <c r="BO406" s="382"/>
      <c r="BP406" s="382"/>
      <c r="BQ406" s="382"/>
      <c r="BR406" s="382"/>
      <c r="BS406" s="382"/>
      <c r="BT406" s="382"/>
      <c r="BU406" s="496"/>
      <c r="BV406" s="382"/>
      <c r="BW406" s="382"/>
      <c r="BX406" s="382"/>
      <c r="BY406" s="382"/>
      <c r="BZ406" s="382"/>
      <c r="CA406" s="382"/>
      <c r="CB406" s="382"/>
      <c r="CC406" s="382"/>
      <c r="CD406" s="382"/>
      <c r="CE406" s="382"/>
      <c r="CF406" s="382"/>
      <c r="CG406" s="382"/>
      <c r="CH406" s="382"/>
      <c r="CI406" s="382"/>
      <c r="CJ406" s="382"/>
      <c r="CK406" s="382"/>
      <c r="CL406" s="382"/>
      <c r="CM406" s="382"/>
      <c r="CN406" s="382"/>
      <c r="CO406" s="382"/>
      <c r="CP406" s="382"/>
      <c r="CQ406" s="382"/>
      <c r="CR406" s="382"/>
      <c r="CS406" s="382"/>
      <c r="CT406" s="382"/>
      <c r="CU406" s="382"/>
      <c r="CV406" s="382"/>
      <c r="CW406" s="189"/>
      <c r="CX406" s="382"/>
      <c r="CY406" s="382"/>
      <c r="CZ406" s="382"/>
      <c r="DA406" s="382"/>
      <c r="DB406" s="382"/>
      <c r="DC406" s="382"/>
      <c r="DD406" s="382"/>
      <c r="DE406" s="382"/>
      <c r="DF406" s="382"/>
      <c r="DG406" s="382"/>
      <c r="DH406" s="382"/>
      <c r="DI406" s="382"/>
      <c r="DJ406" s="382"/>
      <c r="DK406" s="382"/>
      <c r="DL406" s="382"/>
      <c r="DM406" s="382"/>
      <c r="DN406" s="382"/>
      <c r="DO406" s="382"/>
      <c r="DP406" s="382"/>
      <c r="DQ406" s="382"/>
      <c r="DR406" s="382"/>
      <c r="DS406" s="382"/>
      <c r="DT406" s="382"/>
      <c r="DU406" s="382"/>
      <c r="DV406" s="382"/>
      <c r="DW406" s="382"/>
      <c r="DX406" s="382"/>
      <c r="DY406" s="382"/>
      <c r="DZ406" s="228"/>
    </row>
    <row r="407" spans="2:130" s="180" customFormat="1" x14ac:dyDescent="0.2">
      <c r="D407" s="805"/>
      <c r="E407" s="805"/>
      <c r="F407" s="805"/>
      <c r="G407" s="805"/>
      <c r="H407" s="805"/>
      <c r="I407" s="811"/>
      <c r="J407" s="812"/>
      <c r="K407" s="811"/>
      <c r="L407" s="812"/>
      <c r="M407" s="811"/>
      <c r="N407" s="812"/>
      <c r="O407" s="811"/>
      <c r="P407" s="813"/>
      <c r="Q407" s="811"/>
      <c r="R407" s="811"/>
      <c r="S407" s="814"/>
      <c r="T407" s="811"/>
      <c r="U407" s="813"/>
      <c r="V407" s="811"/>
      <c r="W407" s="813"/>
      <c r="X407" s="811"/>
      <c r="Y407" s="813"/>
      <c r="Z407" s="811"/>
      <c r="AA407" s="813"/>
      <c r="AB407" s="811"/>
      <c r="AC407" s="813"/>
      <c r="AD407" s="811"/>
      <c r="AE407" s="815"/>
      <c r="AF407" s="811"/>
      <c r="AG407" s="815"/>
      <c r="AH407" s="382"/>
      <c r="AI407" s="382"/>
      <c r="AJ407" s="382"/>
      <c r="AK407" s="382"/>
      <c r="AL407" s="382"/>
      <c r="AM407" s="382"/>
      <c r="AN407" s="382"/>
      <c r="AO407" s="382"/>
      <c r="AP407" s="382"/>
      <c r="AQ407" s="382"/>
      <c r="AR407" s="382"/>
      <c r="AS407" s="382"/>
      <c r="AT407" s="382"/>
      <c r="AU407" s="382"/>
      <c r="AV407" s="382"/>
      <c r="AW407" s="382"/>
      <c r="AX407" s="382"/>
      <c r="AY407" s="382"/>
      <c r="AZ407" s="382"/>
      <c r="BA407" s="382"/>
      <c r="BB407" s="382"/>
      <c r="BC407" s="382"/>
      <c r="BD407" s="382"/>
      <c r="BE407" s="382"/>
      <c r="BF407" s="382"/>
      <c r="BG407" s="382"/>
      <c r="BH407" s="382"/>
      <c r="BI407" s="382"/>
      <c r="BJ407" s="382"/>
      <c r="BK407" s="382"/>
      <c r="BL407" s="382"/>
      <c r="BM407" s="382"/>
      <c r="BN407" s="382"/>
      <c r="BO407" s="382"/>
      <c r="BP407" s="382"/>
      <c r="BQ407" s="382"/>
      <c r="BR407" s="382"/>
      <c r="BS407" s="382"/>
      <c r="BT407" s="382"/>
      <c r="BU407" s="496"/>
      <c r="BV407" s="382"/>
      <c r="BW407" s="382"/>
      <c r="BX407" s="382"/>
      <c r="BY407" s="382"/>
      <c r="BZ407" s="382"/>
      <c r="CA407" s="382"/>
      <c r="CB407" s="382"/>
      <c r="CC407" s="382"/>
      <c r="CD407" s="382"/>
      <c r="CE407" s="382"/>
      <c r="CF407" s="382"/>
      <c r="CG407" s="382"/>
      <c r="CH407" s="382"/>
      <c r="CI407" s="382"/>
      <c r="CJ407" s="382"/>
      <c r="CK407" s="382"/>
      <c r="CL407" s="382"/>
      <c r="CM407" s="382"/>
      <c r="CN407" s="382"/>
      <c r="CO407" s="382"/>
      <c r="CP407" s="382"/>
      <c r="CQ407" s="382"/>
      <c r="CR407" s="382"/>
      <c r="CS407" s="382"/>
      <c r="CT407" s="382"/>
      <c r="CU407" s="382"/>
      <c r="CV407" s="382"/>
      <c r="CW407" s="189"/>
      <c r="CX407" s="382"/>
      <c r="CY407" s="382"/>
      <c r="CZ407" s="382"/>
      <c r="DA407" s="382"/>
      <c r="DB407" s="382"/>
      <c r="DC407" s="382"/>
      <c r="DD407" s="382"/>
      <c r="DE407" s="382"/>
      <c r="DF407" s="382"/>
      <c r="DG407" s="382"/>
      <c r="DH407" s="382"/>
      <c r="DI407" s="382"/>
      <c r="DJ407" s="382"/>
      <c r="DK407" s="382"/>
      <c r="DL407" s="382"/>
      <c r="DM407" s="382"/>
      <c r="DN407" s="382"/>
      <c r="DO407" s="382"/>
      <c r="DP407" s="382"/>
      <c r="DQ407" s="382"/>
      <c r="DR407" s="382"/>
      <c r="DS407" s="382"/>
      <c r="DT407" s="382"/>
      <c r="DU407" s="382"/>
      <c r="DV407" s="382"/>
      <c r="DW407" s="382"/>
      <c r="DX407" s="382"/>
      <c r="DY407" s="382"/>
      <c r="DZ407" s="228"/>
    </row>
    <row r="408" spans="2:130" s="180" customFormat="1" x14ac:dyDescent="0.2">
      <c r="D408" s="805"/>
      <c r="E408" s="805"/>
      <c r="F408" s="805"/>
      <c r="G408" s="805"/>
      <c r="H408" s="805"/>
      <c r="I408" s="816"/>
      <c r="J408" s="817"/>
      <c r="K408" s="816"/>
      <c r="L408" s="818"/>
      <c r="M408" s="816"/>
      <c r="N408" s="818"/>
      <c r="O408" s="816"/>
      <c r="P408" s="817"/>
      <c r="Q408" s="816"/>
      <c r="R408" s="816"/>
      <c r="S408" s="189"/>
      <c r="T408" s="816"/>
      <c r="U408" s="817"/>
      <c r="V408" s="816"/>
      <c r="W408" s="817"/>
      <c r="X408" s="816"/>
      <c r="Y408" s="817"/>
      <c r="Z408" s="816"/>
      <c r="AA408" s="817"/>
      <c r="AB408" s="816"/>
      <c r="AC408" s="817"/>
      <c r="AD408" s="816"/>
      <c r="AE408" s="817"/>
      <c r="AF408" s="816"/>
      <c r="AG408" s="817"/>
      <c r="AH408" s="382"/>
      <c r="AI408" s="382"/>
      <c r="AJ408" s="382"/>
      <c r="AK408" s="382"/>
      <c r="AL408" s="382"/>
      <c r="AM408" s="382"/>
      <c r="AN408" s="382"/>
      <c r="AO408" s="382"/>
      <c r="AP408" s="382"/>
      <c r="AQ408" s="382"/>
      <c r="AR408" s="382"/>
      <c r="AS408" s="382"/>
      <c r="AT408" s="382"/>
      <c r="AU408" s="382"/>
      <c r="AV408" s="382"/>
      <c r="AW408" s="382"/>
      <c r="AX408" s="382"/>
      <c r="AY408" s="382"/>
      <c r="AZ408" s="382"/>
      <c r="BA408" s="382"/>
      <c r="BB408" s="382"/>
      <c r="BC408" s="382"/>
      <c r="BD408" s="382"/>
      <c r="BE408" s="382"/>
      <c r="BF408" s="382"/>
      <c r="BG408" s="382"/>
      <c r="BH408" s="382"/>
      <c r="BI408" s="382"/>
      <c r="BJ408" s="382"/>
      <c r="BK408" s="382"/>
      <c r="BL408" s="382"/>
      <c r="BM408" s="382"/>
      <c r="BN408" s="382"/>
      <c r="BO408" s="382"/>
      <c r="BP408" s="382"/>
      <c r="BQ408" s="382"/>
      <c r="BR408" s="382"/>
      <c r="BS408" s="382"/>
      <c r="BT408" s="382"/>
      <c r="BU408" s="496"/>
      <c r="BV408" s="382"/>
      <c r="BW408" s="382"/>
      <c r="BX408" s="382"/>
      <c r="BY408" s="382"/>
      <c r="BZ408" s="382"/>
      <c r="CA408" s="382"/>
      <c r="CB408" s="382"/>
      <c r="CC408" s="382"/>
      <c r="CD408" s="382"/>
      <c r="CE408" s="382"/>
      <c r="CF408" s="382"/>
      <c r="CG408" s="382"/>
      <c r="CH408" s="382"/>
      <c r="CI408" s="382"/>
      <c r="CJ408" s="382"/>
      <c r="CK408" s="382"/>
      <c r="CL408" s="382"/>
      <c r="CM408" s="382"/>
      <c r="CN408" s="382"/>
      <c r="CO408" s="382"/>
      <c r="CP408" s="382"/>
      <c r="CQ408" s="382"/>
      <c r="CR408" s="382"/>
      <c r="CS408" s="382"/>
      <c r="CT408" s="382"/>
      <c r="CU408" s="382"/>
      <c r="CV408" s="382"/>
      <c r="CW408" s="189"/>
      <c r="CX408" s="382"/>
      <c r="CY408" s="382"/>
      <c r="CZ408" s="382"/>
      <c r="DA408" s="382"/>
      <c r="DB408" s="382"/>
      <c r="DC408" s="382"/>
      <c r="DD408" s="382"/>
      <c r="DE408" s="382"/>
      <c r="DF408" s="382"/>
      <c r="DG408" s="382"/>
      <c r="DH408" s="382"/>
      <c r="DI408" s="382"/>
      <c r="DJ408" s="382"/>
      <c r="DK408" s="382"/>
      <c r="DL408" s="382"/>
      <c r="DM408" s="382"/>
      <c r="DN408" s="382"/>
      <c r="DO408" s="382"/>
      <c r="DP408" s="382"/>
      <c r="DQ408" s="382"/>
      <c r="DR408" s="382"/>
      <c r="DS408" s="382"/>
      <c r="DT408" s="382"/>
      <c r="DU408" s="382"/>
      <c r="DV408" s="382"/>
      <c r="DW408" s="382"/>
      <c r="DX408" s="382"/>
      <c r="DY408" s="382"/>
      <c r="DZ408" s="228"/>
    </row>
    <row r="409" spans="2:130" s="180" customFormat="1" x14ac:dyDescent="0.2">
      <c r="D409" s="805"/>
      <c r="E409" s="805"/>
      <c r="F409" s="805"/>
      <c r="G409" s="805"/>
      <c r="H409" s="805"/>
      <c r="I409" s="816"/>
      <c r="J409" s="817"/>
      <c r="K409" s="816"/>
      <c r="L409" s="817"/>
      <c r="M409" s="816"/>
      <c r="N409" s="817"/>
      <c r="O409" s="816"/>
      <c r="P409" s="817"/>
      <c r="Q409" s="816"/>
      <c r="R409" s="816"/>
      <c r="S409" s="189"/>
      <c r="T409" s="816"/>
      <c r="U409" s="817"/>
      <c r="V409" s="816"/>
      <c r="W409" s="817"/>
      <c r="X409" s="816"/>
      <c r="Y409" s="817"/>
      <c r="Z409" s="816"/>
      <c r="AA409" s="817"/>
      <c r="AB409" s="816"/>
      <c r="AC409" s="817"/>
      <c r="AD409" s="816"/>
      <c r="AE409" s="817"/>
      <c r="AF409" s="816"/>
      <c r="AG409" s="817"/>
      <c r="AH409" s="382"/>
      <c r="AI409" s="382"/>
      <c r="AJ409" s="382"/>
      <c r="AK409" s="382"/>
      <c r="AL409" s="382"/>
      <c r="AM409" s="382"/>
      <c r="AN409" s="382"/>
      <c r="AO409" s="382"/>
      <c r="AP409" s="382"/>
      <c r="AQ409" s="382"/>
      <c r="AR409" s="382"/>
      <c r="AS409" s="382"/>
      <c r="AT409" s="382"/>
      <c r="AU409" s="382"/>
      <c r="AV409" s="382"/>
      <c r="AW409" s="382"/>
      <c r="AX409" s="382"/>
      <c r="AY409" s="382"/>
      <c r="AZ409" s="382"/>
      <c r="BA409" s="382"/>
      <c r="BB409" s="382"/>
      <c r="BC409" s="382"/>
      <c r="BD409" s="382"/>
      <c r="BE409" s="382"/>
      <c r="BF409" s="382"/>
      <c r="BG409" s="382"/>
      <c r="BH409" s="382"/>
      <c r="BI409" s="382"/>
      <c r="BJ409" s="382"/>
      <c r="BK409" s="382"/>
      <c r="BL409" s="382"/>
      <c r="BM409" s="382"/>
      <c r="BN409" s="382"/>
      <c r="BO409" s="382"/>
      <c r="BP409" s="382"/>
      <c r="BQ409" s="382"/>
      <c r="BR409" s="382"/>
      <c r="BS409" s="382"/>
      <c r="BT409" s="382"/>
      <c r="BU409" s="496"/>
      <c r="BV409" s="382"/>
      <c r="BW409" s="382"/>
      <c r="BX409" s="382"/>
      <c r="BY409" s="382"/>
      <c r="BZ409" s="382"/>
      <c r="CA409" s="382"/>
      <c r="CB409" s="382"/>
      <c r="CC409" s="382"/>
      <c r="CD409" s="382"/>
      <c r="CE409" s="382"/>
      <c r="CF409" s="382"/>
      <c r="CG409" s="382"/>
      <c r="CH409" s="382"/>
      <c r="CI409" s="382"/>
      <c r="CJ409" s="382"/>
      <c r="CK409" s="382"/>
      <c r="CL409" s="382"/>
      <c r="CM409" s="382"/>
      <c r="CN409" s="382"/>
      <c r="CO409" s="382"/>
      <c r="CP409" s="382"/>
      <c r="CQ409" s="382"/>
      <c r="CR409" s="382"/>
      <c r="CS409" s="382"/>
      <c r="CT409" s="382"/>
      <c r="CU409" s="382"/>
      <c r="CV409" s="382"/>
      <c r="CW409" s="189"/>
      <c r="CX409" s="382"/>
      <c r="CY409" s="382"/>
      <c r="CZ409" s="382"/>
      <c r="DA409" s="382"/>
      <c r="DB409" s="382"/>
      <c r="DC409" s="382"/>
      <c r="DD409" s="382"/>
      <c r="DE409" s="382"/>
      <c r="DF409" s="382"/>
      <c r="DG409" s="382"/>
      <c r="DH409" s="382"/>
      <c r="DI409" s="382"/>
      <c r="DJ409" s="382"/>
      <c r="DK409" s="382"/>
      <c r="DL409" s="382"/>
      <c r="DM409" s="382"/>
      <c r="DN409" s="382"/>
      <c r="DO409" s="382"/>
      <c r="DP409" s="382"/>
      <c r="DQ409" s="382"/>
      <c r="DR409" s="382"/>
      <c r="DS409" s="382"/>
      <c r="DT409" s="382"/>
      <c r="DU409" s="382"/>
      <c r="DV409" s="382"/>
      <c r="DW409" s="382"/>
      <c r="DX409" s="382"/>
      <c r="DY409" s="382"/>
      <c r="DZ409" s="228"/>
    </row>
    <row r="410" spans="2:130" s="180" customFormat="1" x14ac:dyDescent="0.2">
      <c r="D410" s="805"/>
      <c r="E410" s="805"/>
      <c r="F410" s="805"/>
      <c r="G410" s="805"/>
      <c r="H410" s="805"/>
      <c r="I410" s="819"/>
      <c r="J410" s="817"/>
      <c r="K410" s="819"/>
      <c r="L410" s="817"/>
      <c r="M410" s="819"/>
      <c r="N410" s="817"/>
      <c r="O410" s="819"/>
      <c r="P410" s="817"/>
      <c r="Q410" s="819"/>
      <c r="R410" s="819"/>
      <c r="S410" s="189"/>
      <c r="T410" s="819"/>
      <c r="U410" s="817"/>
      <c r="V410" s="819"/>
      <c r="W410" s="817"/>
      <c r="X410" s="819"/>
      <c r="Y410" s="817"/>
      <c r="Z410" s="819"/>
      <c r="AA410" s="817"/>
      <c r="AB410" s="819"/>
      <c r="AC410" s="817"/>
      <c r="AD410" s="819"/>
      <c r="AE410" s="817"/>
      <c r="AF410" s="819"/>
      <c r="AG410" s="817"/>
      <c r="AH410" s="382"/>
      <c r="AI410" s="382"/>
      <c r="AJ410" s="382"/>
      <c r="AK410" s="382"/>
      <c r="AL410" s="382"/>
      <c r="AM410" s="382"/>
      <c r="AN410" s="382"/>
      <c r="AO410" s="382"/>
      <c r="AP410" s="382"/>
      <c r="AQ410" s="382"/>
      <c r="AR410" s="382"/>
      <c r="AS410" s="382"/>
      <c r="AT410" s="382"/>
      <c r="AU410" s="382"/>
      <c r="AV410" s="382"/>
      <c r="AW410" s="382"/>
      <c r="AX410" s="382"/>
      <c r="AY410" s="382"/>
      <c r="AZ410" s="382"/>
      <c r="BA410" s="382"/>
      <c r="BB410" s="382"/>
      <c r="BC410" s="382"/>
      <c r="BD410" s="382"/>
      <c r="BE410" s="382"/>
      <c r="BF410" s="382"/>
      <c r="BG410" s="382"/>
      <c r="BH410" s="382"/>
      <c r="BI410" s="382"/>
      <c r="BJ410" s="382"/>
      <c r="BK410" s="382"/>
      <c r="BL410" s="382"/>
      <c r="BM410" s="382"/>
      <c r="BN410" s="382"/>
      <c r="BO410" s="382"/>
      <c r="BP410" s="382"/>
      <c r="BQ410" s="382"/>
      <c r="BR410" s="382"/>
      <c r="BS410" s="382"/>
      <c r="BT410" s="382"/>
      <c r="BU410" s="496"/>
      <c r="BV410" s="382"/>
      <c r="BW410" s="382"/>
      <c r="BX410" s="382"/>
      <c r="BY410" s="382"/>
      <c r="BZ410" s="382"/>
      <c r="CA410" s="382"/>
      <c r="CB410" s="382"/>
      <c r="CC410" s="382"/>
      <c r="CD410" s="382"/>
      <c r="CE410" s="382"/>
      <c r="CF410" s="382"/>
      <c r="CG410" s="382"/>
      <c r="CH410" s="382"/>
      <c r="CI410" s="382"/>
      <c r="CJ410" s="382"/>
      <c r="CK410" s="382"/>
      <c r="CL410" s="382"/>
      <c r="CM410" s="382"/>
      <c r="CN410" s="382"/>
      <c r="CO410" s="382"/>
      <c r="CP410" s="382"/>
      <c r="CQ410" s="382"/>
      <c r="CR410" s="382"/>
      <c r="CS410" s="382"/>
      <c r="CT410" s="382"/>
      <c r="CU410" s="382"/>
      <c r="CV410" s="382"/>
      <c r="CW410" s="189"/>
      <c r="CX410" s="382"/>
      <c r="CY410" s="382"/>
      <c r="CZ410" s="382"/>
      <c r="DA410" s="382"/>
      <c r="DB410" s="382"/>
      <c r="DC410" s="382"/>
      <c r="DD410" s="382"/>
      <c r="DE410" s="382"/>
      <c r="DF410" s="382"/>
      <c r="DG410" s="382"/>
      <c r="DH410" s="382"/>
      <c r="DI410" s="382"/>
      <c r="DJ410" s="382"/>
      <c r="DK410" s="382"/>
      <c r="DL410" s="382"/>
      <c r="DM410" s="382"/>
      <c r="DN410" s="382"/>
      <c r="DO410" s="382"/>
      <c r="DP410" s="382"/>
      <c r="DQ410" s="382"/>
      <c r="DR410" s="382"/>
      <c r="DS410" s="382"/>
      <c r="DT410" s="382"/>
      <c r="DU410" s="382"/>
      <c r="DV410" s="382"/>
      <c r="DW410" s="382"/>
      <c r="DX410" s="382"/>
      <c r="DY410" s="382"/>
      <c r="DZ410" s="228"/>
    </row>
    <row r="411" spans="2:130" s="180" customFormat="1" x14ac:dyDescent="0.2">
      <c r="D411" s="805"/>
      <c r="E411" s="805"/>
      <c r="F411" s="805"/>
      <c r="G411" s="805"/>
      <c r="H411" s="805"/>
      <c r="I411" s="816"/>
      <c r="J411" s="817"/>
      <c r="K411" s="816"/>
      <c r="L411" s="817"/>
      <c r="M411" s="816"/>
      <c r="N411" s="817"/>
      <c r="O411" s="816"/>
      <c r="P411" s="817"/>
      <c r="Q411" s="816"/>
      <c r="R411" s="816"/>
      <c r="S411" s="189"/>
      <c r="T411" s="816"/>
      <c r="U411" s="817"/>
      <c r="V411" s="816"/>
      <c r="W411" s="817"/>
      <c r="X411" s="816"/>
      <c r="Y411" s="817"/>
      <c r="Z411" s="816"/>
      <c r="AA411" s="817"/>
      <c r="AB411" s="816"/>
      <c r="AC411" s="817"/>
      <c r="AD411" s="816"/>
      <c r="AE411" s="817"/>
      <c r="AF411" s="816"/>
      <c r="AG411" s="817"/>
      <c r="AH411" s="382"/>
      <c r="AI411" s="382"/>
      <c r="AJ411" s="382"/>
      <c r="AK411" s="382"/>
      <c r="AL411" s="382"/>
      <c r="AM411" s="382"/>
      <c r="AN411" s="382"/>
      <c r="AO411" s="382"/>
      <c r="AP411" s="382"/>
      <c r="AQ411" s="382"/>
      <c r="AR411" s="382"/>
      <c r="AS411" s="382"/>
      <c r="AT411" s="382"/>
      <c r="AU411" s="382"/>
      <c r="AV411" s="382"/>
      <c r="AW411" s="382"/>
      <c r="AX411" s="382"/>
      <c r="AY411" s="382"/>
      <c r="AZ411" s="382"/>
      <c r="BA411" s="382"/>
      <c r="BB411" s="382"/>
      <c r="BC411" s="382"/>
      <c r="BD411" s="382"/>
      <c r="BE411" s="382"/>
      <c r="BF411" s="382"/>
      <c r="BG411" s="382"/>
      <c r="BH411" s="382"/>
      <c r="BI411" s="382"/>
      <c r="BJ411" s="382"/>
      <c r="BK411" s="382"/>
      <c r="BL411" s="382"/>
      <c r="BM411" s="382"/>
      <c r="BN411" s="382"/>
      <c r="BO411" s="382"/>
      <c r="BP411" s="382"/>
      <c r="BQ411" s="382"/>
      <c r="BR411" s="382"/>
      <c r="BS411" s="382"/>
      <c r="BT411" s="382"/>
      <c r="BU411" s="496"/>
      <c r="BV411" s="382"/>
      <c r="BW411" s="382"/>
      <c r="BX411" s="382"/>
      <c r="BY411" s="382"/>
      <c r="BZ411" s="382"/>
      <c r="CA411" s="382"/>
      <c r="CB411" s="382"/>
      <c r="CC411" s="382"/>
      <c r="CD411" s="382"/>
      <c r="CE411" s="382"/>
      <c r="CF411" s="382"/>
      <c r="CG411" s="382"/>
      <c r="CH411" s="382"/>
      <c r="CI411" s="382"/>
      <c r="CJ411" s="382"/>
      <c r="CK411" s="382"/>
      <c r="CL411" s="382"/>
      <c r="CM411" s="382"/>
      <c r="CN411" s="382"/>
      <c r="CO411" s="382"/>
      <c r="CP411" s="382"/>
      <c r="CQ411" s="382"/>
      <c r="CR411" s="382"/>
      <c r="CS411" s="382"/>
      <c r="CT411" s="382"/>
      <c r="CU411" s="382"/>
      <c r="CV411" s="382"/>
      <c r="CW411" s="189"/>
      <c r="CX411" s="382"/>
      <c r="CY411" s="382"/>
      <c r="CZ411" s="382"/>
      <c r="DA411" s="382"/>
      <c r="DB411" s="382"/>
      <c r="DC411" s="382"/>
      <c r="DD411" s="382"/>
      <c r="DE411" s="382"/>
      <c r="DF411" s="382"/>
      <c r="DG411" s="382"/>
      <c r="DH411" s="382"/>
      <c r="DI411" s="382"/>
      <c r="DJ411" s="382"/>
      <c r="DK411" s="382"/>
      <c r="DL411" s="382"/>
      <c r="DM411" s="382"/>
      <c r="DN411" s="382"/>
      <c r="DO411" s="382"/>
      <c r="DP411" s="382"/>
      <c r="DQ411" s="382"/>
      <c r="DR411" s="382"/>
      <c r="DS411" s="382"/>
      <c r="DT411" s="382"/>
      <c r="DU411" s="382"/>
      <c r="DV411" s="382"/>
      <c r="DW411" s="382"/>
      <c r="DX411" s="382"/>
      <c r="DY411" s="382"/>
      <c r="DZ411" s="228"/>
    </row>
    <row r="412" spans="2:130" s="180" customFormat="1" x14ac:dyDescent="0.2">
      <c r="D412" s="805"/>
      <c r="E412" s="769"/>
      <c r="F412" s="820"/>
      <c r="G412" s="821"/>
      <c r="H412" s="769"/>
      <c r="I412" s="769"/>
      <c r="J412" s="817"/>
      <c r="K412" s="769"/>
      <c r="L412" s="817"/>
      <c r="M412" s="769"/>
      <c r="N412" s="817"/>
      <c r="O412" s="769"/>
      <c r="P412" s="817"/>
      <c r="Q412" s="769"/>
      <c r="R412" s="769"/>
      <c r="S412" s="817"/>
      <c r="T412" s="769"/>
      <c r="U412" s="817"/>
      <c r="V412" s="769"/>
      <c r="W412" s="817"/>
      <c r="X412" s="769"/>
      <c r="Y412" s="817"/>
      <c r="Z412" s="769"/>
      <c r="AA412" s="817"/>
      <c r="AB412" s="769"/>
      <c r="AC412" s="817"/>
      <c r="AD412" s="810"/>
      <c r="AE412" s="817"/>
      <c r="AF412" s="810"/>
      <c r="AG412" s="817"/>
      <c r="AH412" s="382"/>
      <c r="AI412" s="382"/>
      <c r="AJ412" s="382"/>
      <c r="AK412" s="382"/>
      <c r="AL412" s="382"/>
      <c r="AM412" s="382"/>
      <c r="AN412" s="382"/>
      <c r="AO412" s="382"/>
      <c r="AP412" s="382"/>
      <c r="AQ412" s="382"/>
      <c r="AR412" s="382"/>
      <c r="AS412" s="382"/>
      <c r="AT412" s="382"/>
      <c r="AU412" s="382"/>
      <c r="AV412" s="382"/>
      <c r="AW412" s="382"/>
      <c r="AX412" s="382"/>
      <c r="AY412" s="382"/>
      <c r="AZ412" s="382"/>
      <c r="BA412" s="382"/>
      <c r="BB412" s="382"/>
      <c r="BC412" s="382"/>
      <c r="BD412" s="382"/>
      <c r="BE412" s="382"/>
      <c r="BF412" s="382"/>
      <c r="BG412" s="382"/>
      <c r="BH412" s="382"/>
      <c r="BI412" s="382"/>
      <c r="BJ412" s="382"/>
      <c r="BK412" s="382"/>
      <c r="BL412" s="382"/>
      <c r="BM412" s="382"/>
      <c r="BN412" s="382"/>
      <c r="BO412" s="382"/>
      <c r="BP412" s="382"/>
      <c r="BQ412" s="382"/>
      <c r="BR412" s="382"/>
      <c r="BS412" s="382"/>
      <c r="BT412" s="382"/>
      <c r="BU412" s="496"/>
      <c r="BV412" s="382"/>
      <c r="BW412" s="382"/>
      <c r="BX412" s="382"/>
      <c r="BY412" s="382"/>
      <c r="BZ412" s="382"/>
      <c r="CA412" s="382"/>
      <c r="CB412" s="382"/>
      <c r="CC412" s="382"/>
      <c r="CD412" s="382"/>
      <c r="CE412" s="382"/>
      <c r="CF412" s="382"/>
      <c r="CG412" s="382"/>
      <c r="CH412" s="382"/>
      <c r="CI412" s="382"/>
      <c r="CJ412" s="382"/>
      <c r="CK412" s="382"/>
      <c r="CL412" s="382"/>
      <c r="CM412" s="382"/>
      <c r="CN412" s="382"/>
      <c r="CO412" s="382"/>
      <c r="CP412" s="382"/>
      <c r="CQ412" s="382"/>
      <c r="CR412" s="382"/>
      <c r="CS412" s="382"/>
      <c r="CT412" s="382"/>
      <c r="CU412" s="382"/>
      <c r="CV412" s="382"/>
      <c r="CW412" s="189"/>
      <c r="CX412" s="382"/>
      <c r="CY412" s="382"/>
      <c r="CZ412" s="382"/>
      <c r="DA412" s="382"/>
      <c r="DB412" s="382"/>
      <c r="DC412" s="382"/>
      <c r="DD412" s="382"/>
      <c r="DE412" s="382"/>
      <c r="DF412" s="382"/>
      <c r="DG412" s="382"/>
      <c r="DH412" s="382"/>
      <c r="DI412" s="382"/>
      <c r="DJ412" s="382"/>
      <c r="DK412" s="382"/>
      <c r="DL412" s="382"/>
      <c r="DM412" s="382"/>
      <c r="DN412" s="382"/>
      <c r="DO412" s="382"/>
      <c r="DP412" s="382"/>
      <c r="DQ412" s="382"/>
      <c r="DR412" s="382"/>
      <c r="DS412" s="382"/>
      <c r="DT412" s="382"/>
      <c r="DU412" s="382"/>
      <c r="DV412" s="382"/>
      <c r="DW412" s="382"/>
      <c r="DX412" s="382"/>
      <c r="DY412" s="382"/>
      <c r="DZ412" s="228"/>
    </row>
    <row r="413" spans="2:130" s="180" customFormat="1" x14ac:dyDescent="0.2">
      <c r="D413" s="805"/>
      <c r="E413" s="228"/>
      <c r="F413" s="820"/>
      <c r="G413" s="805"/>
      <c r="H413" s="769"/>
      <c r="I413" s="769"/>
      <c r="J413" s="817"/>
      <c r="K413" s="769"/>
      <c r="L413" s="817"/>
      <c r="M413" s="769"/>
      <c r="N413" s="817"/>
      <c r="O413" s="769"/>
      <c r="P413" s="817"/>
      <c r="Q413" s="769"/>
      <c r="R413" s="769"/>
      <c r="S413" s="817"/>
      <c r="T413" s="769"/>
      <c r="U413" s="817"/>
      <c r="V413" s="769"/>
      <c r="W413" s="817"/>
      <c r="X413" s="769"/>
      <c r="Y413" s="817"/>
      <c r="Z413" s="769"/>
      <c r="AA413" s="817"/>
      <c r="AB413" s="769"/>
      <c r="AC413" s="817"/>
      <c r="AD413" s="769"/>
      <c r="AE413" s="817"/>
      <c r="AF413" s="769"/>
      <c r="AG413" s="817"/>
      <c r="AH413" s="382"/>
      <c r="AI413" s="382"/>
      <c r="AJ413" s="382"/>
      <c r="AK413" s="382"/>
      <c r="AL413" s="382"/>
      <c r="AM413" s="382"/>
      <c r="AN413" s="382"/>
      <c r="AO413" s="382"/>
      <c r="AP413" s="382"/>
      <c r="AQ413" s="382"/>
      <c r="AR413" s="382"/>
      <c r="AS413" s="382"/>
      <c r="AT413" s="382"/>
      <c r="AU413" s="382"/>
      <c r="AV413" s="382"/>
      <c r="AW413" s="382"/>
      <c r="AX413" s="382"/>
      <c r="AY413" s="382"/>
      <c r="AZ413" s="382"/>
      <c r="BA413" s="382"/>
      <c r="BB413" s="382"/>
      <c r="BC413" s="382"/>
      <c r="BD413" s="382"/>
      <c r="BE413" s="382"/>
      <c r="BF413" s="382"/>
      <c r="BG413" s="382"/>
      <c r="BH413" s="382"/>
      <c r="BI413" s="382"/>
      <c r="BJ413" s="382"/>
      <c r="BK413" s="382"/>
      <c r="BL413" s="382"/>
      <c r="BM413" s="382"/>
      <c r="BN413" s="382"/>
      <c r="BO413" s="382"/>
      <c r="BP413" s="382"/>
      <c r="BQ413" s="382"/>
      <c r="BR413" s="382"/>
      <c r="BS413" s="382"/>
      <c r="BT413" s="382"/>
      <c r="BU413" s="496"/>
      <c r="BV413" s="382"/>
      <c r="BW413" s="382"/>
      <c r="BX413" s="382"/>
      <c r="BY413" s="382"/>
      <c r="BZ413" s="382"/>
      <c r="CA413" s="382"/>
      <c r="CB413" s="382"/>
      <c r="CC413" s="382"/>
      <c r="CD413" s="382"/>
      <c r="CE413" s="382"/>
      <c r="CF413" s="382"/>
      <c r="CG413" s="382"/>
      <c r="CH413" s="382"/>
      <c r="CI413" s="382"/>
      <c r="CJ413" s="382"/>
      <c r="CK413" s="382"/>
      <c r="CL413" s="382"/>
      <c r="CM413" s="382"/>
      <c r="CN413" s="382"/>
      <c r="CO413" s="382"/>
      <c r="CP413" s="382"/>
      <c r="CQ413" s="382"/>
      <c r="CR413" s="382"/>
      <c r="CS413" s="382"/>
      <c r="CT413" s="382"/>
      <c r="CU413" s="382"/>
      <c r="CV413" s="382"/>
      <c r="CW413" s="189"/>
      <c r="CX413" s="382"/>
      <c r="CY413" s="382"/>
      <c r="CZ413" s="382"/>
      <c r="DA413" s="382"/>
      <c r="DB413" s="382"/>
      <c r="DC413" s="382"/>
      <c r="DD413" s="382"/>
      <c r="DE413" s="382"/>
      <c r="DF413" s="382"/>
      <c r="DG413" s="382"/>
      <c r="DH413" s="382"/>
      <c r="DI413" s="382"/>
      <c r="DJ413" s="382"/>
      <c r="DK413" s="382"/>
      <c r="DL413" s="382"/>
      <c r="DM413" s="382"/>
      <c r="DN413" s="382"/>
      <c r="DO413" s="382"/>
      <c r="DP413" s="382"/>
      <c r="DQ413" s="382"/>
      <c r="DR413" s="382"/>
      <c r="DS413" s="382"/>
      <c r="DT413" s="382"/>
      <c r="DU413" s="382"/>
      <c r="DV413" s="382"/>
      <c r="DW413" s="382"/>
      <c r="DX413" s="382"/>
      <c r="DY413" s="382"/>
      <c r="DZ413" s="228"/>
    </row>
    <row r="414" spans="2:130" s="180" customFormat="1" x14ac:dyDescent="0.2">
      <c r="D414" s="805"/>
      <c r="E414" s="228"/>
      <c r="F414" s="820"/>
      <c r="G414" s="821"/>
      <c r="H414" s="769"/>
      <c r="I414" s="769"/>
      <c r="J414" s="817"/>
      <c r="K414" s="769"/>
      <c r="L414" s="817"/>
      <c r="M414" s="769"/>
      <c r="N414" s="817"/>
      <c r="O414" s="769"/>
      <c r="P414" s="817"/>
      <c r="Q414" s="769"/>
      <c r="R414" s="769"/>
      <c r="S414" s="817"/>
      <c r="T414" s="769"/>
      <c r="U414" s="817"/>
      <c r="V414" s="769"/>
      <c r="W414" s="817"/>
      <c r="X414" s="769"/>
      <c r="Y414" s="817"/>
      <c r="Z414" s="769"/>
      <c r="AA414" s="817"/>
      <c r="AB414" s="769"/>
      <c r="AC414" s="817"/>
      <c r="AD414" s="769"/>
      <c r="AE414" s="817"/>
      <c r="AF414" s="769"/>
      <c r="AG414" s="817"/>
      <c r="AH414" s="382"/>
      <c r="AI414" s="382"/>
      <c r="AJ414" s="382"/>
      <c r="AK414" s="382"/>
      <c r="AL414" s="382"/>
      <c r="AM414" s="382"/>
      <c r="AN414" s="382"/>
      <c r="AO414" s="382"/>
      <c r="AP414" s="382"/>
      <c r="AQ414" s="382"/>
      <c r="AR414" s="382"/>
      <c r="AS414" s="382"/>
      <c r="AT414" s="382"/>
      <c r="AU414" s="382"/>
      <c r="AV414" s="382"/>
      <c r="AW414" s="382"/>
      <c r="AX414" s="382"/>
      <c r="AY414" s="382"/>
      <c r="AZ414" s="382"/>
      <c r="BA414" s="382"/>
      <c r="BB414" s="382"/>
      <c r="BC414" s="382"/>
      <c r="BD414" s="382"/>
      <c r="BE414" s="382"/>
      <c r="BF414" s="382"/>
      <c r="BG414" s="382"/>
      <c r="BH414" s="382"/>
      <c r="BI414" s="382"/>
      <c r="BJ414" s="382"/>
      <c r="BK414" s="382"/>
      <c r="BL414" s="382"/>
      <c r="BM414" s="382"/>
      <c r="BN414" s="382"/>
      <c r="BO414" s="382"/>
      <c r="BP414" s="382"/>
      <c r="BQ414" s="382"/>
      <c r="BR414" s="382"/>
      <c r="BS414" s="382"/>
      <c r="BT414" s="382"/>
      <c r="BU414" s="496"/>
      <c r="BV414" s="382"/>
      <c r="BW414" s="382"/>
      <c r="BX414" s="382"/>
      <c r="BY414" s="382"/>
      <c r="BZ414" s="382"/>
      <c r="CA414" s="382"/>
      <c r="CB414" s="382"/>
      <c r="CC414" s="382"/>
      <c r="CD414" s="382"/>
      <c r="CE414" s="382"/>
      <c r="CF414" s="382"/>
      <c r="CG414" s="382"/>
      <c r="CH414" s="382"/>
      <c r="CI414" s="382"/>
      <c r="CJ414" s="382"/>
      <c r="CK414" s="382"/>
      <c r="CL414" s="382"/>
      <c r="CM414" s="382"/>
      <c r="CN414" s="382"/>
      <c r="CO414" s="382"/>
      <c r="CP414" s="382"/>
      <c r="CQ414" s="382"/>
      <c r="CR414" s="382"/>
      <c r="CS414" s="382"/>
      <c r="CT414" s="382"/>
      <c r="CU414" s="382"/>
      <c r="CV414" s="382"/>
      <c r="CW414" s="189"/>
      <c r="CX414" s="382"/>
      <c r="CY414" s="382"/>
      <c r="CZ414" s="382"/>
      <c r="DA414" s="382"/>
      <c r="DB414" s="382"/>
      <c r="DC414" s="382"/>
      <c r="DD414" s="382"/>
      <c r="DE414" s="382"/>
      <c r="DF414" s="382"/>
      <c r="DG414" s="382"/>
      <c r="DH414" s="382"/>
      <c r="DI414" s="382"/>
      <c r="DJ414" s="382"/>
      <c r="DK414" s="382"/>
      <c r="DL414" s="382"/>
      <c r="DM414" s="382"/>
      <c r="DN414" s="382"/>
      <c r="DO414" s="382"/>
      <c r="DP414" s="382"/>
      <c r="DQ414" s="382"/>
      <c r="DR414" s="382"/>
      <c r="DS414" s="382"/>
      <c r="DT414" s="382"/>
      <c r="DU414" s="382"/>
      <c r="DV414" s="382"/>
      <c r="DW414" s="382"/>
      <c r="DX414" s="382"/>
      <c r="DY414" s="382"/>
      <c r="DZ414" s="228"/>
    </row>
    <row r="415" spans="2:130" s="180" customFormat="1" x14ac:dyDescent="0.2">
      <c r="B415" s="1690"/>
      <c r="C415" s="1690"/>
      <c r="D415" s="805"/>
      <c r="E415" s="228"/>
      <c r="F415" s="820"/>
      <c r="G415" s="805"/>
      <c r="H415" s="769"/>
      <c r="I415" s="769"/>
      <c r="J415" s="817"/>
      <c r="K415" s="769"/>
      <c r="L415" s="817"/>
      <c r="M415" s="769"/>
      <c r="N415" s="817"/>
      <c r="O415" s="769"/>
      <c r="P415" s="817"/>
      <c r="Q415" s="769"/>
      <c r="R415" s="769"/>
      <c r="S415" s="817"/>
      <c r="T415" s="769"/>
      <c r="U415" s="817"/>
      <c r="V415" s="769"/>
      <c r="W415" s="817"/>
      <c r="X415" s="769"/>
      <c r="Y415" s="817"/>
      <c r="Z415" s="769"/>
      <c r="AA415" s="817"/>
      <c r="AB415" s="769"/>
      <c r="AC415" s="817"/>
      <c r="AD415" s="816"/>
      <c r="AE415" s="817"/>
      <c r="AF415" s="769"/>
      <c r="AG415" s="817"/>
      <c r="AH415" s="382"/>
      <c r="AI415" s="382"/>
      <c r="AJ415" s="382"/>
      <c r="AK415" s="382"/>
      <c r="AL415" s="382"/>
      <c r="AM415" s="382"/>
      <c r="AN415" s="382"/>
      <c r="AO415" s="382"/>
      <c r="AP415" s="382"/>
      <c r="AQ415" s="382"/>
      <c r="AR415" s="382"/>
      <c r="AS415" s="382"/>
      <c r="AT415" s="382"/>
      <c r="AU415" s="382"/>
      <c r="AV415" s="382"/>
      <c r="AW415" s="382"/>
      <c r="AX415" s="382"/>
      <c r="AY415" s="382"/>
      <c r="AZ415" s="382"/>
      <c r="BA415" s="382"/>
      <c r="BB415" s="382"/>
      <c r="BC415" s="382"/>
      <c r="BD415" s="382"/>
      <c r="BE415" s="382"/>
      <c r="BF415" s="382"/>
      <c r="BG415" s="382"/>
      <c r="BH415" s="382"/>
      <c r="BI415" s="382"/>
      <c r="BJ415" s="382"/>
      <c r="BK415" s="382"/>
      <c r="BL415" s="382"/>
      <c r="BM415" s="382"/>
      <c r="BN415" s="382"/>
      <c r="BO415" s="382"/>
      <c r="BP415" s="382"/>
      <c r="BQ415" s="382"/>
      <c r="BR415" s="382"/>
      <c r="BS415" s="382"/>
      <c r="BT415" s="382"/>
      <c r="BU415" s="496"/>
      <c r="BV415" s="382"/>
      <c r="BW415" s="382"/>
      <c r="BX415" s="382"/>
      <c r="BY415" s="382"/>
      <c r="BZ415" s="382"/>
      <c r="CA415" s="382"/>
      <c r="CB415" s="382"/>
      <c r="CC415" s="382"/>
      <c r="CD415" s="382"/>
      <c r="CE415" s="382"/>
      <c r="CF415" s="382"/>
      <c r="CG415" s="382"/>
      <c r="CH415" s="382"/>
      <c r="CI415" s="382"/>
      <c r="CJ415" s="382"/>
      <c r="CK415" s="382"/>
      <c r="CL415" s="382"/>
      <c r="CM415" s="382"/>
      <c r="CN415" s="382"/>
      <c r="CO415" s="382"/>
      <c r="CP415" s="382"/>
      <c r="CQ415" s="382"/>
      <c r="CR415" s="382"/>
      <c r="CS415" s="382"/>
      <c r="CT415" s="382"/>
      <c r="CU415" s="382"/>
      <c r="CV415" s="382"/>
      <c r="CW415" s="919"/>
      <c r="CX415" s="382"/>
      <c r="CY415" s="382"/>
      <c r="CZ415" s="382"/>
      <c r="DA415" s="382"/>
      <c r="DB415" s="382"/>
      <c r="DC415" s="382"/>
      <c r="DD415" s="382"/>
      <c r="DE415" s="382"/>
      <c r="DF415" s="382"/>
      <c r="DG415" s="382"/>
      <c r="DH415" s="382"/>
      <c r="DI415" s="382"/>
      <c r="DJ415" s="382"/>
      <c r="DK415" s="382"/>
      <c r="DL415" s="382"/>
      <c r="DM415" s="382"/>
      <c r="DN415" s="382"/>
      <c r="DO415" s="382"/>
      <c r="DP415" s="382"/>
      <c r="DQ415" s="382"/>
      <c r="DR415" s="382"/>
      <c r="DS415" s="382"/>
      <c r="DT415" s="382"/>
      <c r="DU415" s="382"/>
      <c r="DV415" s="382"/>
      <c r="DW415" s="382"/>
      <c r="DX415" s="382"/>
      <c r="DY415" s="382"/>
      <c r="DZ415" s="228"/>
    </row>
    <row r="416" spans="2:130" s="180" customFormat="1" ht="42.75" customHeight="1" x14ac:dyDescent="0.2">
      <c r="B416" s="822"/>
      <c r="C416" s="800"/>
      <c r="D416" s="800"/>
      <c r="E416" s="769"/>
      <c r="F416" s="769"/>
      <c r="G416" s="811"/>
      <c r="H416" s="811"/>
      <c r="I416" s="811"/>
      <c r="J416" s="811"/>
      <c r="K416" s="811"/>
      <c r="L416" s="811"/>
      <c r="M416" s="811"/>
      <c r="N416" s="811"/>
      <c r="O416" s="811"/>
      <c r="P416" s="811"/>
      <c r="Q416" s="823"/>
      <c r="R416" s="811"/>
      <c r="S416" s="811"/>
      <c r="T416" s="811"/>
      <c r="U416" s="811"/>
      <c r="V416" s="811"/>
      <c r="W416" s="811"/>
      <c r="X416" s="811"/>
      <c r="Y416" s="811"/>
      <c r="Z416" s="811"/>
      <c r="AA416" s="811"/>
      <c r="AB416" s="811"/>
      <c r="AC416" s="811"/>
      <c r="AD416" s="811"/>
      <c r="AE416" s="811"/>
      <c r="AF416" s="811"/>
      <c r="AG416" s="811"/>
      <c r="AH416" s="382"/>
      <c r="AI416" s="382"/>
      <c r="AJ416" s="382"/>
      <c r="AK416" s="382"/>
      <c r="AL416" s="382"/>
      <c r="AM416" s="382"/>
      <c r="AN416" s="382"/>
      <c r="AO416" s="382"/>
      <c r="AP416" s="382"/>
      <c r="AQ416" s="382"/>
      <c r="AR416" s="382"/>
      <c r="AS416" s="382"/>
      <c r="AT416" s="382"/>
      <c r="AU416" s="382"/>
      <c r="AV416" s="382"/>
      <c r="AW416" s="382"/>
      <c r="AX416" s="382"/>
      <c r="AY416" s="382"/>
      <c r="AZ416" s="382"/>
      <c r="BA416" s="382"/>
      <c r="BB416" s="382"/>
      <c r="BC416" s="382"/>
      <c r="BD416" s="382"/>
      <c r="BE416" s="382"/>
      <c r="BF416" s="382"/>
      <c r="BG416" s="382"/>
      <c r="BH416" s="382"/>
      <c r="BI416" s="382"/>
      <c r="BJ416" s="382"/>
      <c r="BK416" s="382"/>
      <c r="BL416" s="382"/>
      <c r="BM416" s="382"/>
      <c r="BN416" s="382"/>
      <c r="BO416" s="382"/>
      <c r="BP416" s="382"/>
      <c r="BQ416" s="382"/>
      <c r="BR416" s="382"/>
      <c r="BS416" s="382"/>
      <c r="BT416" s="382"/>
      <c r="BU416" s="496"/>
      <c r="BV416" s="382"/>
      <c r="BW416" s="382"/>
      <c r="BX416" s="382"/>
      <c r="BY416" s="382"/>
      <c r="BZ416" s="382"/>
      <c r="CA416" s="382"/>
      <c r="CB416" s="382"/>
      <c r="CC416" s="382"/>
      <c r="CD416" s="382"/>
      <c r="CE416" s="382"/>
      <c r="CF416" s="382"/>
      <c r="CG416" s="382"/>
      <c r="CH416" s="382"/>
      <c r="CI416" s="382"/>
      <c r="CJ416" s="382"/>
      <c r="CK416" s="382"/>
      <c r="CL416" s="382"/>
      <c r="CM416" s="382"/>
      <c r="CN416" s="382"/>
      <c r="CO416" s="382"/>
      <c r="CP416" s="382"/>
      <c r="CQ416" s="382"/>
      <c r="CR416" s="382"/>
      <c r="CS416" s="382"/>
      <c r="CT416" s="382"/>
      <c r="CU416" s="382"/>
      <c r="CV416" s="382"/>
      <c r="CW416" s="800"/>
      <c r="CX416" s="382"/>
      <c r="CY416" s="382"/>
      <c r="CZ416" s="382"/>
      <c r="DA416" s="382"/>
      <c r="DB416" s="382"/>
      <c r="DC416" s="382"/>
      <c r="DD416" s="382"/>
      <c r="DE416" s="382"/>
      <c r="DF416" s="382"/>
      <c r="DG416" s="382"/>
      <c r="DH416" s="382"/>
      <c r="DI416" s="382"/>
      <c r="DJ416" s="382"/>
      <c r="DK416" s="382"/>
      <c r="DL416" s="382"/>
      <c r="DM416" s="382"/>
      <c r="DN416" s="382"/>
      <c r="DO416" s="382"/>
      <c r="DP416" s="382"/>
      <c r="DQ416" s="382"/>
      <c r="DR416" s="382"/>
      <c r="DS416" s="382"/>
      <c r="DT416" s="382"/>
      <c r="DU416" s="382"/>
      <c r="DV416" s="382"/>
      <c r="DW416" s="382"/>
      <c r="DX416" s="382"/>
      <c r="DY416" s="382"/>
      <c r="DZ416" s="228"/>
    </row>
    <row r="417" spans="2:130" s="180" customFormat="1" x14ac:dyDescent="0.2">
      <c r="B417" s="800"/>
      <c r="C417" s="800"/>
      <c r="D417" s="800"/>
      <c r="E417" s="810"/>
      <c r="F417" s="769"/>
      <c r="G417" s="811"/>
      <c r="H417" s="811"/>
      <c r="I417" s="811"/>
      <c r="J417" s="811"/>
      <c r="K417" s="811"/>
      <c r="L417" s="811"/>
      <c r="M417" s="811"/>
      <c r="N417" s="811"/>
      <c r="O417" s="811"/>
      <c r="P417" s="811"/>
      <c r="Q417" s="811"/>
      <c r="R417" s="811"/>
      <c r="S417" s="811"/>
      <c r="T417" s="811"/>
      <c r="U417" s="811"/>
      <c r="V417" s="811"/>
      <c r="W417" s="811"/>
      <c r="X417" s="811"/>
      <c r="Y417" s="811"/>
      <c r="Z417" s="811"/>
      <c r="AA417" s="811"/>
      <c r="AB417" s="811"/>
      <c r="AC417" s="811"/>
      <c r="AD417" s="811"/>
      <c r="AE417" s="811"/>
      <c r="AF417" s="811"/>
      <c r="AG417" s="811"/>
      <c r="AH417" s="382"/>
      <c r="AI417" s="382"/>
      <c r="AJ417" s="382"/>
      <c r="AK417" s="382"/>
      <c r="AL417" s="382"/>
      <c r="AM417" s="382"/>
      <c r="AN417" s="382"/>
      <c r="AO417" s="382"/>
      <c r="AP417" s="382"/>
      <c r="AQ417" s="382"/>
      <c r="AR417" s="382"/>
      <c r="AS417" s="382"/>
      <c r="AT417" s="382"/>
      <c r="AU417" s="382"/>
      <c r="AV417" s="382"/>
      <c r="AW417" s="382"/>
      <c r="AX417" s="382"/>
      <c r="AY417" s="382"/>
      <c r="AZ417" s="382"/>
      <c r="BA417" s="382"/>
      <c r="BB417" s="382"/>
      <c r="BC417" s="382"/>
      <c r="BD417" s="382"/>
      <c r="BE417" s="382"/>
      <c r="BF417" s="382"/>
      <c r="BG417" s="382"/>
      <c r="BH417" s="382"/>
      <c r="BI417" s="382"/>
      <c r="BJ417" s="382"/>
      <c r="BK417" s="382"/>
      <c r="BL417" s="382"/>
      <c r="BM417" s="382"/>
      <c r="BN417" s="382"/>
      <c r="BO417" s="382"/>
      <c r="BP417" s="382"/>
      <c r="BQ417" s="382"/>
      <c r="BR417" s="382"/>
      <c r="BS417" s="382"/>
      <c r="BT417" s="382"/>
      <c r="BU417" s="496"/>
      <c r="BV417" s="382"/>
      <c r="BW417" s="382"/>
      <c r="BX417" s="382"/>
      <c r="BY417" s="382"/>
      <c r="BZ417" s="382"/>
      <c r="CA417" s="382"/>
      <c r="CB417" s="382"/>
      <c r="CC417" s="382"/>
      <c r="CD417" s="382"/>
      <c r="CE417" s="382"/>
      <c r="CF417" s="382"/>
      <c r="CG417" s="382"/>
      <c r="CH417" s="382"/>
      <c r="CI417" s="382"/>
      <c r="CJ417" s="382"/>
      <c r="CK417" s="382"/>
      <c r="CL417" s="382"/>
      <c r="CM417" s="382"/>
      <c r="CN417" s="382"/>
      <c r="CO417" s="382"/>
      <c r="CP417" s="382"/>
      <c r="CQ417" s="382"/>
      <c r="CR417" s="382"/>
      <c r="CS417" s="382"/>
      <c r="CT417" s="382"/>
      <c r="CU417" s="382"/>
      <c r="CV417" s="382"/>
      <c r="CW417" s="800"/>
      <c r="CX417" s="382"/>
      <c r="CY417" s="382"/>
      <c r="CZ417" s="382"/>
      <c r="DA417" s="382"/>
      <c r="DB417" s="382"/>
      <c r="DC417" s="382"/>
      <c r="DD417" s="382"/>
      <c r="DE417" s="382"/>
      <c r="DF417" s="382"/>
      <c r="DG417" s="382"/>
      <c r="DH417" s="382"/>
      <c r="DI417" s="382"/>
      <c r="DJ417" s="382"/>
      <c r="DK417" s="382"/>
      <c r="DL417" s="382"/>
      <c r="DM417" s="382"/>
      <c r="DN417" s="382"/>
      <c r="DO417" s="382"/>
      <c r="DP417" s="382"/>
      <c r="DQ417" s="382"/>
      <c r="DR417" s="382"/>
      <c r="DS417" s="382"/>
      <c r="DT417" s="382"/>
      <c r="DU417" s="382"/>
      <c r="DV417" s="382"/>
      <c r="DW417" s="382"/>
      <c r="DX417" s="382"/>
      <c r="DY417" s="382"/>
      <c r="DZ417" s="228"/>
    </row>
    <row r="418" spans="2:130" s="180" customFormat="1" x14ac:dyDescent="0.2">
      <c r="B418" s="800"/>
      <c r="C418" s="800"/>
      <c r="D418" s="800"/>
      <c r="E418" s="769"/>
      <c r="F418" s="769"/>
      <c r="G418" s="802"/>
      <c r="H418" s="802"/>
      <c r="I418" s="802"/>
      <c r="J418" s="802"/>
      <c r="K418" s="802"/>
      <c r="L418" s="802"/>
      <c r="M418" s="802"/>
      <c r="N418" s="802"/>
      <c r="O418" s="802"/>
      <c r="P418" s="802"/>
      <c r="Q418" s="802"/>
      <c r="R418" s="802"/>
      <c r="S418" s="802"/>
      <c r="T418" s="802"/>
      <c r="U418" s="802"/>
      <c r="V418" s="802"/>
      <c r="W418" s="802"/>
      <c r="X418" s="802"/>
      <c r="Y418" s="802"/>
      <c r="Z418" s="802"/>
      <c r="AA418" s="802"/>
      <c r="AB418" s="802"/>
      <c r="AC418" s="802"/>
      <c r="AD418" s="802"/>
      <c r="AE418" s="802"/>
      <c r="AF418" s="802"/>
      <c r="AG418" s="802"/>
      <c r="AH418" s="382"/>
      <c r="AI418" s="382"/>
      <c r="AJ418" s="382"/>
      <c r="AK418" s="382"/>
      <c r="AL418" s="382"/>
      <c r="AM418" s="382"/>
      <c r="AN418" s="382"/>
      <c r="AO418" s="382"/>
      <c r="AP418" s="382"/>
      <c r="AQ418" s="382"/>
      <c r="AR418" s="382"/>
      <c r="AS418" s="382"/>
      <c r="AT418" s="382"/>
      <c r="AU418" s="382"/>
      <c r="AV418" s="382"/>
      <c r="AW418" s="382"/>
      <c r="AX418" s="382"/>
      <c r="AY418" s="382"/>
      <c r="AZ418" s="382"/>
      <c r="BA418" s="382"/>
      <c r="BB418" s="382"/>
      <c r="BC418" s="382"/>
      <c r="BD418" s="382"/>
      <c r="BE418" s="382"/>
      <c r="BF418" s="382"/>
      <c r="BG418" s="382"/>
      <c r="BH418" s="382"/>
      <c r="BI418" s="382"/>
      <c r="BJ418" s="382"/>
      <c r="BK418" s="382"/>
      <c r="BL418" s="382"/>
      <c r="BM418" s="382"/>
      <c r="BN418" s="382"/>
      <c r="BO418" s="382"/>
      <c r="BP418" s="382"/>
      <c r="BQ418" s="382"/>
      <c r="BR418" s="382"/>
      <c r="BS418" s="382"/>
      <c r="BT418" s="382"/>
      <c r="BU418" s="496"/>
      <c r="BV418" s="382"/>
      <c r="BW418" s="382"/>
      <c r="BX418" s="382"/>
      <c r="BY418" s="382"/>
      <c r="BZ418" s="382"/>
      <c r="CA418" s="382"/>
      <c r="CB418" s="382"/>
      <c r="CC418" s="382"/>
      <c r="CD418" s="382"/>
      <c r="CE418" s="382"/>
      <c r="CF418" s="382"/>
      <c r="CG418" s="382"/>
      <c r="CH418" s="382"/>
      <c r="CI418" s="382"/>
      <c r="CJ418" s="382"/>
      <c r="CK418" s="382"/>
      <c r="CL418" s="382"/>
      <c r="CM418" s="382"/>
      <c r="CN418" s="382"/>
      <c r="CO418" s="382"/>
      <c r="CP418" s="382"/>
      <c r="CQ418" s="382"/>
      <c r="CR418" s="382"/>
      <c r="CS418" s="382"/>
      <c r="CT418" s="382"/>
      <c r="CU418" s="382"/>
      <c r="CV418" s="382"/>
      <c r="CW418" s="800"/>
      <c r="CX418" s="382"/>
      <c r="CY418" s="382"/>
      <c r="CZ418" s="382"/>
      <c r="DA418" s="382"/>
      <c r="DB418" s="382"/>
      <c r="DC418" s="382"/>
      <c r="DD418" s="382"/>
      <c r="DE418" s="382"/>
      <c r="DF418" s="382"/>
      <c r="DG418" s="382"/>
      <c r="DH418" s="382"/>
      <c r="DI418" s="382"/>
      <c r="DJ418" s="382"/>
      <c r="DK418" s="382"/>
      <c r="DL418" s="382"/>
      <c r="DM418" s="382"/>
      <c r="DN418" s="382"/>
      <c r="DO418" s="382"/>
      <c r="DP418" s="382"/>
      <c r="DQ418" s="382"/>
      <c r="DR418" s="382"/>
      <c r="DS418" s="382"/>
      <c r="DT418" s="382"/>
      <c r="DU418" s="382"/>
      <c r="DV418" s="382"/>
      <c r="DW418" s="382"/>
      <c r="DX418" s="382"/>
      <c r="DY418" s="382"/>
      <c r="DZ418" s="228"/>
    </row>
    <row r="419" spans="2:130" s="180" customFormat="1" x14ac:dyDescent="0.2">
      <c r="B419" s="800"/>
      <c r="C419" s="800"/>
      <c r="D419" s="800"/>
      <c r="E419" s="769"/>
      <c r="F419" s="769"/>
      <c r="G419" s="802"/>
      <c r="H419" s="802"/>
      <c r="I419" s="802"/>
      <c r="J419" s="802"/>
      <c r="K419" s="802"/>
      <c r="L419" s="802"/>
      <c r="M419" s="802"/>
      <c r="N419" s="802"/>
      <c r="O419" s="802"/>
      <c r="P419" s="802"/>
      <c r="Q419" s="802"/>
      <c r="R419" s="802"/>
      <c r="S419" s="802"/>
      <c r="T419" s="802"/>
      <c r="U419" s="802"/>
      <c r="V419" s="802"/>
      <c r="W419" s="802"/>
      <c r="X419" s="802"/>
      <c r="Y419" s="802"/>
      <c r="Z419" s="802"/>
      <c r="AA419" s="802"/>
      <c r="AB419" s="802"/>
      <c r="AC419" s="802"/>
      <c r="AD419" s="802"/>
      <c r="AE419" s="802"/>
      <c r="AF419" s="802"/>
      <c r="AG419" s="802"/>
      <c r="AH419" s="382"/>
      <c r="AI419" s="382"/>
      <c r="AJ419" s="382"/>
      <c r="AK419" s="382"/>
      <c r="AL419" s="382"/>
      <c r="AM419" s="382"/>
      <c r="AN419" s="382"/>
      <c r="AO419" s="382"/>
      <c r="AP419" s="382"/>
      <c r="AQ419" s="382"/>
      <c r="AR419" s="382"/>
      <c r="AS419" s="382"/>
      <c r="AT419" s="382"/>
      <c r="AU419" s="382"/>
      <c r="AV419" s="382"/>
      <c r="AW419" s="382"/>
      <c r="AX419" s="382"/>
      <c r="AY419" s="382"/>
      <c r="AZ419" s="382"/>
      <c r="BA419" s="382"/>
      <c r="BB419" s="382"/>
      <c r="BC419" s="382"/>
      <c r="BD419" s="382"/>
      <c r="BE419" s="382"/>
      <c r="BF419" s="382"/>
      <c r="BG419" s="382"/>
      <c r="BH419" s="382"/>
      <c r="BI419" s="382"/>
      <c r="BJ419" s="382"/>
      <c r="BK419" s="382"/>
      <c r="BL419" s="382"/>
      <c r="BM419" s="382"/>
      <c r="BN419" s="382"/>
      <c r="BO419" s="382"/>
      <c r="BP419" s="382"/>
      <c r="BQ419" s="382"/>
      <c r="BR419" s="382"/>
      <c r="BS419" s="382"/>
      <c r="BT419" s="382"/>
      <c r="BU419" s="496"/>
      <c r="BV419" s="382"/>
      <c r="BW419" s="382"/>
      <c r="BX419" s="382"/>
      <c r="BY419" s="382"/>
      <c r="BZ419" s="382"/>
      <c r="CA419" s="382"/>
      <c r="CB419" s="382"/>
      <c r="CC419" s="382"/>
      <c r="CD419" s="382"/>
      <c r="CE419" s="382"/>
      <c r="CF419" s="382"/>
      <c r="CG419" s="382"/>
      <c r="CH419" s="382"/>
      <c r="CI419" s="382"/>
      <c r="CJ419" s="382"/>
      <c r="CK419" s="382"/>
      <c r="CL419" s="382"/>
      <c r="CM419" s="382"/>
      <c r="CN419" s="382"/>
      <c r="CO419" s="382"/>
      <c r="CP419" s="382"/>
      <c r="CQ419" s="382"/>
      <c r="CR419" s="382"/>
      <c r="CS419" s="382"/>
      <c r="CT419" s="382"/>
      <c r="CU419" s="382"/>
      <c r="CV419" s="382"/>
      <c r="CW419" s="800"/>
      <c r="CX419" s="382"/>
      <c r="CY419" s="382"/>
      <c r="CZ419" s="382"/>
      <c r="DA419" s="382"/>
      <c r="DB419" s="382"/>
      <c r="DC419" s="382"/>
      <c r="DD419" s="382"/>
      <c r="DE419" s="382"/>
      <c r="DF419" s="382"/>
      <c r="DG419" s="382"/>
      <c r="DH419" s="382"/>
      <c r="DI419" s="382"/>
      <c r="DJ419" s="382"/>
      <c r="DK419" s="382"/>
      <c r="DL419" s="382"/>
      <c r="DM419" s="382"/>
      <c r="DN419" s="382"/>
      <c r="DO419" s="382"/>
      <c r="DP419" s="382"/>
      <c r="DQ419" s="382"/>
      <c r="DR419" s="382"/>
      <c r="DS419" s="382"/>
      <c r="DT419" s="382"/>
      <c r="DU419" s="382"/>
      <c r="DV419" s="382"/>
      <c r="DW419" s="382"/>
      <c r="DX419" s="382"/>
      <c r="DY419" s="382"/>
      <c r="DZ419" s="228"/>
    </row>
    <row r="420" spans="2:130" s="180" customFormat="1" x14ac:dyDescent="0.2">
      <c r="B420" s="800"/>
      <c r="C420" s="800"/>
      <c r="D420" s="800"/>
      <c r="E420" s="769"/>
      <c r="F420" s="769"/>
      <c r="G420" s="802"/>
      <c r="H420" s="802"/>
      <c r="I420" s="802"/>
      <c r="J420" s="802"/>
      <c r="K420" s="802"/>
      <c r="L420" s="802"/>
      <c r="M420" s="802"/>
      <c r="N420" s="802"/>
      <c r="O420" s="802"/>
      <c r="P420" s="802"/>
      <c r="Q420" s="802"/>
      <c r="R420" s="802"/>
      <c r="S420" s="802"/>
      <c r="T420" s="802"/>
      <c r="U420" s="802"/>
      <c r="V420" s="802"/>
      <c r="W420" s="802"/>
      <c r="X420" s="802"/>
      <c r="Y420" s="802"/>
      <c r="Z420" s="802"/>
      <c r="AA420" s="802"/>
      <c r="AB420" s="802"/>
      <c r="AC420" s="802"/>
      <c r="AD420" s="802"/>
      <c r="AE420" s="802"/>
      <c r="AF420" s="802"/>
      <c r="AG420" s="802"/>
      <c r="AH420" s="382"/>
      <c r="AI420" s="382"/>
      <c r="AJ420" s="382"/>
      <c r="AK420" s="382"/>
      <c r="AL420" s="382"/>
      <c r="AM420" s="382"/>
      <c r="AN420" s="382"/>
      <c r="AO420" s="382"/>
      <c r="AP420" s="382"/>
      <c r="AQ420" s="382"/>
      <c r="AR420" s="382"/>
      <c r="AS420" s="382"/>
      <c r="AT420" s="382"/>
      <c r="AU420" s="382"/>
      <c r="AV420" s="382"/>
      <c r="AW420" s="382"/>
      <c r="AX420" s="382"/>
      <c r="AY420" s="382"/>
      <c r="AZ420" s="382"/>
      <c r="BA420" s="382"/>
      <c r="BB420" s="382"/>
      <c r="BC420" s="382"/>
      <c r="BD420" s="382"/>
      <c r="BE420" s="382"/>
      <c r="BF420" s="382"/>
      <c r="BG420" s="382"/>
      <c r="BH420" s="382"/>
      <c r="BI420" s="382"/>
      <c r="BJ420" s="382"/>
      <c r="BK420" s="382"/>
      <c r="BL420" s="382"/>
      <c r="BM420" s="382"/>
      <c r="BN420" s="382"/>
      <c r="BO420" s="382"/>
      <c r="BP420" s="382"/>
      <c r="BQ420" s="382"/>
      <c r="BR420" s="382"/>
      <c r="BS420" s="382"/>
      <c r="BT420" s="382"/>
      <c r="BU420" s="496"/>
      <c r="BV420" s="382"/>
      <c r="BW420" s="382"/>
      <c r="BX420" s="382"/>
      <c r="BY420" s="382"/>
      <c r="BZ420" s="382"/>
      <c r="CA420" s="382"/>
      <c r="CB420" s="382"/>
      <c r="CC420" s="382"/>
      <c r="CD420" s="382"/>
      <c r="CE420" s="382"/>
      <c r="CF420" s="382"/>
      <c r="CG420" s="382"/>
      <c r="CH420" s="382"/>
      <c r="CI420" s="382"/>
      <c r="CJ420" s="382"/>
      <c r="CK420" s="382"/>
      <c r="CL420" s="382"/>
      <c r="CM420" s="382"/>
      <c r="CN420" s="382"/>
      <c r="CO420" s="382"/>
      <c r="CP420" s="382"/>
      <c r="CQ420" s="382"/>
      <c r="CR420" s="382"/>
      <c r="CS420" s="382"/>
      <c r="CT420" s="382"/>
      <c r="CU420" s="382"/>
      <c r="CV420" s="382"/>
      <c r="CW420" s="800"/>
      <c r="CX420" s="382"/>
      <c r="CY420" s="382"/>
      <c r="CZ420" s="382"/>
      <c r="DA420" s="382"/>
      <c r="DB420" s="382"/>
      <c r="DC420" s="382"/>
      <c r="DD420" s="382"/>
      <c r="DE420" s="382"/>
      <c r="DF420" s="382"/>
      <c r="DG420" s="382"/>
      <c r="DH420" s="382"/>
      <c r="DI420" s="382"/>
      <c r="DJ420" s="382"/>
      <c r="DK420" s="382"/>
      <c r="DL420" s="382"/>
      <c r="DM420" s="382"/>
      <c r="DN420" s="382"/>
      <c r="DO420" s="382"/>
      <c r="DP420" s="382"/>
      <c r="DQ420" s="382"/>
      <c r="DR420" s="382"/>
      <c r="DS420" s="382"/>
      <c r="DT420" s="382"/>
      <c r="DU420" s="382"/>
      <c r="DV420" s="382"/>
      <c r="DW420" s="382"/>
      <c r="DX420" s="382"/>
      <c r="DY420" s="382"/>
      <c r="DZ420" s="228"/>
    </row>
    <row r="421" spans="2:130" s="180" customFormat="1" x14ac:dyDescent="0.2">
      <c r="B421" s="800"/>
      <c r="C421" s="800"/>
      <c r="D421" s="800"/>
      <c r="E421" s="769"/>
      <c r="F421" s="769"/>
      <c r="G421" s="802"/>
      <c r="H421" s="802"/>
      <c r="I421" s="802"/>
      <c r="J421" s="802"/>
      <c r="K421" s="802"/>
      <c r="L421" s="802"/>
      <c r="M421" s="802"/>
      <c r="N421" s="802"/>
      <c r="O421" s="802"/>
      <c r="P421" s="802"/>
      <c r="Q421" s="802"/>
      <c r="R421" s="802"/>
      <c r="S421" s="802"/>
      <c r="T421" s="802"/>
      <c r="U421" s="802"/>
      <c r="V421" s="802"/>
      <c r="W421" s="802"/>
      <c r="X421" s="802"/>
      <c r="Y421" s="802"/>
      <c r="Z421" s="802"/>
      <c r="AA421" s="802"/>
      <c r="AB421" s="802"/>
      <c r="AC421" s="802"/>
      <c r="AD421" s="802"/>
      <c r="AE421" s="802"/>
      <c r="AF421" s="802"/>
      <c r="AG421" s="802"/>
      <c r="AH421" s="382"/>
      <c r="AI421" s="382"/>
      <c r="AJ421" s="382"/>
      <c r="AK421" s="382"/>
      <c r="AL421" s="382"/>
      <c r="AM421" s="382"/>
      <c r="AN421" s="382"/>
      <c r="AO421" s="382"/>
      <c r="AP421" s="382"/>
      <c r="AQ421" s="382"/>
      <c r="AR421" s="382"/>
      <c r="AS421" s="382"/>
      <c r="AT421" s="382"/>
      <c r="AU421" s="382"/>
      <c r="AV421" s="382"/>
      <c r="AW421" s="382"/>
      <c r="AX421" s="382"/>
      <c r="AY421" s="382"/>
      <c r="AZ421" s="382"/>
      <c r="BA421" s="382"/>
      <c r="BB421" s="382"/>
      <c r="BC421" s="382"/>
      <c r="BD421" s="382"/>
      <c r="BE421" s="382"/>
      <c r="BF421" s="382"/>
      <c r="BG421" s="382"/>
      <c r="BH421" s="382"/>
      <c r="BI421" s="382"/>
      <c r="BJ421" s="382"/>
      <c r="BK421" s="382"/>
      <c r="BL421" s="382"/>
      <c r="BM421" s="382"/>
      <c r="BN421" s="382"/>
      <c r="BO421" s="382"/>
      <c r="BP421" s="382"/>
      <c r="BQ421" s="382"/>
      <c r="BR421" s="382"/>
      <c r="BS421" s="382"/>
      <c r="BT421" s="382"/>
      <c r="BU421" s="496"/>
      <c r="BV421" s="382"/>
      <c r="BW421" s="382"/>
      <c r="BX421" s="382"/>
      <c r="BY421" s="382"/>
      <c r="BZ421" s="382"/>
      <c r="CA421" s="382"/>
      <c r="CB421" s="382"/>
      <c r="CC421" s="382"/>
      <c r="CD421" s="382"/>
      <c r="CE421" s="382"/>
      <c r="CF421" s="382"/>
      <c r="CG421" s="382"/>
      <c r="CH421" s="382"/>
      <c r="CI421" s="382"/>
      <c r="CJ421" s="382"/>
      <c r="CK421" s="382"/>
      <c r="CL421" s="382"/>
      <c r="CM421" s="382"/>
      <c r="CN421" s="382"/>
      <c r="CO421" s="382"/>
      <c r="CP421" s="382"/>
      <c r="CQ421" s="382"/>
      <c r="CR421" s="382"/>
      <c r="CS421" s="382"/>
      <c r="CT421" s="382"/>
      <c r="CU421" s="382"/>
      <c r="CV421" s="382"/>
      <c r="CW421" s="800"/>
      <c r="CX421" s="382"/>
      <c r="CY421" s="382"/>
      <c r="CZ421" s="382"/>
      <c r="DA421" s="382"/>
      <c r="DB421" s="382"/>
      <c r="DC421" s="382"/>
      <c r="DD421" s="382"/>
      <c r="DE421" s="382"/>
      <c r="DF421" s="382"/>
      <c r="DG421" s="382"/>
      <c r="DH421" s="382"/>
      <c r="DI421" s="382"/>
      <c r="DJ421" s="382"/>
      <c r="DK421" s="382"/>
      <c r="DL421" s="382"/>
      <c r="DM421" s="382"/>
      <c r="DN421" s="382"/>
      <c r="DO421" s="382"/>
      <c r="DP421" s="382"/>
      <c r="DQ421" s="382"/>
      <c r="DR421" s="382"/>
      <c r="DS421" s="382"/>
      <c r="DT421" s="382"/>
      <c r="DU421" s="382"/>
      <c r="DV421" s="382"/>
      <c r="DW421" s="382"/>
      <c r="DX421" s="382"/>
      <c r="DY421" s="382"/>
      <c r="DZ421" s="228"/>
    </row>
    <row r="422" spans="2:130" s="180" customFormat="1" x14ac:dyDescent="0.2">
      <c r="B422" s="800"/>
      <c r="C422" s="800"/>
      <c r="D422" s="800"/>
      <c r="E422" s="769"/>
      <c r="F422" s="769"/>
      <c r="G422" s="802"/>
      <c r="H422" s="802"/>
      <c r="I422" s="802"/>
      <c r="J422" s="802"/>
      <c r="K422" s="802"/>
      <c r="L422" s="802"/>
      <c r="M422" s="802"/>
      <c r="N422" s="802"/>
      <c r="O422" s="802"/>
      <c r="P422" s="802"/>
      <c r="Q422" s="802"/>
      <c r="R422" s="802"/>
      <c r="S422" s="802"/>
      <c r="T422" s="802"/>
      <c r="U422" s="802"/>
      <c r="V422" s="802"/>
      <c r="W422" s="802"/>
      <c r="X422" s="802"/>
      <c r="Y422" s="802"/>
      <c r="Z422" s="802"/>
      <c r="AA422" s="802"/>
      <c r="AB422" s="802"/>
      <c r="AC422" s="802"/>
      <c r="AD422" s="802"/>
      <c r="AE422" s="802"/>
      <c r="AF422" s="802"/>
      <c r="AG422" s="802"/>
      <c r="AH422" s="382"/>
      <c r="AI422" s="382"/>
      <c r="AJ422" s="382"/>
      <c r="AK422" s="382"/>
      <c r="AL422" s="382"/>
      <c r="AM422" s="382"/>
      <c r="AN422" s="382"/>
      <c r="AO422" s="382"/>
      <c r="AP422" s="382"/>
      <c r="AQ422" s="382"/>
      <c r="AR422" s="382"/>
      <c r="AS422" s="382"/>
      <c r="AT422" s="382"/>
      <c r="AU422" s="382"/>
      <c r="AV422" s="382"/>
      <c r="AW422" s="382"/>
      <c r="AX422" s="382"/>
      <c r="AY422" s="382"/>
      <c r="AZ422" s="382"/>
      <c r="BA422" s="382"/>
      <c r="BB422" s="382"/>
      <c r="BC422" s="382"/>
      <c r="BD422" s="382"/>
      <c r="BE422" s="382"/>
      <c r="BF422" s="382"/>
      <c r="BG422" s="382"/>
      <c r="BH422" s="382"/>
      <c r="BI422" s="382"/>
      <c r="BJ422" s="382"/>
      <c r="BK422" s="382"/>
      <c r="BL422" s="382"/>
      <c r="BM422" s="382"/>
      <c r="BN422" s="382"/>
      <c r="BO422" s="382"/>
      <c r="BP422" s="382"/>
      <c r="BQ422" s="382"/>
      <c r="BR422" s="382"/>
      <c r="BS422" s="382"/>
      <c r="BT422" s="382"/>
      <c r="BU422" s="496"/>
      <c r="BV422" s="382"/>
      <c r="BW422" s="382"/>
      <c r="BX422" s="382"/>
      <c r="BY422" s="382"/>
      <c r="BZ422" s="382"/>
      <c r="CA422" s="382"/>
      <c r="CB422" s="382"/>
      <c r="CC422" s="382"/>
      <c r="CD422" s="382"/>
      <c r="CE422" s="382"/>
      <c r="CF422" s="382"/>
      <c r="CG422" s="382"/>
      <c r="CH422" s="382"/>
      <c r="CI422" s="382"/>
      <c r="CJ422" s="382"/>
      <c r="CK422" s="382"/>
      <c r="CL422" s="382"/>
      <c r="CM422" s="382"/>
      <c r="CN422" s="382"/>
      <c r="CO422" s="382"/>
      <c r="CP422" s="382"/>
      <c r="CQ422" s="382"/>
      <c r="CR422" s="382"/>
      <c r="CS422" s="382"/>
      <c r="CT422" s="382"/>
      <c r="CU422" s="382"/>
      <c r="CV422" s="382"/>
      <c r="CW422" s="800"/>
      <c r="CX422" s="382"/>
      <c r="CY422" s="382"/>
      <c r="CZ422" s="382"/>
      <c r="DA422" s="382"/>
      <c r="DB422" s="382"/>
      <c r="DC422" s="382"/>
      <c r="DD422" s="382"/>
      <c r="DE422" s="382"/>
      <c r="DF422" s="382"/>
      <c r="DG422" s="382"/>
      <c r="DH422" s="382"/>
      <c r="DI422" s="382"/>
      <c r="DJ422" s="382"/>
      <c r="DK422" s="382"/>
      <c r="DL422" s="382"/>
      <c r="DM422" s="382"/>
      <c r="DN422" s="382"/>
      <c r="DO422" s="382"/>
      <c r="DP422" s="382"/>
      <c r="DQ422" s="382"/>
      <c r="DR422" s="382"/>
      <c r="DS422" s="382"/>
      <c r="DT422" s="382"/>
      <c r="DU422" s="382"/>
      <c r="DV422" s="382"/>
      <c r="DW422" s="382"/>
      <c r="DX422" s="382"/>
      <c r="DY422" s="382"/>
      <c r="DZ422" s="228"/>
    </row>
    <row r="423" spans="2:130" s="180" customFormat="1" x14ac:dyDescent="0.2">
      <c r="B423" s="800"/>
      <c r="C423" s="800"/>
      <c r="D423" s="800"/>
      <c r="E423" s="769"/>
      <c r="F423" s="769"/>
      <c r="G423" s="802"/>
      <c r="H423" s="802"/>
      <c r="I423" s="802"/>
      <c r="J423" s="802"/>
      <c r="K423" s="802"/>
      <c r="L423" s="802"/>
      <c r="M423" s="802"/>
      <c r="N423" s="802"/>
      <c r="O423" s="802"/>
      <c r="P423" s="802"/>
      <c r="Q423" s="802"/>
      <c r="R423" s="802"/>
      <c r="S423" s="802"/>
      <c r="T423" s="802"/>
      <c r="U423" s="802"/>
      <c r="V423" s="802"/>
      <c r="W423" s="802"/>
      <c r="X423" s="802"/>
      <c r="Y423" s="802"/>
      <c r="Z423" s="802"/>
      <c r="AA423" s="802"/>
      <c r="AB423" s="802"/>
      <c r="AC423" s="802"/>
      <c r="AD423" s="802"/>
      <c r="AE423" s="802"/>
      <c r="AF423" s="802"/>
      <c r="AG423" s="802"/>
      <c r="AH423" s="382"/>
      <c r="AI423" s="382"/>
      <c r="AJ423" s="382"/>
      <c r="AK423" s="382"/>
      <c r="AL423" s="382"/>
      <c r="AM423" s="382"/>
      <c r="AN423" s="382"/>
      <c r="AO423" s="382"/>
      <c r="AP423" s="382"/>
      <c r="AQ423" s="382"/>
      <c r="AR423" s="382"/>
      <c r="AS423" s="382"/>
      <c r="AT423" s="382"/>
      <c r="AU423" s="382"/>
      <c r="AV423" s="382"/>
      <c r="AW423" s="382"/>
      <c r="AX423" s="382"/>
      <c r="AY423" s="382"/>
      <c r="AZ423" s="382"/>
      <c r="BA423" s="382"/>
      <c r="BB423" s="382"/>
      <c r="BC423" s="382"/>
      <c r="BD423" s="382"/>
      <c r="BE423" s="382"/>
      <c r="BF423" s="382"/>
      <c r="BG423" s="382"/>
      <c r="BH423" s="382"/>
      <c r="BI423" s="382"/>
      <c r="BJ423" s="382"/>
      <c r="BK423" s="382"/>
      <c r="BL423" s="382"/>
      <c r="BM423" s="382"/>
      <c r="BN423" s="382"/>
      <c r="BO423" s="382"/>
      <c r="BP423" s="382"/>
      <c r="BQ423" s="382"/>
      <c r="BR423" s="382"/>
      <c r="BS423" s="382"/>
      <c r="BT423" s="382"/>
      <c r="BU423" s="496"/>
      <c r="BV423" s="382"/>
      <c r="BW423" s="382"/>
      <c r="BX423" s="382"/>
      <c r="BY423" s="382"/>
      <c r="BZ423" s="382"/>
      <c r="CA423" s="382"/>
      <c r="CB423" s="382"/>
      <c r="CC423" s="382"/>
      <c r="CD423" s="382"/>
      <c r="CE423" s="382"/>
      <c r="CF423" s="382"/>
      <c r="CG423" s="382"/>
      <c r="CH423" s="382"/>
      <c r="CI423" s="382"/>
      <c r="CJ423" s="382"/>
      <c r="CK423" s="382"/>
      <c r="CL423" s="382"/>
      <c r="CM423" s="382"/>
      <c r="CN423" s="382"/>
      <c r="CO423" s="382"/>
      <c r="CP423" s="382"/>
      <c r="CQ423" s="382"/>
      <c r="CR423" s="382"/>
      <c r="CS423" s="382"/>
      <c r="CT423" s="382"/>
      <c r="CU423" s="382"/>
      <c r="CV423" s="382"/>
      <c r="CW423" s="800"/>
      <c r="CX423" s="382"/>
      <c r="CY423" s="382"/>
      <c r="CZ423" s="382"/>
      <c r="DA423" s="382"/>
      <c r="DB423" s="382"/>
      <c r="DC423" s="382"/>
      <c r="DD423" s="382"/>
      <c r="DE423" s="382"/>
      <c r="DF423" s="382"/>
      <c r="DG423" s="382"/>
      <c r="DH423" s="382"/>
      <c r="DI423" s="382"/>
      <c r="DJ423" s="382"/>
      <c r="DK423" s="382"/>
      <c r="DL423" s="382"/>
      <c r="DM423" s="382"/>
      <c r="DN423" s="382"/>
      <c r="DO423" s="382"/>
      <c r="DP423" s="382"/>
      <c r="DQ423" s="382"/>
      <c r="DR423" s="382"/>
      <c r="DS423" s="382"/>
      <c r="DT423" s="382"/>
      <c r="DU423" s="382"/>
      <c r="DV423" s="382"/>
      <c r="DW423" s="382"/>
      <c r="DX423" s="382"/>
      <c r="DY423" s="382"/>
      <c r="DZ423" s="228"/>
    </row>
    <row r="424" spans="2:130" s="180" customFormat="1" x14ac:dyDescent="0.2">
      <c r="B424" s="800"/>
      <c r="C424" s="800"/>
      <c r="D424" s="800"/>
      <c r="E424" s="769"/>
      <c r="F424" s="769"/>
      <c r="G424" s="802"/>
      <c r="H424" s="802"/>
      <c r="I424" s="802"/>
      <c r="J424" s="802"/>
      <c r="K424" s="802"/>
      <c r="L424" s="802"/>
      <c r="M424" s="802"/>
      <c r="N424" s="802"/>
      <c r="O424" s="802"/>
      <c r="P424" s="802"/>
      <c r="Q424" s="802"/>
      <c r="R424" s="802"/>
      <c r="S424" s="802"/>
      <c r="T424" s="802"/>
      <c r="U424" s="802"/>
      <c r="V424" s="802"/>
      <c r="W424" s="802"/>
      <c r="X424" s="802"/>
      <c r="Y424" s="802"/>
      <c r="Z424" s="802"/>
      <c r="AA424" s="802"/>
      <c r="AB424" s="802"/>
      <c r="AC424" s="802"/>
      <c r="AD424" s="802"/>
      <c r="AE424" s="802"/>
      <c r="AF424" s="802"/>
      <c r="AG424" s="802"/>
      <c r="AH424" s="382"/>
      <c r="AI424" s="382"/>
      <c r="AJ424" s="382"/>
      <c r="AK424" s="382"/>
      <c r="AL424" s="382"/>
      <c r="AM424" s="382"/>
      <c r="AN424" s="382"/>
      <c r="AO424" s="382"/>
      <c r="AP424" s="382"/>
      <c r="AQ424" s="382"/>
      <c r="AR424" s="382"/>
      <c r="AS424" s="382"/>
      <c r="AT424" s="382"/>
      <c r="AU424" s="382"/>
      <c r="AV424" s="382"/>
      <c r="AW424" s="382"/>
      <c r="AX424" s="382"/>
      <c r="AY424" s="382"/>
      <c r="AZ424" s="382"/>
      <c r="BA424" s="382"/>
      <c r="BB424" s="382"/>
      <c r="BC424" s="382"/>
      <c r="BD424" s="382"/>
      <c r="BE424" s="382"/>
      <c r="BF424" s="382"/>
      <c r="BG424" s="382"/>
      <c r="BH424" s="382"/>
      <c r="BI424" s="382"/>
      <c r="BJ424" s="382"/>
      <c r="BK424" s="382"/>
      <c r="BL424" s="382"/>
      <c r="BM424" s="382"/>
      <c r="BN424" s="382"/>
      <c r="BO424" s="382"/>
      <c r="BP424" s="382"/>
      <c r="BQ424" s="382"/>
      <c r="BR424" s="382"/>
      <c r="BS424" s="382"/>
      <c r="BT424" s="382"/>
      <c r="BU424" s="496"/>
      <c r="BV424" s="382"/>
      <c r="BW424" s="382"/>
      <c r="BX424" s="382"/>
      <c r="BY424" s="382"/>
      <c r="BZ424" s="382"/>
      <c r="CA424" s="382"/>
      <c r="CB424" s="382"/>
      <c r="CC424" s="382"/>
      <c r="CD424" s="382"/>
      <c r="CE424" s="382"/>
      <c r="CF424" s="382"/>
      <c r="CG424" s="382"/>
      <c r="CH424" s="382"/>
      <c r="CI424" s="382"/>
      <c r="CJ424" s="382"/>
      <c r="CK424" s="382"/>
      <c r="CL424" s="382"/>
      <c r="CM424" s="382"/>
      <c r="CN424" s="382"/>
      <c r="CO424" s="382"/>
      <c r="CP424" s="382"/>
      <c r="CQ424" s="382"/>
      <c r="CR424" s="382"/>
      <c r="CS424" s="382"/>
      <c r="CT424" s="382"/>
      <c r="CU424" s="382"/>
      <c r="CV424" s="382"/>
      <c r="CW424" s="800"/>
      <c r="CX424" s="382"/>
      <c r="CY424" s="382"/>
      <c r="CZ424" s="382"/>
      <c r="DA424" s="382"/>
      <c r="DB424" s="382"/>
      <c r="DC424" s="382"/>
      <c r="DD424" s="382"/>
      <c r="DE424" s="382"/>
      <c r="DF424" s="382"/>
      <c r="DG424" s="382"/>
      <c r="DH424" s="382"/>
      <c r="DI424" s="382"/>
      <c r="DJ424" s="382"/>
      <c r="DK424" s="382"/>
      <c r="DL424" s="382"/>
      <c r="DM424" s="382"/>
      <c r="DN424" s="382"/>
      <c r="DO424" s="382"/>
      <c r="DP424" s="382"/>
      <c r="DQ424" s="382"/>
      <c r="DR424" s="382"/>
      <c r="DS424" s="382"/>
      <c r="DT424" s="382"/>
      <c r="DU424" s="382"/>
      <c r="DV424" s="382"/>
      <c r="DW424" s="382"/>
      <c r="DX424" s="382"/>
      <c r="DY424" s="382"/>
      <c r="DZ424" s="228"/>
    </row>
    <row r="425" spans="2:130" s="180" customFormat="1" x14ac:dyDescent="0.2">
      <c r="B425" s="800"/>
      <c r="C425" s="800"/>
      <c r="D425" s="800"/>
      <c r="E425" s="769"/>
      <c r="F425" s="769"/>
      <c r="G425" s="802"/>
      <c r="H425" s="802"/>
      <c r="I425" s="802"/>
      <c r="J425" s="802"/>
      <c r="K425" s="802"/>
      <c r="L425" s="802"/>
      <c r="M425" s="802"/>
      <c r="N425" s="802"/>
      <c r="O425" s="802"/>
      <c r="P425" s="802"/>
      <c r="Q425" s="802"/>
      <c r="R425" s="802"/>
      <c r="S425" s="802"/>
      <c r="T425" s="802"/>
      <c r="U425" s="802"/>
      <c r="V425" s="802"/>
      <c r="W425" s="802"/>
      <c r="X425" s="802"/>
      <c r="Y425" s="802"/>
      <c r="Z425" s="802"/>
      <c r="AA425" s="802"/>
      <c r="AB425" s="802"/>
      <c r="AC425" s="802"/>
      <c r="AD425" s="802"/>
      <c r="AE425" s="802"/>
      <c r="AF425" s="802"/>
      <c r="AG425" s="802"/>
      <c r="AH425" s="382"/>
      <c r="AI425" s="382"/>
      <c r="AJ425" s="382"/>
      <c r="AK425" s="382"/>
      <c r="AL425" s="382"/>
      <c r="AM425" s="382"/>
      <c r="AN425" s="382"/>
      <c r="AO425" s="382"/>
      <c r="AP425" s="382"/>
      <c r="AQ425" s="382"/>
      <c r="AR425" s="382"/>
      <c r="AS425" s="382"/>
      <c r="AT425" s="382"/>
      <c r="AU425" s="382"/>
      <c r="AV425" s="382"/>
      <c r="AW425" s="382"/>
      <c r="AX425" s="382"/>
      <c r="AY425" s="382"/>
      <c r="AZ425" s="382"/>
      <c r="BA425" s="382"/>
      <c r="BB425" s="382"/>
      <c r="BC425" s="382"/>
      <c r="BD425" s="382"/>
      <c r="BE425" s="382"/>
      <c r="BF425" s="382"/>
      <c r="BG425" s="382"/>
      <c r="BH425" s="382"/>
      <c r="BI425" s="382"/>
      <c r="BJ425" s="382"/>
      <c r="BK425" s="382"/>
      <c r="BL425" s="382"/>
      <c r="BM425" s="382"/>
      <c r="BN425" s="382"/>
      <c r="BO425" s="382"/>
      <c r="BP425" s="382"/>
      <c r="BQ425" s="382"/>
      <c r="BR425" s="382"/>
      <c r="BS425" s="382"/>
      <c r="BT425" s="382"/>
      <c r="BU425" s="496"/>
      <c r="BV425" s="382"/>
      <c r="BW425" s="382"/>
      <c r="BX425" s="382"/>
      <c r="BY425" s="382"/>
      <c r="BZ425" s="382"/>
      <c r="CA425" s="382"/>
      <c r="CB425" s="382"/>
      <c r="CC425" s="382"/>
      <c r="CD425" s="382"/>
      <c r="CE425" s="382"/>
      <c r="CF425" s="382"/>
      <c r="CG425" s="382"/>
      <c r="CH425" s="382"/>
      <c r="CI425" s="382"/>
      <c r="CJ425" s="382"/>
      <c r="CK425" s="382"/>
      <c r="CL425" s="382"/>
      <c r="CM425" s="382"/>
      <c r="CN425" s="382"/>
      <c r="CO425" s="382"/>
      <c r="CP425" s="382"/>
      <c r="CQ425" s="382"/>
      <c r="CR425" s="382"/>
      <c r="CS425" s="382"/>
      <c r="CT425" s="382"/>
      <c r="CU425" s="382"/>
      <c r="CV425" s="382"/>
      <c r="CW425" s="800"/>
      <c r="CX425" s="382"/>
      <c r="CY425" s="382"/>
      <c r="CZ425" s="382"/>
      <c r="DA425" s="382"/>
      <c r="DB425" s="382"/>
      <c r="DC425" s="382"/>
      <c r="DD425" s="382"/>
      <c r="DE425" s="382"/>
      <c r="DF425" s="382"/>
      <c r="DG425" s="382"/>
      <c r="DH425" s="382"/>
      <c r="DI425" s="382"/>
      <c r="DJ425" s="382"/>
      <c r="DK425" s="382"/>
      <c r="DL425" s="382"/>
      <c r="DM425" s="382"/>
      <c r="DN425" s="382"/>
      <c r="DO425" s="382"/>
      <c r="DP425" s="382"/>
      <c r="DQ425" s="382"/>
      <c r="DR425" s="382"/>
      <c r="DS425" s="382"/>
      <c r="DT425" s="382"/>
      <c r="DU425" s="382"/>
      <c r="DV425" s="382"/>
      <c r="DW425" s="382"/>
      <c r="DX425" s="382"/>
      <c r="DY425" s="382"/>
      <c r="DZ425" s="228"/>
    </row>
    <row r="426" spans="2:130" s="180" customFormat="1" x14ac:dyDescent="0.2">
      <c r="B426" s="800"/>
      <c r="C426" s="800"/>
      <c r="D426" s="800"/>
      <c r="E426" s="769"/>
      <c r="F426" s="769"/>
      <c r="G426" s="802"/>
      <c r="H426" s="802"/>
      <c r="I426" s="802"/>
      <c r="J426" s="802"/>
      <c r="K426" s="802"/>
      <c r="L426" s="802"/>
      <c r="M426" s="802"/>
      <c r="N426" s="802"/>
      <c r="O426" s="802"/>
      <c r="P426" s="802"/>
      <c r="Q426" s="802"/>
      <c r="R426" s="802"/>
      <c r="S426" s="802"/>
      <c r="T426" s="802"/>
      <c r="U426" s="802"/>
      <c r="V426" s="802"/>
      <c r="W426" s="802"/>
      <c r="X426" s="802"/>
      <c r="Y426" s="802"/>
      <c r="Z426" s="802"/>
      <c r="AA426" s="802"/>
      <c r="AB426" s="802"/>
      <c r="AC426" s="802"/>
      <c r="AD426" s="802"/>
      <c r="AE426" s="802"/>
      <c r="AF426" s="802"/>
      <c r="AG426" s="802"/>
      <c r="AH426" s="382"/>
      <c r="AI426" s="382"/>
      <c r="AJ426" s="382"/>
      <c r="AK426" s="382"/>
      <c r="AL426" s="382"/>
      <c r="AM426" s="382"/>
      <c r="AN426" s="382"/>
      <c r="AO426" s="382"/>
      <c r="AP426" s="382"/>
      <c r="AQ426" s="382"/>
      <c r="AR426" s="382"/>
      <c r="AS426" s="382"/>
      <c r="AT426" s="382"/>
      <c r="AU426" s="382"/>
      <c r="AV426" s="382"/>
      <c r="AW426" s="382"/>
      <c r="AX426" s="382"/>
      <c r="AY426" s="382"/>
      <c r="AZ426" s="382"/>
      <c r="BA426" s="382"/>
      <c r="BB426" s="382"/>
      <c r="BC426" s="382"/>
      <c r="BD426" s="382"/>
      <c r="BE426" s="382"/>
      <c r="BF426" s="382"/>
      <c r="BG426" s="382"/>
      <c r="BH426" s="382"/>
      <c r="BI426" s="382"/>
      <c r="BJ426" s="382"/>
      <c r="BK426" s="382"/>
      <c r="BL426" s="382"/>
      <c r="BM426" s="382"/>
      <c r="BN426" s="382"/>
      <c r="BO426" s="382"/>
      <c r="BP426" s="382"/>
      <c r="BQ426" s="382"/>
      <c r="BR426" s="382"/>
      <c r="BS426" s="382"/>
      <c r="BT426" s="382"/>
      <c r="BU426" s="496"/>
      <c r="BV426" s="382"/>
      <c r="BW426" s="382"/>
      <c r="BX426" s="382"/>
      <c r="BY426" s="382"/>
      <c r="BZ426" s="382"/>
      <c r="CA426" s="382"/>
      <c r="CB426" s="382"/>
      <c r="CC426" s="382"/>
      <c r="CD426" s="382"/>
      <c r="CE426" s="382"/>
      <c r="CF426" s="382"/>
      <c r="CG426" s="382"/>
      <c r="CH426" s="382"/>
      <c r="CI426" s="382"/>
      <c r="CJ426" s="382"/>
      <c r="CK426" s="382"/>
      <c r="CL426" s="382"/>
      <c r="CM426" s="382"/>
      <c r="CN426" s="382"/>
      <c r="CO426" s="382"/>
      <c r="CP426" s="382"/>
      <c r="CQ426" s="382"/>
      <c r="CR426" s="382"/>
      <c r="CS426" s="382"/>
      <c r="CT426" s="382"/>
      <c r="CU426" s="382"/>
      <c r="CV426" s="382"/>
      <c r="CW426" s="800"/>
      <c r="CX426" s="382"/>
      <c r="CY426" s="382"/>
      <c r="CZ426" s="382"/>
      <c r="DA426" s="382"/>
      <c r="DB426" s="382"/>
      <c r="DC426" s="382"/>
      <c r="DD426" s="382"/>
      <c r="DE426" s="382"/>
      <c r="DF426" s="382"/>
      <c r="DG426" s="382"/>
      <c r="DH426" s="382"/>
      <c r="DI426" s="382"/>
      <c r="DJ426" s="382"/>
      <c r="DK426" s="382"/>
      <c r="DL426" s="382"/>
      <c r="DM426" s="382"/>
      <c r="DN426" s="382"/>
      <c r="DO426" s="382"/>
      <c r="DP426" s="382"/>
      <c r="DQ426" s="382"/>
      <c r="DR426" s="382"/>
      <c r="DS426" s="382"/>
      <c r="DT426" s="382"/>
      <c r="DU426" s="382"/>
      <c r="DV426" s="382"/>
      <c r="DW426" s="382"/>
      <c r="DX426" s="382"/>
      <c r="DY426" s="382"/>
      <c r="DZ426" s="228"/>
    </row>
    <row r="427" spans="2:130" s="180" customFormat="1" x14ac:dyDescent="0.2">
      <c r="B427" s="800"/>
      <c r="C427" s="800"/>
      <c r="D427" s="800"/>
      <c r="E427" s="769"/>
      <c r="F427" s="769"/>
      <c r="G427" s="802"/>
      <c r="H427" s="802"/>
      <c r="I427" s="802"/>
      <c r="J427" s="802"/>
      <c r="K427" s="802"/>
      <c r="L427" s="802"/>
      <c r="M427" s="802"/>
      <c r="N427" s="802"/>
      <c r="O427" s="802"/>
      <c r="P427" s="802"/>
      <c r="Q427" s="802"/>
      <c r="R427" s="802"/>
      <c r="S427" s="802"/>
      <c r="T427" s="802"/>
      <c r="U427" s="802"/>
      <c r="V427" s="802"/>
      <c r="W427" s="802"/>
      <c r="X427" s="802"/>
      <c r="Y427" s="802"/>
      <c r="Z427" s="802"/>
      <c r="AA427" s="802"/>
      <c r="AB427" s="802"/>
      <c r="AC427" s="802"/>
      <c r="AD427" s="802"/>
      <c r="AE427" s="802"/>
      <c r="AF427" s="802"/>
      <c r="AG427" s="802"/>
      <c r="AH427" s="382"/>
      <c r="AI427" s="382"/>
      <c r="AJ427" s="382"/>
      <c r="AK427" s="382"/>
      <c r="AL427" s="382"/>
      <c r="AM427" s="382"/>
      <c r="AN427" s="382"/>
      <c r="AO427" s="382"/>
      <c r="AP427" s="382"/>
      <c r="AQ427" s="382"/>
      <c r="AR427" s="382"/>
      <c r="AS427" s="382"/>
      <c r="AT427" s="382"/>
      <c r="AU427" s="382"/>
      <c r="AV427" s="382"/>
      <c r="AW427" s="382"/>
      <c r="AX427" s="382"/>
      <c r="AY427" s="382"/>
      <c r="AZ427" s="382"/>
      <c r="BA427" s="382"/>
      <c r="BB427" s="382"/>
      <c r="BC427" s="382"/>
      <c r="BD427" s="382"/>
      <c r="BE427" s="382"/>
      <c r="BF427" s="382"/>
      <c r="BG427" s="382"/>
      <c r="BH427" s="382"/>
      <c r="BI427" s="382"/>
      <c r="BJ427" s="382"/>
      <c r="BK427" s="382"/>
      <c r="BL427" s="382"/>
      <c r="BM427" s="382"/>
      <c r="BN427" s="382"/>
      <c r="BO427" s="382"/>
      <c r="BP427" s="382"/>
      <c r="BQ427" s="382"/>
      <c r="BR427" s="382"/>
      <c r="BS427" s="382"/>
      <c r="BT427" s="382"/>
      <c r="BU427" s="496"/>
      <c r="BV427" s="382"/>
      <c r="BW427" s="382"/>
      <c r="BX427" s="382"/>
      <c r="BY427" s="382"/>
      <c r="BZ427" s="382"/>
      <c r="CA427" s="382"/>
      <c r="CB427" s="382"/>
      <c r="CC427" s="382"/>
      <c r="CD427" s="382"/>
      <c r="CE427" s="382"/>
      <c r="CF427" s="382"/>
      <c r="CG427" s="382"/>
      <c r="CH427" s="382"/>
      <c r="CI427" s="382"/>
      <c r="CJ427" s="382"/>
      <c r="CK427" s="382"/>
      <c r="CL427" s="382"/>
      <c r="CM427" s="382"/>
      <c r="CN427" s="382"/>
      <c r="CO427" s="382"/>
      <c r="CP427" s="382"/>
      <c r="CQ427" s="382"/>
      <c r="CR427" s="382"/>
      <c r="CS427" s="382"/>
      <c r="CT427" s="382"/>
      <c r="CU427" s="382"/>
      <c r="CV427" s="382"/>
      <c r="CW427" s="800"/>
      <c r="CX427" s="382"/>
      <c r="CY427" s="382"/>
      <c r="CZ427" s="382"/>
      <c r="DA427" s="382"/>
      <c r="DB427" s="382"/>
      <c r="DC427" s="382"/>
      <c r="DD427" s="382"/>
      <c r="DE427" s="382"/>
      <c r="DF427" s="382"/>
      <c r="DG427" s="382"/>
      <c r="DH427" s="382"/>
      <c r="DI427" s="382"/>
      <c r="DJ427" s="382"/>
      <c r="DK427" s="382"/>
      <c r="DL427" s="382"/>
      <c r="DM427" s="382"/>
      <c r="DN427" s="382"/>
      <c r="DO427" s="382"/>
      <c r="DP427" s="382"/>
      <c r="DQ427" s="382"/>
      <c r="DR427" s="382"/>
      <c r="DS427" s="382"/>
      <c r="DT427" s="382"/>
      <c r="DU427" s="382"/>
      <c r="DV427" s="382"/>
      <c r="DW427" s="382"/>
      <c r="DX427" s="382"/>
      <c r="DY427" s="382"/>
      <c r="DZ427" s="228"/>
    </row>
    <row r="428" spans="2:130" s="180" customFormat="1" x14ac:dyDescent="0.2">
      <c r="B428" s="800"/>
      <c r="C428" s="800"/>
      <c r="D428" s="800"/>
      <c r="E428" s="769"/>
      <c r="F428" s="769"/>
      <c r="G428" s="802"/>
      <c r="H428" s="802"/>
      <c r="I428" s="802"/>
      <c r="J428" s="802"/>
      <c r="K428" s="802"/>
      <c r="L428" s="802"/>
      <c r="M428" s="802"/>
      <c r="N428" s="802"/>
      <c r="O428" s="802"/>
      <c r="P428" s="802"/>
      <c r="Q428" s="802"/>
      <c r="R428" s="802"/>
      <c r="S428" s="802"/>
      <c r="T428" s="802"/>
      <c r="U428" s="802"/>
      <c r="V428" s="802"/>
      <c r="W428" s="802"/>
      <c r="X428" s="802"/>
      <c r="Y428" s="802"/>
      <c r="Z428" s="802"/>
      <c r="AA428" s="802"/>
      <c r="AB428" s="802"/>
      <c r="AC428" s="802"/>
      <c r="AD428" s="802"/>
      <c r="AE428" s="802"/>
      <c r="AF428" s="802"/>
      <c r="AG428" s="802"/>
      <c r="AH428" s="382"/>
      <c r="AI428" s="382"/>
      <c r="AJ428" s="382"/>
      <c r="AK428" s="382"/>
      <c r="AL428" s="382"/>
      <c r="AM428" s="382"/>
      <c r="AN428" s="382"/>
      <c r="AO428" s="382"/>
      <c r="AP428" s="382"/>
      <c r="AQ428" s="382"/>
      <c r="AR428" s="382"/>
      <c r="AS428" s="382"/>
      <c r="AT428" s="382"/>
      <c r="AU428" s="382"/>
      <c r="AV428" s="382"/>
      <c r="AW428" s="382"/>
      <c r="AX428" s="382"/>
      <c r="AY428" s="382"/>
      <c r="AZ428" s="382"/>
      <c r="BA428" s="382"/>
      <c r="BB428" s="382"/>
      <c r="BC428" s="382"/>
      <c r="BD428" s="382"/>
      <c r="BE428" s="382"/>
      <c r="BF428" s="382"/>
      <c r="BG428" s="382"/>
      <c r="BH428" s="382"/>
      <c r="BI428" s="382"/>
      <c r="BJ428" s="382"/>
      <c r="BK428" s="382"/>
      <c r="BL428" s="382"/>
      <c r="BM428" s="382"/>
      <c r="BN428" s="382"/>
      <c r="BO428" s="382"/>
      <c r="BP428" s="382"/>
      <c r="BQ428" s="382"/>
      <c r="BR428" s="382"/>
      <c r="BS428" s="382"/>
      <c r="BT428" s="382"/>
      <c r="BU428" s="496"/>
      <c r="BV428" s="382"/>
      <c r="BW428" s="382"/>
      <c r="BX428" s="382"/>
      <c r="BY428" s="382"/>
      <c r="BZ428" s="382"/>
      <c r="CA428" s="382"/>
      <c r="CB428" s="382"/>
      <c r="CC428" s="382"/>
      <c r="CD428" s="382"/>
      <c r="CE428" s="382"/>
      <c r="CF428" s="382"/>
      <c r="CG428" s="382"/>
      <c r="CH428" s="382"/>
      <c r="CI428" s="382"/>
      <c r="CJ428" s="382"/>
      <c r="CK428" s="382"/>
      <c r="CL428" s="382"/>
      <c r="CM428" s="382"/>
      <c r="CN428" s="382"/>
      <c r="CO428" s="382"/>
      <c r="CP428" s="382"/>
      <c r="CQ428" s="382"/>
      <c r="CR428" s="382"/>
      <c r="CS428" s="382"/>
      <c r="CT428" s="382"/>
      <c r="CU428" s="382"/>
      <c r="CV428" s="382"/>
      <c r="CW428" s="800"/>
      <c r="CX428" s="382"/>
      <c r="CY428" s="382"/>
      <c r="CZ428" s="382"/>
      <c r="DA428" s="382"/>
      <c r="DB428" s="382"/>
      <c r="DC428" s="382"/>
      <c r="DD428" s="382"/>
      <c r="DE428" s="382"/>
      <c r="DF428" s="382"/>
      <c r="DG428" s="382"/>
      <c r="DH428" s="382"/>
      <c r="DI428" s="382"/>
      <c r="DJ428" s="382"/>
      <c r="DK428" s="382"/>
      <c r="DL428" s="382"/>
      <c r="DM428" s="382"/>
      <c r="DN428" s="382"/>
      <c r="DO428" s="382"/>
      <c r="DP428" s="382"/>
      <c r="DQ428" s="382"/>
      <c r="DR428" s="382"/>
      <c r="DS428" s="382"/>
      <c r="DT428" s="382"/>
      <c r="DU428" s="382"/>
      <c r="DV428" s="382"/>
      <c r="DW428" s="382"/>
      <c r="DX428" s="382"/>
      <c r="DY428" s="382"/>
      <c r="DZ428" s="228"/>
    </row>
    <row r="429" spans="2:130" s="180" customFormat="1" x14ac:dyDescent="0.2">
      <c r="B429" s="800"/>
      <c r="C429" s="800"/>
      <c r="D429" s="800"/>
      <c r="E429" s="769"/>
      <c r="F429" s="769"/>
      <c r="G429" s="802"/>
      <c r="H429" s="802"/>
      <c r="I429" s="802"/>
      <c r="J429" s="802"/>
      <c r="K429" s="802"/>
      <c r="L429" s="802"/>
      <c r="M429" s="802"/>
      <c r="N429" s="802"/>
      <c r="O429" s="802"/>
      <c r="P429" s="802"/>
      <c r="Q429" s="802"/>
      <c r="R429" s="802"/>
      <c r="S429" s="802"/>
      <c r="T429" s="802"/>
      <c r="U429" s="802"/>
      <c r="V429" s="802"/>
      <c r="W429" s="802"/>
      <c r="X429" s="802"/>
      <c r="Y429" s="802"/>
      <c r="Z429" s="802"/>
      <c r="AA429" s="802"/>
      <c r="AB429" s="802"/>
      <c r="AC429" s="802"/>
      <c r="AD429" s="802"/>
      <c r="AE429" s="802"/>
      <c r="AF429" s="802"/>
      <c r="AG429" s="802"/>
      <c r="AH429" s="382"/>
      <c r="AI429" s="382"/>
      <c r="AJ429" s="382"/>
      <c r="AK429" s="382"/>
      <c r="AL429" s="382"/>
      <c r="AM429" s="382"/>
      <c r="AN429" s="382"/>
      <c r="AO429" s="382"/>
      <c r="AP429" s="382"/>
      <c r="AQ429" s="382"/>
      <c r="AR429" s="382"/>
      <c r="AS429" s="382"/>
      <c r="AT429" s="382"/>
      <c r="AU429" s="382"/>
      <c r="AV429" s="382"/>
      <c r="AW429" s="382"/>
      <c r="AX429" s="382"/>
      <c r="AY429" s="382"/>
      <c r="AZ429" s="382"/>
      <c r="BA429" s="382"/>
      <c r="BB429" s="382"/>
      <c r="BC429" s="382"/>
      <c r="BD429" s="382"/>
      <c r="BE429" s="382"/>
      <c r="BF429" s="382"/>
      <c r="BG429" s="382"/>
      <c r="BH429" s="382"/>
      <c r="BI429" s="382"/>
      <c r="BJ429" s="382"/>
      <c r="BK429" s="382"/>
      <c r="BL429" s="382"/>
      <c r="BM429" s="382"/>
      <c r="BN429" s="382"/>
      <c r="BO429" s="382"/>
      <c r="BP429" s="382"/>
      <c r="BQ429" s="382"/>
      <c r="BR429" s="382"/>
      <c r="BS429" s="382"/>
      <c r="BT429" s="382"/>
      <c r="BU429" s="496"/>
      <c r="BV429" s="382"/>
      <c r="BW429" s="382"/>
      <c r="BX429" s="382"/>
      <c r="BY429" s="382"/>
      <c r="BZ429" s="382"/>
      <c r="CA429" s="382"/>
      <c r="CB429" s="382"/>
      <c r="CC429" s="382"/>
      <c r="CD429" s="382"/>
      <c r="CE429" s="382"/>
      <c r="CF429" s="382"/>
      <c r="CG429" s="382"/>
      <c r="CH429" s="382"/>
      <c r="CI429" s="382"/>
      <c r="CJ429" s="382"/>
      <c r="CK429" s="382"/>
      <c r="CL429" s="382"/>
      <c r="CM429" s="382"/>
      <c r="CN429" s="382"/>
      <c r="CO429" s="382"/>
      <c r="CP429" s="382"/>
      <c r="CQ429" s="382"/>
      <c r="CR429" s="382"/>
      <c r="CS429" s="382"/>
      <c r="CT429" s="382"/>
      <c r="CU429" s="382"/>
      <c r="CV429" s="382"/>
      <c r="CW429" s="800"/>
      <c r="CX429" s="382"/>
      <c r="CY429" s="382"/>
      <c r="CZ429" s="382"/>
      <c r="DA429" s="382"/>
      <c r="DB429" s="382"/>
      <c r="DC429" s="382"/>
      <c r="DD429" s="382"/>
      <c r="DE429" s="382"/>
      <c r="DF429" s="382"/>
      <c r="DG429" s="382"/>
      <c r="DH429" s="382"/>
      <c r="DI429" s="382"/>
      <c r="DJ429" s="382"/>
      <c r="DK429" s="382"/>
      <c r="DL429" s="382"/>
      <c r="DM429" s="382"/>
      <c r="DN429" s="382"/>
      <c r="DO429" s="382"/>
      <c r="DP429" s="382"/>
      <c r="DQ429" s="382"/>
      <c r="DR429" s="382"/>
      <c r="DS429" s="382"/>
      <c r="DT429" s="382"/>
      <c r="DU429" s="382"/>
      <c r="DV429" s="382"/>
      <c r="DW429" s="382"/>
      <c r="DX429" s="382"/>
      <c r="DY429" s="382"/>
      <c r="DZ429" s="228"/>
    </row>
    <row r="430" spans="2:130" s="180" customFormat="1" x14ac:dyDescent="0.2">
      <c r="B430" s="800"/>
      <c r="C430" s="800"/>
      <c r="D430" s="800"/>
      <c r="E430" s="769"/>
      <c r="F430" s="769"/>
      <c r="G430" s="802"/>
      <c r="H430" s="802"/>
      <c r="I430" s="802"/>
      <c r="J430" s="802"/>
      <c r="K430" s="802"/>
      <c r="L430" s="802"/>
      <c r="M430" s="802"/>
      <c r="N430" s="802"/>
      <c r="O430" s="802"/>
      <c r="P430" s="802"/>
      <c r="Q430" s="802"/>
      <c r="R430" s="802"/>
      <c r="S430" s="802"/>
      <c r="T430" s="802"/>
      <c r="U430" s="802"/>
      <c r="V430" s="802"/>
      <c r="W430" s="802"/>
      <c r="X430" s="802"/>
      <c r="Y430" s="802"/>
      <c r="Z430" s="802"/>
      <c r="AA430" s="802"/>
      <c r="AB430" s="802"/>
      <c r="AC430" s="802"/>
      <c r="AD430" s="802"/>
      <c r="AE430" s="802"/>
      <c r="AF430" s="802"/>
      <c r="AG430" s="802"/>
      <c r="AH430" s="382"/>
      <c r="AI430" s="382"/>
      <c r="AJ430" s="382"/>
      <c r="AK430" s="382"/>
      <c r="AL430" s="382"/>
      <c r="AM430" s="382"/>
      <c r="AN430" s="382"/>
      <c r="AO430" s="382"/>
      <c r="AP430" s="382"/>
      <c r="AQ430" s="382"/>
      <c r="AR430" s="382"/>
      <c r="AS430" s="382"/>
      <c r="AT430" s="382"/>
      <c r="AU430" s="382"/>
      <c r="AV430" s="382"/>
      <c r="AW430" s="382"/>
      <c r="AX430" s="382"/>
      <c r="AY430" s="382"/>
      <c r="AZ430" s="382"/>
      <c r="BA430" s="382"/>
      <c r="BB430" s="382"/>
      <c r="BC430" s="382"/>
      <c r="BD430" s="382"/>
      <c r="BE430" s="382"/>
      <c r="BF430" s="382"/>
      <c r="BG430" s="382"/>
      <c r="BH430" s="382"/>
      <c r="BI430" s="382"/>
      <c r="BJ430" s="382"/>
      <c r="BK430" s="382"/>
      <c r="BL430" s="382"/>
      <c r="BM430" s="382"/>
      <c r="BN430" s="382"/>
      <c r="BO430" s="382"/>
      <c r="BP430" s="382"/>
      <c r="BQ430" s="382"/>
      <c r="BR430" s="382"/>
      <c r="BS430" s="382"/>
      <c r="BT430" s="382"/>
      <c r="BU430" s="496"/>
      <c r="BV430" s="382"/>
      <c r="BW430" s="382"/>
      <c r="BX430" s="382"/>
      <c r="BY430" s="382"/>
      <c r="BZ430" s="382"/>
      <c r="CA430" s="382"/>
      <c r="CB430" s="382"/>
      <c r="CC430" s="382"/>
      <c r="CD430" s="382"/>
      <c r="CE430" s="382"/>
      <c r="CF430" s="382"/>
      <c r="CG430" s="382"/>
      <c r="CH430" s="382"/>
      <c r="CI430" s="382"/>
      <c r="CJ430" s="382"/>
      <c r="CK430" s="382"/>
      <c r="CL430" s="382"/>
      <c r="CM430" s="382"/>
      <c r="CN430" s="382"/>
      <c r="CO430" s="382"/>
      <c r="CP430" s="382"/>
      <c r="CQ430" s="382"/>
      <c r="CR430" s="382"/>
      <c r="CS430" s="382"/>
      <c r="CT430" s="382"/>
      <c r="CU430" s="382"/>
      <c r="CV430" s="382"/>
      <c r="CW430" s="800"/>
      <c r="CX430" s="382"/>
      <c r="CY430" s="382"/>
      <c r="CZ430" s="382"/>
      <c r="DA430" s="382"/>
      <c r="DB430" s="382"/>
      <c r="DC430" s="382"/>
      <c r="DD430" s="382"/>
      <c r="DE430" s="382"/>
      <c r="DF430" s="382"/>
      <c r="DG430" s="382"/>
      <c r="DH430" s="382"/>
      <c r="DI430" s="382"/>
      <c r="DJ430" s="382"/>
      <c r="DK430" s="382"/>
      <c r="DL430" s="382"/>
      <c r="DM430" s="382"/>
      <c r="DN430" s="382"/>
      <c r="DO430" s="382"/>
      <c r="DP430" s="382"/>
      <c r="DQ430" s="382"/>
      <c r="DR430" s="382"/>
      <c r="DS430" s="382"/>
      <c r="DT430" s="382"/>
      <c r="DU430" s="382"/>
      <c r="DV430" s="382"/>
      <c r="DW430" s="382"/>
      <c r="DX430" s="382"/>
      <c r="DY430" s="382"/>
      <c r="DZ430" s="228"/>
    </row>
    <row r="431" spans="2:130" s="180" customFormat="1" x14ac:dyDescent="0.2">
      <c r="B431" s="800"/>
      <c r="C431" s="800"/>
      <c r="D431" s="800"/>
      <c r="E431" s="769"/>
      <c r="F431" s="769"/>
      <c r="G431" s="802"/>
      <c r="H431" s="802"/>
      <c r="I431" s="802"/>
      <c r="J431" s="802"/>
      <c r="K431" s="802"/>
      <c r="L431" s="802"/>
      <c r="M431" s="802"/>
      <c r="N431" s="802"/>
      <c r="O431" s="802"/>
      <c r="P431" s="802"/>
      <c r="Q431" s="802"/>
      <c r="R431" s="802"/>
      <c r="S431" s="802"/>
      <c r="T431" s="802"/>
      <c r="U431" s="802"/>
      <c r="V431" s="802"/>
      <c r="W431" s="802"/>
      <c r="X431" s="802"/>
      <c r="Y431" s="802"/>
      <c r="Z431" s="802"/>
      <c r="AA431" s="802"/>
      <c r="AB431" s="802"/>
      <c r="AC431" s="802"/>
      <c r="AD431" s="802"/>
      <c r="AE431" s="802"/>
      <c r="AF431" s="802"/>
      <c r="AG431" s="802"/>
      <c r="AH431" s="382"/>
      <c r="AI431" s="382"/>
      <c r="AJ431" s="382"/>
      <c r="AK431" s="382"/>
      <c r="AL431" s="382"/>
      <c r="AM431" s="382"/>
      <c r="AN431" s="382"/>
      <c r="AO431" s="382"/>
      <c r="AP431" s="382"/>
      <c r="AQ431" s="382"/>
      <c r="AR431" s="382"/>
      <c r="AS431" s="382"/>
      <c r="AT431" s="382"/>
      <c r="AU431" s="382"/>
      <c r="AV431" s="382"/>
      <c r="AW431" s="382"/>
      <c r="AX431" s="382"/>
      <c r="AY431" s="382"/>
      <c r="AZ431" s="382"/>
      <c r="BA431" s="382"/>
      <c r="BB431" s="382"/>
      <c r="BC431" s="382"/>
      <c r="BD431" s="382"/>
      <c r="BE431" s="382"/>
      <c r="BF431" s="382"/>
      <c r="BG431" s="382"/>
      <c r="BH431" s="382"/>
      <c r="BI431" s="382"/>
      <c r="BJ431" s="382"/>
      <c r="BK431" s="382"/>
      <c r="BL431" s="382"/>
      <c r="BM431" s="382"/>
      <c r="BN431" s="382"/>
      <c r="BO431" s="382"/>
      <c r="BP431" s="382"/>
      <c r="BQ431" s="382"/>
      <c r="BR431" s="382"/>
      <c r="BS431" s="382"/>
      <c r="BT431" s="382"/>
      <c r="BU431" s="496"/>
      <c r="BV431" s="382"/>
      <c r="BW431" s="382"/>
      <c r="BX431" s="382"/>
      <c r="BY431" s="382"/>
      <c r="BZ431" s="382"/>
      <c r="CA431" s="382"/>
      <c r="CB431" s="382"/>
      <c r="CC431" s="382"/>
      <c r="CD431" s="382"/>
      <c r="CE431" s="382"/>
      <c r="CF431" s="382"/>
      <c r="CG431" s="382"/>
      <c r="CH431" s="382"/>
      <c r="CI431" s="382"/>
      <c r="CJ431" s="382"/>
      <c r="CK431" s="382"/>
      <c r="CL431" s="382"/>
      <c r="CM431" s="382"/>
      <c r="CN431" s="382"/>
      <c r="CO431" s="382"/>
      <c r="CP431" s="382"/>
      <c r="CQ431" s="382"/>
      <c r="CR431" s="382"/>
      <c r="CS431" s="382"/>
      <c r="CT431" s="382"/>
      <c r="CU431" s="382"/>
      <c r="CV431" s="382"/>
      <c r="CW431" s="800"/>
      <c r="CX431" s="382"/>
      <c r="CY431" s="382"/>
      <c r="CZ431" s="382"/>
      <c r="DA431" s="382"/>
      <c r="DB431" s="382"/>
      <c r="DC431" s="382"/>
      <c r="DD431" s="382"/>
      <c r="DE431" s="382"/>
      <c r="DF431" s="382"/>
      <c r="DG431" s="382"/>
      <c r="DH431" s="382"/>
      <c r="DI431" s="382"/>
      <c r="DJ431" s="382"/>
      <c r="DK431" s="382"/>
      <c r="DL431" s="382"/>
      <c r="DM431" s="382"/>
      <c r="DN431" s="382"/>
      <c r="DO431" s="382"/>
      <c r="DP431" s="382"/>
      <c r="DQ431" s="382"/>
      <c r="DR431" s="382"/>
      <c r="DS431" s="382"/>
      <c r="DT431" s="382"/>
      <c r="DU431" s="382"/>
      <c r="DV431" s="382"/>
      <c r="DW431" s="382"/>
      <c r="DX431" s="382"/>
      <c r="DY431" s="382"/>
      <c r="DZ431" s="228"/>
    </row>
    <row r="432" spans="2:130" s="180" customFormat="1" x14ac:dyDescent="0.2">
      <c r="B432" s="800"/>
      <c r="C432" s="800"/>
      <c r="D432" s="800"/>
      <c r="E432" s="769"/>
      <c r="F432" s="769"/>
      <c r="G432" s="802"/>
      <c r="H432" s="802"/>
      <c r="I432" s="802"/>
      <c r="J432" s="802"/>
      <c r="K432" s="802"/>
      <c r="L432" s="802"/>
      <c r="M432" s="802"/>
      <c r="N432" s="802"/>
      <c r="O432" s="802"/>
      <c r="P432" s="802"/>
      <c r="Q432" s="802"/>
      <c r="R432" s="802"/>
      <c r="S432" s="802"/>
      <c r="T432" s="802"/>
      <c r="U432" s="802"/>
      <c r="V432" s="802"/>
      <c r="W432" s="802"/>
      <c r="X432" s="802"/>
      <c r="Y432" s="802"/>
      <c r="Z432" s="802"/>
      <c r="AA432" s="802"/>
      <c r="AB432" s="802"/>
      <c r="AC432" s="802"/>
      <c r="AD432" s="802"/>
      <c r="AE432" s="802"/>
      <c r="AF432" s="802"/>
      <c r="AG432" s="802"/>
      <c r="AH432" s="382"/>
      <c r="AI432" s="382"/>
      <c r="AJ432" s="382"/>
      <c r="AK432" s="382"/>
      <c r="AL432" s="382"/>
      <c r="AM432" s="382"/>
      <c r="AN432" s="382"/>
      <c r="AO432" s="382"/>
      <c r="AP432" s="382"/>
      <c r="AQ432" s="382"/>
      <c r="AR432" s="382"/>
      <c r="AS432" s="382"/>
      <c r="AT432" s="382"/>
      <c r="AU432" s="382"/>
      <c r="AV432" s="382"/>
      <c r="AW432" s="382"/>
      <c r="AX432" s="382"/>
      <c r="AY432" s="382"/>
      <c r="AZ432" s="382"/>
      <c r="BA432" s="382"/>
      <c r="BB432" s="382"/>
      <c r="BC432" s="382"/>
      <c r="BD432" s="382"/>
      <c r="BE432" s="382"/>
      <c r="BF432" s="382"/>
      <c r="BG432" s="382"/>
      <c r="BH432" s="382"/>
      <c r="BI432" s="382"/>
      <c r="BJ432" s="382"/>
      <c r="BK432" s="382"/>
      <c r="BL432" s="382"/>
      <c r="BM432" s="382"/>
      <c r="BN432" s="382"/>
      <c r="BO432" s="382"/>
      <c r="BP432" s="382"/>
      <c r="BQ432" s="382"/>
      <c r="BR432" s="382"/>
      <c r="BS432" s="382"/>
      <c r="BT432" s="382"/>
      <c r="BU432" s="496"/>
      <c r="BV432" s="382"/>
      <c r="BW432" s="382"/>
      <c r="BX432" s="382"/>
      <c r="BY432" s="382"/>
      <c r="BZ432" s="382"/>
      <c r="CA432" s="382"/>
      <c r="CB432" s="382"/>
      <c r="CC432" s="382"/>
      <c r="CD432" s="382"/>
      <c r="CE432" s="382"/>
      <c r="CF432" s="382"/>
      <c r="CG432" s="382"/>
      <c r="CH432" s="382"/>
      <c r="CI432" s="382"/>
      <c r="CJ432" s="382"/>
      <c r="CK432" s="382"/>
      <c r="CL432" s="382"/>
      <c r="CM432" s="382"/>
      <c r="CN432" s="382"/>
      <c r="CO432" s="382"/>
      <c r="CP432" s="382"/>
      <c r="CQ432" s="382"/>
      <c r="CR432" s="382"/>
      <c r="CS432" s="382"/>
      <c r="CT432" s="382"/>
      <c r="CU432" s="382"/>
      <c r="CV432" s="382"/>
      <c r="CW432" s="800"/>
      <c r="CX432" s="382"/>
      <c r="CY432" s="382"/>
      <c r="CZ432" s="382"/>
      <c r="DA432" s="382"/>
      <c r="DB432" s="382"/>
      <c r="DC432" s="382"/>
      <c r="DD432" s="382"/>
      <c r="DE432" s="382"/>
      <c r="DF432" s="382"/>
      <c r="DG432" s="382"/>
      <c r="DH432" s="382"/>
      <c r="DI432" s="382"/>
      <c r="DJ432" s="382"/>
      <c r="DK432" s="382"/>
      <c r="DL432" s="382"/>
      <c r="DM432" s="382"/>
      <c r="DN432" s="382"/>
      <c r="DO432" s="382"/>
      <c r="DP432" s="382"/>
      <c r="DQ432" s="382"/>
      <c r="DR432" s="382"/>
      <c r="DS432" s="382"/>
      <c r="DT432" s="382"/>
      <c r="DU432" s="382"/>
      <c r="DV432" s="382"/>
      <c r="DW432" s="382"/>
      <c r="DX432" s="382"/>
      <c r="DY432" s="382"/>
      <c r="DZ432" s="228"/>
    </row>
    <row r="433" spans="2:130" s="180" customFormat="1" x14ac:dyDescent="0.2">
      <c r="B433" s="800"/>
      <c r="C433" s="800"/>
      <c r="D433" s="800"/>
      <c r="E433" s="769"/>
      <c r="F433" s="769"/>
      <c r="G433" s="802"/>
      <c r="H433" s="802"/>
      <c r="I433" s="802"/>
      <c r="J433" s="802"/>
      <c r="K433" s="802"/>
      <c r="L433" s="802"/>
      <c r="M433" s="802"/>
      <c r="N433" s="802"/>
      <c r="O433" s="802"/>
      <c r="P433" s="802"/>
      <c r="Q433" s="802"/>
      <c r="R433" s="802"/>
      <c r="S433" s="802"/>
      <c r="T433" s="802"/>
      <c r="U433" s="802"/>
      <c r="V433" s="802"/>
      <c r="W433" s="802"/>
      <c r="X433" s="802"/>
      <c r="Y433" s="802"/>
      <c r="Z433" s="802"/>
      <c r="AA433" s="802"/>
      <c r="AB433" s="802"/>
      <c r="AC433" s="802"/>
      <c r="AD433" s="802"/>
      <c r="AE433" s="802"/>
      <c r="AF433" s="802"/>
      <c r="AG433" s="802"/>
      <c r="AH433" s="382"/>
      <c r="AI433" s="382"/>
      <c r="AJ433" s="382"/>
      <c r="AK433" s="382"/>
      <c r="AL433" s="382"/>
      <c r="AM433" s="382"/>
      <c r="AN433" s="382"/>
      <c r="AO433" s="382"/>
      <c r="AP433" s="382"/>
      <c r="AQ433" s="382"/>
      <c r="AR433" s="382"/>
      <c r="AS433" s="382"/>
      <c r="AT433" s="382"/>
      <c r="AU433" s="382"/>
      <c r="AV433" s="382"/>
      <c r="AW433" s="382"/>
      <c r="AX433" s="382"/>
      <c r="AY433" s="382"/>
      <c r="AZ433" s="382"/>
      <c r="BA433" s="382"/>
      <c r="BB433" s="382"/>
      <c r="BC433" s="382"/>
      <c r="BD433" s="382"/>
      <c r="BE433" s="382"/>
      <c r="BF433" s="382"/>
      <c r="BG433" s="382"/>
      <c r="BH433" s="382"/>
      <c r="BI433" s="382"/>
      <c r="BJ433" s="382"/>
      <c r="BK433" s="382"/>
      <c r="BL433" s="382"/>
      <c r="BM433" s="382"/>
      <c r="BN433" s="382"/>
      <c r="BO433" s="382"/>
      <c r="BP433" s="382"/>
      <c r="BQ433" s="382"/>
      <c r="BR433" s="382"/>
      <c r="BS433" s="382"/>
      <c r="BT433" s="382"/>
      <c r="BU433" s="496"/>
      <c r="BV433" s="382"/>
      <c r="BW433" s="382"/>
      <c r="BX433" s="382"/>
      <c r="BY433" s="382"/>
      <c r="BZ433" s="382"/>
      <c r="CA433" s="382"/>
      <c r="CB433" s="382"/>
      <c r="CC433" s="382"/>
      <c r="CD433" s="382"/>
      <c r="CE433" s="382"/>
      <c r="CF433" s="382"/>
      <c r="CG433" s="382"/>
      <c r="CH433" s="382"/>
      <c r="CI433" s="382"/>
      <c r="CJ433" s="382"/>
      <c r="CK433" s="382"/>
      <c r="CL433" s="382"/>
      <c r="CM433" s="382"/>
      <c r="CN433" s="382"/>
      <c r="CO433" s="382"/>
      <c r="CP433" s="382"/>
      <c r="CQ433" s="382"/>
      <c r="CR433" s="382"/>
      <c r="CS433" s="382"/>
      <c r="CT433" s="382"/>
      <c r="CU433" s="382"/>
      <c r="CV433" s="382"/>
      <c r="CW433" s="800"/>
      <c r="CX433" s="382"/>
      <c r="CY433" s="382"/>
      <c r="CZ433" s="382"/>
      <c r="DA433" s="382"/>
      <c r="DB433" s="382"/>
      <c r="DC433" s="382"/>
      <c r="DD433" s="382"/>
      <c r="DE433" s="382"/>
      <c r="DF433" s="382"/>
      <c r="DG433" s="382"/>
      <c r="DH433" s="382"/>
      <c r="DI433" s="382"/>
      <c r="DJ433" s="382"/>
      <c r="DK433" s="382"/>
      <c r="DL433" s="382"/>
      <c r="DM433" s="382"/>
      <c r="DN433" s="382"/>
      <c r="DO433" s="382"/>
      <c r="DP433" s="382"/>
      <c r="DQ433" s="382"/>
      <c r="DR433" s="382"/>
      <c r="DS433" s="382"/>
      <c r="DT433" s="382"/>
      <c r="DU433" s="382"/>
      <c r="DV433" s="382"/>
      <c r="DW433" s="382"/>
      <c r="DX433" s="382"/>
      <c r="DY433" s="382"/>
      <c r="DZ433" s="228"/>
    </row>
    <row r="434" spans="2:130" s="180" customFormat="1" x14ac:dyDescent="0.2">
      <c r="B434" s="800"/>
      <c r="C434" s="800"/>
      <c r="D434" s="800"/>
      <c r="E434" s="769"/>
      <c r="F434" s="769"/>
      <c r="G434" s="802"/>
      <c r="H434" s="802"/>
      <c r="I434" s="802"/>
      <c r="J434" s="802"/>
      <c r="K434" s="802"/>
      <c r="L434" s="802"/>
      <c r="M434" s="802"/>
      <c r="N434" s="802"/>
      <c r="O434" s="802"/>
      <c r="P434" s="802"/>
      <c r="Q434" s="802"/>
      <c r="R434" s="802"/>
      <c r="S434" s="802"/>
      <c r="T434" s="802"/>
      <c r="U434" s="802"/>
      <c r="V434" s="802"/>
      <c r="W434" s="802"/>
      <c r="X434" s="802"/>
      <c r="Y434" s="802"/>
      <c r="Z434" s="802"/>
      <c r="AA434" s="802"/>
      <c r="AB434" s="802"/>
      <c r="AC434" s="802"/>
      <c r="AD434" s="802"/>
      <c r="AE434" s="802"/>
      <c r="AF434" s="802"/>
      <c r="AG434" s="802"/>
      <c r="AH434" s="382"/>
      <c r="AI434" s="382"/>
      <c r="AJ434" s="382"/>
      <c r="AK434" s="382"/>
      <c r="AL434" s="382"/>
      <c r="AM434" s="382"/>
      <c r="AN434" s="382"/>
      <c r="AO434" s="382"/>
      <c r="AP434" s="382"/>
      <c r="AQ434" s="382"/>
      <c r="AR434" s="382"/>
      <c r="AS434" s="382"/>
      <c r="AT434" s="382"/>
      <c r="AU434" s="382"/>
      <c r="AV434" s="382"/>
      <c r="AW434" s="382"/>
      <c r="AX434" s="382"/>
      <c r="AY434" s="382"/>
      <c r="AZ434" s="382"/>
      <c r="BA434" s="382"/>
      <c r="BB434" s="382"/>
      <c r="BC434" s="382"/>
      <c r="BD434" s="382"/>
      <c r="BE434" s="382"/>
      <c r="BF434" s="382"/>
      <c r="BG434" s="382"/>
      <c r="BH434" s="382"/>
      <c r="BI434" s="382"/>
      <c r="BJ434" s="382"/>
      <c r="BK434" s="382"/>
      <c r="BL434" s="382"/>
      <c r="BM434" s="382"/>
      <c r="BN434" s="382"/>
      <c r="BO434" s="382"/>
      <c r="BP434" s="382"/>
      <c r="BQ434" s="382"/>
      <c r="BR434" s="382"/>
      <c r="BS434" s="382"/>
      <c r="BT434" s="382"/>
      <c r="BU434" s="496"/>
      <c r="BV434" s="382"/>
      <c r="BW434" s="382"/>
      <c r="BX434" s="382"/>
      <c r="BY434" s="382"/>
      <c r="BZ434" s="382"/>
      <c r="CA434" s="382"/>
      <c r="CB434" s="382"/>
      <c r="CC434" s="382"/>
      <c r="CD434" s="382"/>
      <c r="CE434" s="382"/>
      <c r="CF434" s="382"/>
      <c r="CG434" s="382"/>
      <c r="CH434" s="382"/>
      <c r="CI434" s="382"/>
      <c r="CJ434" s="382"/>
      <c r="CK434" s="382"/>
      <c r="CL434" s="382"/>
      <c r="CM434" s="382"/>
      <c r="CN434" s="382"/>
      <c r="CO434" s="382"/>
      <c r="CP434" s="382"/>
      <c r="CQ434" s="382"/>
      <c r="CR434" s="382"/>
      <c r="CS434" s="382"/>
      <c r="CT434" s="382"/>
      <c r="CU434" s="382"/>
      <c r="CV434" s="382"/>
      <c r="CW434" s="800"/>
      <c r="CX434" s="382"/>
      <c r="CY434" s="382"/>
      <c r="CZ434" s="382"/>
      <c r="DA434" s="382"/>
      <c r="DB434" s="382"/>
      <c r="DC434" s="382"/>
      <c r="DD434" s="382"/>
      <c r="DE434" s="382"/>
      <c r="DF434" s="382"/>
      <c r="DG434" s="382"/>
      <c r="DH434" s="382"/>
      <c r="DI434" s="382"/>
      <c r="DJ434" s="382"/>
      <c r="DK434" s="382"/>
      <c r="DL434" s="382"/>
      <c r="DM434" s="382"/>
      <c r="DN434" s="382"/>
      <c r="DO434" s="382"/>
      <c r="DP434" s="382"/>
      <c r="DQ434" s="382"/>
      <c r="DR434" s="382"/>
      <c r="DS434" s="382"/>
      <c r="DT434" s="382"/>
      <c r="DU434" s="382"/>
      <c r="DV434" s="382"/>
      <c r="DW434" s="382"/>
      <c r="DX434" s="382"/>
      <c r="DY434" s="382"/>
      <c r="DZ434" s="228"/>
    </row>
    <row r="435" spans="2:130" s="180" customFormat="1" x14ac:dyDescent="0.2">
      <c r="B435" s="800"/>
      <c r="C435" s="800"/>
      <c r="D435" s="800"/>
      <c r="E435" s="769"/>
      <c r="F435" s="769"/>
      <c r="G435" s="802"/>
      <c r="H435" s="802"/>
      <c r="I435" s="802"/>
      <c r="J435" s="802"/>
      <c r="K435" s="802"/>
      <c r="L435" s="802"/>
      <c r="M435" s="802"/>
      <c r="N435" s="802"/>
      <c r="O435" s="802"/>
      <c r="P435" s="802"/>
      <c r="Q435" s="802"/>
      <c r="R435" s="802"/>
      <c r="S435" s="802"/>
      <c r="T435" s="802"/>
      <c r="U435" s="802"/>
      <c r="V435" s="802"/>
      <c r="W435" s="802"/>
      <c r="X435" s="802"/>
      <c r="Y435" s="802"/>
      <c r="Z435" s="802"/>
      <c r="AA435" s="802"/>
      <c r="AB435" s="802"/>
      <c r="AC435" s="802"/>
      <c r="AD435" s="802"/>
      <c r="AE435" s="802"/>
      <c r="AF435" s="802"/>
      <c r="AG435" s="802"/>
      <c r="AH435" s="382"/>
      <c r="AI435" s="382"/>
      <c r="AJ435" s="382"/>
      <c r="AK435" s="382"/>
      <c r="AL435" s="382"/>
      <c r="AM435" s="382"/>
      <c r="AN435" s="382"/>
      <c r="AO435" s="382"/>
      <c r="AP435" s="382"/>
      <c r="AQ435" s="382"/>
      <c r="AR435" s="382"/>
      <c r="AS435" s="382"/>
      <c r="AT435" s="382"/>
      <c r="AU435" s="382"/>
      <c r="AV435" s="382"/>
      <c r="AW435" s="382"/>
      <c r="AX435" s="382"/>
      <c r="AY435" s="382"/>
      <c r="AZ435" s="382"/>
      <c r="BA435" s="382"/>
      <c r="BB435" s="382"/>
      <c r="BC435" s="382"/>
      <c r="BD435" s="382"/>
      <c r="BE435" s="382"/>
      <c r="BF435" s="382"/>
      <c r="BG435" s="382"/>
      <c r="BH435" s="382"/>
      <c r="BI435" s="382"/>
      <c r="BJ435" s="382"/>
      <c r="BK435" s="382"/>
      <c r="BL435" s="382"/>
      <c r="BM435" s="382"/>
      <c r="BN435" s="382"/>
      <c r="BO435" s="382"/>
      <c r="BP435" s="382"/>
      <c r="BQ435" s="382"/>
      <c r="BR435" s="382"/>
      <c r="BS435" s="382"/>
      <c r="BT435" s="382"/>
      <c r="BU435" s="496"/>
      <c r="BV435" s="382"/>
      <c r="BW435" s="382"/>
      <c r="BX435" s="382"/>
      <c r="BY435" s="382"/>
      <c r="BZ435" s="382"/>
      <c r="CA435" s="382"/>
      <c r="CB435" s="382"/>
      <c r="CC435" s="382"/>
      <c r="CD435" s="382"/>
      <c r="CE435" s="382"/>
      <c r="CF435" s="382"/>
      <c r="CG435" s="382"/>
      <c r="CH435" s="382"/>
      <c r="CI435" s="382"/>
      <c r="CJ435" s="382"/>
      <c r="CK435" s="382"/>
      <c r="CL435" s="382"/>
      <c r="CM435" s="382"/>
      <c r="CN435" s="382"/>
      <c r="CO435" s="382"/>
      <c r="CP435" s="382"/>
      <c r="CQ435" s="382"/>
      <c r="CR435" s="382"/>
      <c r="CS435" s="382"/>
      <c r="CT435" s="382"/>
      <c r="CU435" s="382"/>
      <c r="CV435" s="382"/>
      <c r="CW435" s="800"/>
      <c r="CX435" s="382"/>
      <c r="CY435" s="382"/>
      <c r="CZ435" s="382"/>
      <c r="DA435" s="382"/>
      <c r="DB435" s="382"/>
      <c r="DC435" s="382"/>
      <c r="DD435" s="382"/>
      <c r="DE435" s="382"/>
      <c r="DF435" s="382"/>
      <c r="DG435" s="382"/>
      <c r="DH435" s="382"/>
      <c r="DI435" s="382"/>
      <c r="DJ435" s="382"/>
      <c r="DK435" s="382"/>
      <c r="DL435" s="382"/>
      <c r="DM435" s="382"/>
      <c r="DN435" s="382"/>
      <c r="DO435" s="382"/>
      <c r="DP435" s="382"/>
      <c r="DQ435" s="382"/>
      <c r="DR435" s="382"/>
      <c r="DS435" s="382"/>
      <c r="DT435" s="382"/>
      <c r="DU435" s="382"/>
      <c r="DV435" s="382"/>
      <c r="DW435" s="382"/>
      <c r="DX435" s="382"/>
      <c r="DY435" s="382"/>
      <c r="DZ435" s="228"/>
    </row>
    <row r="436" spans="2:130" s="180" customFormat="1" x14ac:dyDescent="0.2">
      <c r="B436" s="800"/>
      <c r="C436" s="800"/>
      <c r="D436" s="800"/>
      <c r="E436" s="769"/>
      <c r="F436" s="769"/>
      <c r="G436" s="802"/>
      <c r="H436" s="802"/>
      <c r="I436" s="802"/>
      <c r="J436" s="802"/>
      <c r="K436" s="802"/>
      <c r="L436" s="802"/>
      <c r="M436" s="802"/>
      <c r="N436" s="802"/>
      <c r="O436" s="802"/>
      <c r="P436" s="802"/>
      <c r="Q436" s="802"/>
      <c r="R436" s="802"/>
      <c r="S436" s="802"/>
      <c r="T436" s="802"/>
      <c r="U436" s="802"/>
      <c r="V436" s="802"/>
      <c r="W436" s="802"/>
      <c r="X436" s="802"/>
      <c r="Y436" s="802"/>
      <c r="Z436" s="802"/>
      <c r="AA436" s="802"/>
      <c r="AB436" s="802"/>
      <c r="AC436" s="802"/>
      <c r="AD436" s="802"/>
      <c r="AE436" s="802"/>
      <c r="AF436" s="802"/>
      <c r="AG436" s="802"/>
      <c r="AH436" s="382"/>
      <c r="AI436" s="382"/>
      <c r="AJ436" s="382"/>
      <c r="AK436" s="382"/>
      <c r="AL436" s="382"/>
      <c r="AM436" s="382"/>
      <c r="AN436" s="382"/>
      <c r="AO436" s="382"/>
      <c r="AP436" s="382"/>
      <c r="AQ436" s="382"/>
      <c r="AR436" s="382"/>
      <c r="AS436" s="382"/>
      <c r="AT436" s="382"/>
      <c r="AU436" s="382"/>
      <c r="AV436" s="382"/>
      <c r="AW436" s="382"/>
      <c r="AX436" s="382"/>
      <c r="AY436" s="382"/>
      <c r="AZ436" s="382"/>
      <c r="BA436" s="382"/>
      <c r="BB436" s="382"/>
      <c r="BC436" s="382"/>
      <c r="BD436" s="382"/>
      <c r="BE436" s="382"/>
      <c r="BF436" s="382"/>
      <c r="BG436" s="382"/>
      <c r="BH436" s="382"/>
      <c r="BI436" s="382"/>
      <c r="BJ436" s="382"/>
      <c r="BK436" s="382"/>
      <c r="BL436" s="382"/>
      <c r="BM436" s="382"/>
      <c r="BN436" s="382"/>
      <c r="BO436" s="382"/>
      <c r="BP436" s="382"/>
      <c r="BQ436" s="382"/>
      <c r="BR436" s="382"/>
      <c r="BS436" s="382"/>
      <c r="BT436" s="382"/>
      <c r="BU436" s="496"/>
      <c r="BV436" s="382"/>
      <c r="BW436" s="382"/>
      <c r="BX436" s="382"/>
      <c r="BY436" s="382"/>
      <c r="BZ436" s="382"/>
      <c r="CA436" s="382"/>
      <c r="CB436" s="382"/>
      <c r="CC436" s="382"/>
      <c r="CD436" s="382"/>
      <c r="CE436" s="382"/>
      <c r="CF436" s="382"/>
      <c r="CG436" s="382"/>
      <c r="CH436" s="382"/>
      <c r="CI436" s="382"/>
      <c r="CJ436" s="382"/>
      <c r="CK436" s="382"/>
      <c r="CL436" s="382"/>
      <c r="CM436" s="382"/>
      <c r="CN436" s="382"/>
      <c r="CO436" s="382"/>
      <c r="CP436" s="382"/>
      <c r="CQ436" s="382"/>
      <c r="CR436" s="382"/>
      <c r="CS436" s="382"/>
      <c r="CT436" s="382"/>
      <c r="CU436" s="382"/>
      <c r="CV436" s="382"/>
      <c r="CW436" s="800"/>
      <c r="CX436" s="382"/>
      <c r="CY436" s="382"/>
      <c r="CZ436" s="382"/>
      <c r="DA436" s="382"/>
      <c r="DB436" s="382"/>
      <c r="DC436" s="382"/>
      <c r="DD436" s="382"/>
      <c r="DE436" s="382"/>
      <c r="DF436" s="382"/>
      <c r="DG436" s="382"/>
      <c r="DH436" s="382"/>
      <c r="DI436" s="382"/>
      <c r="DJ436" s="382"/>
      <c r="DK436" s="382"/>
      <c r="DL436" s="382"/>
      <c r="DM436" s="382"/>
      <c r="DN436" s="382"/>
      <c r="DO436" s="382"/>
      <c r="DP436" s="382"/>
      <c r="DQ436" s="382"/>
      <c r="DR436" s="382"/>
      <c r="DS436" s="382"/>
      <c r="DT436" s="382"/>
      <c r="DU436" s="382"/>
      <c r="DV436" s="382"/>
      <c r="DW436" s="382"/>
      <c r="DX436" s="382"/>
      <c r="DY436" s="382"/>
      <c r="DZ436" s="228"/>
    </row>
    <row r="437" spans="2:130" s="180" customFormat="1" x14ac:dyDescent="0.2">
      <c r="B437" s="800"/>
      <c r="C437" s="800"/>
      <c r="D437" s="800"/>
      <c r="E437" s="769"/>
      <c r="F437" s="769"/>
      <c r="G437" s="802"/>
      <c r="H437" s="802"/>
      <c r="I437" s="802"/>
      <c r="J437" s="802"/>
      <c r="K437" s="802"/>
      <c r="L437" s="802"/>
      <c r="M437" s="802"/>
      <c r="N437" s="802"/>
      <c r="O437" s="802"/>
      <c r="P437" s="802"/>
      <c r="Q437" s="802"/>
      <c r="R437" s="802"/>
      <c r="S437" s="802"/>
      <c r="T437" s="802"/>
      <c r="U437" s="802"/>
      <c r="V437" s="802"/>
      <c r="W437" s="802"/>
      <c r="X437" s="802"/>
      <c r="Y437" s="802"/>
      <c r="Z437" s="802"/>
      <c r="AA437" s="802"/>
      <c r="AB437" s="802"/>
      <c r="AC437" s="802"/>
      <c r="AD437" s="802"/>
      <c r="AE437" s="802"/>
      <c r="AF437" s="802"/>
      <c r="AG437" s="802"/>
      <c r="AH437" s="382"/>
      <c r="AI437" s="382"/>
      <c r="AJ437" s="382"/>
      <c r="AK437" s="382"/>
      <c r="AL437" s="382"/>
      <c r="AM437" s="382"/>
      <c r="AN437" s="382"/>
      <c r="AO437" s="382"/>
      <c r="AP437" s="382"/>
      <c r="AQ437" s="382"/>
      <c r="AR437" s="382"/>
      <c r="AS437" s="382"/>
      <c r="AT437" s="382"/>
      <c r="AU437" s="382"/>
      <c r="AV437" s="382"/>
      <c r="AW437" s="382"/>
      <c r="AX437" s="382"/>
      <c r="AY437" s="382"/>
      <c r="AZ437" s="382"/>
      <c r="BA437" s="382"/>
      <c r="BB437" s="382"/>
      <c r="BC437" s="382"/>
      <c r="BD437" s="382"/>
      <c r="BE437" s="382"/>
      <c r="BF437" s="382"/>
      <c r="BG437" s="382"/>
      <c r="BH437" s="382"/>
      <c r="BI437" s="382"/>
      <c r="BJ437" s="382"/>
      <c r="BK437" s="382"/>
      <c r="BL437" s="382"/>
      <c r="BM437" s="382"/>
      <c r="BN437" s="382"/>
      <c r="BO437" s="382"/>
      <c r="BP437" s="382"/>
      <c r="BQ437" s="382"/>
      <c r="BR437" s="382"/>
      <c r="BS437" s="382"/>
      <c r="BT437" s="382"/>
      <c r="BU437" s="496"/>
      <c r="BV437" s="382"/>
      <c r="BW437" s="382"/>
      <c r="BX437" s="382"/>
      <c r="BY437" s="382"/>
      <c r="BZ437" s="382"/>
      <c r="CA437" s="382"/>
      <c r="CB437" s="382"/>
      <c r="CC437" s="382"/>
      <c r="CD437" s="382"/>
      <c r="CE437" s="382"/>
      <c r="CF437" s="382"/>
      <c r="CG437" s="382"/>
      <c r="CH437" s="382"/>
      <c r="CI437" s="382"/>
      <c r="CJ437" s="382"/>
      <c r="CK437" s="382"/>
      <c r="CL437" s="382"/>
      <c r="CM437" s="382"/>
      <c r="CN437" s="382"/>
      <c r="CO437" s="382"/>
      <c r="CP437" s="382"/>
      <c r="CQ437" s="382"/>
      <c r="CR437" s="382"/>
      <c r="CS437" s="382"/>
      <c r="CT437" s="382"/>
      <c r="CU437" s="382"/>
      <c r="CV437" s="382"/>
      <c r="CW437" s="800"/>
      <c r="CX437" s="382"/>
      <c r="CY437" s="382"/>
      <c r="CZ437" s="382"/>
      <c r="DA437" s="382"/>
      <c r="DB437" s="382"/>
      <c r="DC437" s="382"/>
      <c r="DD437" s="382"/>
      <c r="DE437" s="382"/>
      <c r="DF437" s="382"/>
      <c r="DG437" s="382"/>
      <c r="DH437" s="382"/>
      <c r="DI437" s="382"/>
      <c r="DJ437" s="382"/>
      <c r="DK437" s="382"/>
      <c r="DL437" s="382"/>
      <c r="DM437" s="382"/>
      <c r="DN437" s="382"/>
      <c r="DO437" s="382"/>
      <c r="DP437" s="382"/>
      <c r="DQ437" s="382"/>
      <c r="DR437" s="382"/>
      <c r="DS437" s="382"/>
      <c r="DT437" s="382"/>
      <c r="DU437" s="382"/>
      <c r="DV437" s="382"/>
      <c r="DW437" s="382"/>
      <c r="DX437" s="382"/>
      <c r="DY437" s="382"/>
      <c r="DZ437" s="228"/>
    </row>
    <row r="438" spans="2:130" s="180" customFormat="1" x14ac:dyDescent="0.2">
      <c r="B438" s="800"/>
      <c r="C438" s="800"/>
      <c r="D438" s="800"/>
      <c r="E438" s="769"/>
      <c r="F438" s="769"/>
      <c r="G438" s="802"/>
      <c r="H438" s="802"/>
      <c r="I438" s="802"/>
      <c r="J438" s="802"/>
      <c r="K438" s="802"/>
      <c r="L438" s="802"/>
      <c r="M438" s="802"/>
      <c r="N438" s="802"/>
      <c r="O438" s="802"/>
      <c r="P438" s="802"/>
      <c r="Q438" s="802"/>
      <c r="R438" s="802"/>
      <c r="S438" s="802"/>
      <c r="T438" s="802"/>
      <c r="U438" s="802"/>
      <c r="V438" s="802"/>
      <c r="W438" s="802"/>
      <c r="X438" s="802"/>
      <c r="Y438" s="802"/>
      <c r="Z438" s="802"/>
      <c r="AA438" s="802"/>
      <c r="AB438" s="802"/>
      <c r="AC438" s="802"/>
      <c r="AD438" s="802"/>
      <c r="AE438" s="802"/>
      <c r="AF438" s="802"/>
      <c r="AG438" s="802"/>
      <c r="AH438" s="382"/>
      <c r="AI438" s="382"/>
      <c r="AJ438" s="382"/>
      <c r="AK438" s="382"/>
      <c r="AL438" s="382"/>
      <c r="AM438" s="382"/>
      <c r="AN438" s="382"/>
      <c r="AO438" s="382"/>
      <c r="AP438" s="382"/>
      <c r="AQ438" s="382"/>
      <c r="AR438" s="382"/>
      <c r="AS438" s="382"/>
      <c r="AT438" s="382"/>
      <c r="AU438" s="382"/>
      <c r="AV438" s="382"/>
      <c r="AW438" s="382"/>
      <c r="AX438" s="382"/>
      <c r="AY438" s="382"/>
      <c r="AZ438" s="382"/>
      <c r="BA438" s="382"/>
      <c r="BB438" s="382"/>
      <c r="BC438" s="382"/>
      <c r="BD438" s="382"/>
      <c r="BE438" s="382"/>
      <c r="BF438" s="382"/>
      <c r="BG438" s="382"/>
      <c r="BH438" s="382"/>
      <c r="BI438" s="382"/>
      <c r="BJ438" s="382"/>
      <c r="BK438" s="382"/>
      <c r="BL438" s="382"/>
      <c r="BM438" s="382"/>
      <c r="BN438" s="382"/>
      <c r="BO438" s="382"/>
      <c r="BP438" s="382"/>
      <c r="BQ438" s="382"/>
      <c r="BR438" s="382"/>
      <c r="BS438" s="382"/>
      <c r="BT438" s="382"/>
      <c r="BU438" s="496"/>
      <c r="BV438" s="382"/>
      <c r="BW438" s="382"/>
      <c r="BX438" s="382"/>
      <c r="BY438" s="382"/>
      <c r="BZ438" s="382"/>
      <c r="CA438" s="382"/>
      <c r="CB438" s="382"/>
      <c r="CC438" s="382"/>
      <c r="CD438" s="382"/>
      <c r="CE438" s="382"/>
      <c r="CF438" s="382"/>
      <c r="CG438" s="382"/>
      <c r="CH438" s="382"/>
      <c r="CI438" s="382"/>
      <c r="CJ438" s="382"/>
      <c r="CK438" s="382"/>
      <c r="CL438" s="382"/>
      <c r="CM438" s="382"/>
      <c r="CN438" s="382"/>
      <c r="CO438" s="382"/>
      <c r="CP438" s="382"/>
      <c r="CQ438" s="382"/>
      <c r="CR438" s="382"/>
      <c r="CS438" s="382"/>
      <c r="CT438" s="382"/>
      <c r="CU438" s="382"/>
      <c r="CV438" s="382"/>
      <c r="CW438" s="800"/>
      <c r="CX438" s="382"/>
      <c r="CY438" s="382"/>
      <c r="CZ438" s="382"/>
      <c r="DA438" s="382"/>
      <c r="DB438" s="382"/>
      <c r="DC438" s="382"/>
      <c r="DD438" s="382"/>
      <c r="DE438" s="382"/>
      <c r="DF438" s="382"/>
      <c r="DG438" s="382"/>
      <c r="DH438" s="382"/>
      <c r="DI438" s="382"/>
      <c r="DJ438" s="382"/>
      <c r="DK438" s="382"/>
      <c r="DL438" s="382"/>
      <c r="DM438" s="382"/>
      <c r="DN438" s="382"/>
      <c r="DO438" s="382"/>
      <c r="DP438" s="382"/>
      <c r="DQ438" s="382"/>
      <c r="DR438" s="382"/>
      <c r="DS438" s="382"/>
      <c r="DT438" s="382"/>
      <c r="DU438" s="382"/>
      <c r="DV438" s="382"/>
      <c r="DW438" s="382"/>
      <c r="DX438" s="382"/>
      <c r="DY438" s="382"/>
      <c r="DZ438" s="228"/>
    </row>
    <row r="439" spans="2:130" s="180" customFormat="1" x14ac:dyDescent="0.2">
      <c r="B439" s="800"/>
      <c r="C439" s="800"/>
      <c r="D439" s="800"/>
      <c r="E439" s="769"/>
      <c r="F439" s="769"/>
      <c r="G439" s="802"/>
      <c r="H439" s="802"/>
      <c r="I439" s="802"/>
      <c r="J439" s="802"/>
      <c r="K439" s="802"/>
      <c r="L439" s="802"/>
      <c r="M439" s="802"/>
      <c r="N439" s="802"/>
      <c r="O439" s="802"/>
      <c r="P439" s="802"/>
      <c r="Q439" s="802"/>
      <c r="R439" s="802"/>
      <c r="S439" s="802"/>
      <c r="T439" s="802"/>
      <c r="U439" s="802"/>
      <c r="V439" s="802"/>
      <c r="W439" s="802"/>
      <c r="X439" s="802"/>
      <c r="Y439" s="802"/>
      <c r="Z439" s="802"/>
      <c r="AA439" s="802"/>
      <c r="AB439" s="802"/>
      <c r="AC439" s="802"/>
      <c r="AD439" s="802"/>
      <c r="AE439" s="802"/>
      <c r="AF439" s="802"/>
      <c r="AG439" s="802"/>
      <c r="AH439" s="382"/>
      <c r="AI439" s="382"/>
      <c r="AJ439" s="382"/>
      <c r="AK439" s="382"/>
      <c r="AL439" s="382"/>
      <c r="AM439" s="382"/>
      <c r="AN439" s="382"/>
      <c r="AO439" s="382"/>
      <c r="AP439" s="382"/>
      <c r="AQ439" s="382"/>
      <c r="AR439" s="382"/>
      <c r="AS439" s="382"/>
      <c r="AT439" s="382"/>
      <c r="AU439" s="382"/>
      <c r="AV439" s="382"/>
      <c r="AW439" s="382"/>
      <c r="AX439" s="382"/>
      <c r="AY439" s="382"/>
      <c r="AZ439" s="382"/>
      <c r="BA439" s="382"/>
      <c r="BB439" s="382"/>
      <c r="BC439" s="382"/>
      <c r="BD439" s="382"/>
      <c r="BE439" s="382"/>
      <c r="BF439" s="382"/>
      <c r="BG439" s="382"/>
      <c r="BH439" s="382"/>
      <c r="BI439" s="382"/>
      <c r="BJ439" s="382"/>
      <c r="BK439" s="382"/>
      <c r="BL439" s="382"/>
      <c r="BM439" s="382"/>
      <c r="BN439" s="382"/>
      <c r="BO439" s="382"/>
      <c r="BP439" s="382"/>
      <c r="BQ439" s="382"/>
      <c r="BR439" s="382"/>
      <c r="BS439" s="382"/>
      <c r="BT439" s="382"/>
      <c r="BU439" s="496"/>
      <c r="BV439" s="382"/>
      <c r="BW439" s="382"/>
      <c r="BX439" s="382"/>
      <c r="BY439" s="382"/>
      <c r="BZ439" s="382"/>
      <c r="CA439" s="382"/>
      <c r="CB439" s="382"/>
      <c r="CC439" s="382"/>
      <c r="CD439" s="382"/>
      <c r="CE439" s="382"/>
      <c r="CF439" s="382"/>
      <c r="CG439" s="382"/>
      <c r="CH439" s="382"/>
      <c r="CI439" s="382"/>
      <c r="CJ439" s="382"/>
      <c r="CK439" s="382"/>
      <c r="CL439" s="382"/>
      <c r="CM439" s="382"/>
      <c r="CN439" s="382"/>
      <c r="CO439" s="382"/>
      <c r="CP439" s="382"/>
      <c r="CQ439" s="382"/>
      <c r="CR439" s="382"/>
      <c r="CS439" s="382"/>
      <c r="CT439" s="382"/>
      <c r="CU439" s="382"/>
      <c r="CV439" s="382"/>
      <c r="CW439" s="800"/>
      <c r="CX439" s="382"/>
      <c r="CY439" s="382"/>
      <c r="CZ439" s="382"/>
      <c r="DA439" s="382"/>
      <c r="DB439" s="382"/>
      <c r="DC439" s="382"/>
      <c r="DD439" s="382"/>
      <c r="DE439" s="382"/>
      <c r="DF439" s="382"/>
      <c r="DG439" s="382"/>
      <c r="DH439" s="382"/>
      <c r="DI439" s="382"/>
      <c r="DJ439" s="382"/>
      <c r="DK439" s="382"/>
      <c r="DL439" s="382"/>
      <c r="DM439" s="382"/>
      <c r="DN439" s="382"/>
      <c r="DO439" s="382"/>
      <c r="DP439" s="382"/>
      <c r="DQ439" s="382"/>
      <c r="DR439" s="382"/>
      <c r="DS439" s="382"/>
      <c r="DT439" s="382"/>
      <c r="DU439" s="382"/>
      <c r="DV439" s="382"/>
      <c r="DW439" s="382"/>
      <c r="DX439" s="382"/>
      <c r="DY439" s="382"/>
      <c r="DZ439" s="228"/>
    </row>
    <row r="440" spans="2:130" s="180" customFormat="1" x14ac:dyDescent="0.2">
      <c r="B440" s="800"/>
      <c r="C440" s="800"/>
      <c r="D440" s="800"/>
      <c r="E440" s="769"/>
      <c r="F440" s="769"/>
      <c r="G440" s="802"/>
      <c r="H440" s="802"/>
      <c r="I440" s="802"/>
      <c r="J440" s="802"/>
      <c r="K440" s="802"/>
      <c r="L440" s="802"/>
      <c r="M440" s="802"/>
      <c r="N440" s="802"/>
      <c r="O440" s="802"/>
      <c r="P440" s="802"/>
      <c r="Q440" s="802"/>
      <c r="R440" s="802"/>
      <c r="S440" s="802"/>
      <c r="T440" s="802"/>
      <c r="U440" s="802"/>
      <c r="V440" s="802"/>
      <c r="W440" s="802"/>
      <c r="X440" s="802"/>
      <c r="Y440" s="802"/>
      <c r="Z440" s="802"/>
      <c r="AA440" s="802"/>
      <c r="AB440" s="802"/>
      <c r="AC440" s="802"/>
      <c r="AD440" s="802"/>
      <c r="AE440" s="802"/>
      <c r="AF440" s="802"/>
      <c r="AG440" s="802"/>
      <c r="AH440" s="382"/>
      <c r="AI440" s="382"/>
      <c r="AJ440" s="382"/>
      <c r="AK440" s="382"/>
      <c r="AL440" s="382"/>
      <c r="AM440" s="382"/>
      <c r="AN440" s="382"/>
      <c r="AO440" s="382"/>
      <c r="AP440" s="382"/>
      <c r="AQ440" s="382"/>
      <c r="AR440" s="382"/>
      <c r="AS440" s="382"/>
      <c r="AT440" s="382"/>
      <c r="AU440" s="382"/>
      <c r="AV440" s="382"/>
      <c r="AW440" s="382"/>
      <c r="AX440" s="382"/>
      <c r="AY440" s="382"/>
      <c r="AZ440" s="382"/>
      <c r="BA440" s="382"/>
      <c r="BB440" s="382"/>
      <c r="BC440" s="382"/>
      <c r="BD440" s="382"/>
      <c r="BE440" s="382"/>
      <c r="BF440" s="382"/>
      <c r="BG440" s="382"/>
      <c r="BH440" s="382"/>
      <c r="BI440" s="382"/>
      <c r="BJ440" s="382"/>
      <c r="BK440" s="382"/>
      <c r="BL440" s="382"/>
      <c r="BM440" s="382"/>
      <c r="BN440" s="382"/>
      <c r="BO440" s="382"/>
      <c r="BP440" s="382"/>
      <c r="BQ440" s="382"/>
      <c r="BR440" s="382"/>
      <c r="BS440" s="382"/>
      <c r="BT440" s="382"/>
      <c r="BU440" s="496"/>
      <c r="BV440" s="382"/>
      <c r="BW440" s="382"/>
      <c r="BX440" s="382"/>
      <c r="BY440" s="382"/>
      <c r="BZ440" s="382"/>
      <c r="CA440" s="382"/>
      <c r="CB440" s="382"/>
      <c r="CC440" s="382"/>
      <c r="CD440" s="382"/>
      <c r="CE440" s="382"/>
      <c r="CF440" s="382"/>
      <c r="CG440" s="382"/>
      <c r="CH440" s="382"/>
      <c r="CI440" s="382"/>
      <c r="CJ440" s="382"/>
      <c r="CK440" s="382"/>
      <c r="CL440" s="382"/>
      <c r="CM440" s="382"/>
      <c r="CN440" s="382"/>
      <c r="CO440" s="382"/>
      <c r="CP440" s="382"/>
      <c r="CQ440" s="382"/>
      <c r="CR440" s="382"/>
      <c r="CS440" s="382"/>
      <c r="CT440" s="382"/>
      <c r="CU440" s="382"/>
      <c r="CV440" s="382"/>
      <c r="CW440" s="800"/>
      <c r="CX440" s="382"/>
      <c r="CY440" s="382"/>
      <c r="CZ440" s="382"/>
      <c r="DA440" s="382"/>
      <c r="DB440" s="382"/>
      <c r="DC440" s="382"/>
      <c r="DD440" s="382"/>
      <c r="DE440" s="382"/>
      <c r="DF440" s="382"/>
      <c r="DG440" s="382"/>
      <c r="DH440" s="382"/>
      <c r="DI440" s="382"/>
      <c r="DJ440" s="382"/>
      <c r="DK440" s="382"/>
      <c r="DL440" s="382"/>
      <c r="DM440" s="382"/>
      <c r="DN440" s="382"/>
      <c r="DO440" s="382"/>
      <c r="DP440" s="382"/>
      <c r="DQ440" s="382"/>
      <c r="DR440" s="382"/>
      <c r="DS440" s="382"/>
      <c r="DT440" s="382"/>
      <c r="DU440" s="382"/>
      <c r="DV440" s="382"/>
      <c r="DW440" s="382"/>
      <c r="DX440" s="382"/>
      <c r="DY440" s="382"/>
      <c r="DZ440" s="228"/>
    </row>
    <row r="441" spans="2:130" s="180" customFormat="1" x14ac:dyDescent="0.2">
      <c r="B441" s="800"/>
      <c r="C441" s="800"/>
      <c r="D441" s="800"/>
      <c r="E441" s="769"/>
      <c r="F441" s="769"/>
      <c r="G441" s="802"/>
      <c r="H441" s="802"/>
      <c r="I441" s="802"/>
      <c r="J441" s="802"/>
      <c r="K441" s="802"/>
      <c r="L441" s="802"/>
      <c r="M441" s="802"/>
      <c r="N441" s="802"/>
      <c r="O441" s="802"/>
      <c r="P441" s="802"/>
      <c r="Q441" s="802"/>
      <c r="R441" s="802"/>
      <c r="S441" s="802"/>
      <c r="T441" s="802"/>
      <c r="U441" s="802"/>
      <c r="V441" s="802"/>
      <c r="W441" s="802"/>
      <c r="X441" s="802"/>
      <c r="Y441" s="802"/>
      <c r="Z441" s="802"/>
      <c r="AA441" s="802"/>
      <c r="AB441" s="802"/>
      <c r="AC441" s="802"/>
      <c r="AD441" s="802"/>
      <c r="AE441" s="802"/>
      <c r="AF441" s="802"/>
      <c r="AG441" s="802"/>
      <c r="AH441" s="382"/>
      <c r="AI441" s="382"/>
      <c r="AJ441" s="382"/>
      <c r="AK441" s="382"/>
      <c r="AL441" s="382"/>
      <c r="AM441" s="382"/>
      <c r="AN441" s="382"/>
      <c r="AO441" s="382"/>
      <c r="AP441" s="382"/>
      <c r="AQ441" s="382"/>
      <c r="AR441" s="382"/>
      <c r="AS441" s="382"/>
      <c r="AT441" s="382"/>
      <c r="AU441" s="382"/>
      <c r="AV441" s="382"/>
      <c r="AW441" s="382"/>
      <c r="AX441" s="382"/>
      <c r="AY441" s="382"/>
      <c r="AZ441" s="382"/>
      <c r="BA441" s="382"/>
      <c r="BB441" s="382"/>
      <c r="BC441" s="382"/>
      <c r="BD441" s="382"/>
      <c r="BE441" s="382"/>
      <c r="BF441" s="382"/>
      <c r="BG441" s="382"/>
      <c r="BH441" s="382"/>
      <c r="BI441" s="382"/>
      <c r="BJ441" s="382"/>
      <c r="BK441" s="382"/>
      <c r="BL441" s="382"/>
      <c r="BM441" s="382"/>
      <c r="BN441" s="382"/>
      <c r="BO441" s="382"/>
      <c r="BP441" s="382"/>
      <c r="BQ441" s="382"/>
      <c r="BR441" s="382"/>
      <c r="BS441" s="382"/>
      <c r="BT441" s="382"/>
      <c r="BU441" s="496"/>
      <c r="BV441" s="382"/>
      <c r="BW441" s="382"/>
      <c r="BX441" s="382"/>
      <c r="BY441" s="382"/>
      <c r="BZ441" s="382"/>
      <c r="CA441" s="382"/>
      <c r="CB441" s="382"/>
      <c r="CC441" s="382"/>
      <c r="CD441" s="382"/>
      <c r="CE441" s="382"/>
      <c r="CF441" s="382"/>
      <c r="CG441" s="382"/>
      <c r="CH441" s="382"/>
      <c r="CI441" s="382"/>
      <c r="CJ441" s="382"/>
      <c r="CK441" s="382"/>
      <c r="CL441" s="382"/>
      <c r="CM441" s="382"/>
      <c r="CN441" s="382"/>
      <c r="CO441" s="382"/>
      <c r="CP441" s="382"/>
      <c r="CQ441" s="382"/>
      <c r="CR441" s="382"/>
      <c r="CS441" s="382"/>
      <c r="CT441" s="382"/>
      <c r="CU441" s="382"/>
      <c r="CV441" s="382"/>
      <c r="CW441" s="800"/>
      <c r="CX441" s="382"/>
      <c r="CY441" s="382"/>
      <c r="CZ441" s="382"/>
      <c r="DA441" s="382"/>
      <c r="DB441" s="382"/>
      <c r="DC441" s="382"/>
      <c r="DD441" s="382"/>
      <c r="DE441" s="382"/>
      <c r="DF441" s="382"/>
      <c r="DG441" s="382"/>
      <c r="DH441" s="382"/>
      <c r="DI441" s="382"/>
      <c r="DJ441" s="382"/>
      <c r="DK441" s="382"/>
      <c r="DL441" s="382"/>
      <c r="DM441" s="382"/>
      <c r="DN441" s="382"/>
      <c r="DO441" s="382"/>
      <c r="DP441" s="382"/>
      <c r="DQ441" s="382"/>
      <c r="DR441" s="382"/>
      <c r="DS441" s="382"/>
      <c r="DT441" s="382"/>
      <c r="DU441" s="382"/>
      <c r="DV441" s="382"/>
      <c r="DW441" s="382"/>
      <c r="DX441" s="382"/>
      <c r="DY441" s="382"/>
      <c r="DZ441" s="228"/>
    </row>
    <row r="442" spans="2:130" s="180" customFormat="1" x14ac:dyDescent="0.2">
      <c r="B442" s="800"/>
      <c r="C442" s="800"/>
      <c r="D442" s="800"/>
      <c r="E442" s="769"/>
      <c r="F442" s="769"/>
      <c r="G442" s="802"/>
      <c r="H442" s="802"/>
      <c r="I442" s="802"/>
      <c r="J442" s="802"/>
      <c r="K442" s="802"/>
      <c r="L442" s="802"/>
      <c r="M442" s="802"/>
      <c r="N442" s="802"/>
      <c r="O442" s="802"/>
      <c r="P442" s="802"/>
      <c r="Q442" s="802"/>
      <c r="R442" s="802"/>
      <c r="S442" s="802"/>
      <c r="T442" s="802"/>
      <c r="U442" s="802"/>
      <c r="V442" s="802"/>
      <c r="W442" s="802"/>
      <c r="X442" s="802"/>
      <c r="Y442" s="802"/>
      <c r="Z442" s="802"/>
      <c r="AA442" s="802"/>
      <c r="AB442" s="802"/>
      <c r="AC442" s="802"/>
      <c r="AD442" s="802"/>
      <c r="AE442" s="802"/>
      <c r="AF442" s="802"/>
      <c r="AG442" s="802"/>
      <c r="AH442" s="382"/>
      <c r="AI442" s="382"/>
      <c r="AJ442" s="382"/>
      <c r="AK442" s="382"/>
      <c r="AL442" s="382"/>
      <c r="AM442" s="382"/>
      <c r="AN442" s="382"/>
      <c r="AO442" s="382"/>
      <c r="AP442" s="382"/>
      <c r="AQ442" s="382"/>
      <c r="AR442" s="382"/>
      <c r="AS442" s="382"/>
      <c r="AT442" s="382"/>
      <c r="AU442" s="382"/>
      <c r="AV442" s="382"/>
      <c r="AW442" s="382"/>
      <c r="AX442" s="382"/>
      <c r="AY442" s="382"/>
      <c r="AZ442" s="382"/>
      <c r="BA442" s="382"/>
      <c r="BB442" s="382"/>
      <c r="BC442" s="382"/>
      <c r="BD442" s="382"/>
      <c r="BE442" s="382"/>
      <c r="BF442" s="382"/>
      <c r="BG442" s="382"/>
      <c r="BH442" s="382"/>
      <c r="BI442" s="382"/>
      <c r="BJ442" s="382"/>
      <c r="BK442" s="382"/>
      <c r="BL442" s="382"/>
      <c r="BM442" s="382"/>
      <c r="BN442" s="382"/>
      <c r="BO442" s="382"/>
      <c r="BP442" s="382"/>
      <c r="BQ442" s="382"/>
      <c r="BR442" s="382"/>
      <c r="BS442" s="382"/>
      <c r="BT442" s="382"/>
      <c r="BU442" s="496"/>
      <c r="BV442" s="382"/>
      <c r="BW442" s="382"/>
      <c r="BX442" s="382"/>
      <c r="BY442" s="382"/>
      <c r="BZ442" s="382"/>
      <c r="CA442" s="382"/>
      <c r="CB442" s="382"/>
      <c r="CC442" s="382"/>
      <c r="CD442" s="382"/>
      <c r="CE442" s="382"/>
      <c r="CF442" s="382"/>
      <c r="CG442" s="382"/>
      <c r="CH442" s="382"/>
      <c r="CI442" s="382"/>
      <c r="CJ442" s="382"/>
      <c r="CK442" s="382"/>
      <c r="CL442" s="382"/>
      <c r="CM442" s="382"/>
      <c r="CN442" s="382"/>
      <c r="CO442" s="382"/>
      <c r="CP442" s="382"/>
      <c r="CQ442" s="382"/>
      <c r="CR442" s="382"/>
      <c r="CS442" s="382"/>
      <c r="CT442" s="382"/>
      <c r="CU442" s="382"/>
      <c r="CV442" s="382"/>
      <c r="CW442" s="800"/>
      <c r="CX442" s="382"/>
      <c r="CY442" s="382"/>
      <c r="CZ442" s="382"/>
      <c r="DA442" s="382"/>
      <c r="DB442" s="382"/>
      <c r="DC442" s="382"/>
      <c r="DD442" s="382"/>
      <c r="DE442" s="382"/>
      <c r="DF442" s="382"/>
      <c r="DG442" s="382"/>
      <c r="DH442" s="382"/>
      <c r="DI442" s="382"/>
      <c r="DJ442" s="382"/>
      <c r="DK442" s="382"/>
      <c r="DL442" s="382"/>
      <c r="DM442" s="382"/>
      <c r="DN442" s="382"/>
      <c r="DO442" s="382"/>
      <c r="DP442" s="382"/>
      <c r="DQ442" s="382"/>
      <c r="DR442" s="382"/>
      <c r="DS442" s="382"/>
      <c r="DT442" s="382"/>
      <c r="DU442" s="382"/>
      <c r="DV442" s="382"/>
      <c r="DW442" s="382"/>
      <c r="DX442" s="382"/>
      <c r="DY442" s="382"/>
      <c r="DZ442" s="228"/>
    </row>
    <row r="443" spans="2:130" s="180" customFormat="1" x14ac:dyDescent="0.2">
      <c r="B443" s="800"/>
      <c r="C443" s="800"/>
      <c r="D443" s="800"/>
      <c r="E443" s="769"/>
      <c r="F443" s="769"/>
      <c r="G443" s="802"/>
      <c r="H443" s="802"/>
      <c r="I443" s="802"/>
      <c r="J443" s="802"/>
      <c r="K443" s="802"/>
      <c r="L443" s="802"/>
      <c r="M443" s="802"/>
      <c r="N443" s="802"/>
      <c r="O443" s="802"/>
      <c r="P443" s="802"/>
      <c r="Q443" s="802"/>
      <c r="R443" s="802"/>
      <c r="S443" s="802"/>
      <c r="T443" s="802"/>
      <c r="U443" s="802"/>
      <c r="V443" s="802"/>
      <c r="W443" s="802"/>
      <c r="X443" s="802"/>
      <c r="Y443" s="802"/>
      <c r="Z443" s="802"/>
      <c r="AA443" s="802"/>
      <c r="AB443" s="802"/>
      <c r="AC443" s="802"/>
      <c r="AD443" s="802"/>
      <c r="AE443" s="802"/>
      <c r="AF443" s="802"/>
      <c r="AG443" s="802"/>
      <c r="AH443" s="382"/>
      <c r="AI443" s="382"/>
      <c r="AJ443" s="382"/>
      <c r="AK443" s="382"/>
      <c r="AL443" s="382"/>
      <c r="AM443" s="382"/>
      <c r="AN443" s="382"/>
      <c r="AO443" s="382"/>
      <c r="AP443" s="382"/>
      <c r="AQ443" s="382"/>
      <c r="AR443" s="382"/>
      <c r="AS443" s="382"/>
      <c r="AT443" s="382"/>
      <c r="AU443" s="382"/>
      <c r="AV443" s="382"/>
      <c r="AW443" s="382"/>
      <c r="AX443" s="382"/>
      <c r="AY443" s="382"/>
      <c r="AZ443" s="382"/>
      <c r="BA443" s="382"/>
      <c r="BB443" s="382"/>
      <c r="BC443" s="382"/>
      <c r="BD443" s="382"/>
      <c r="BE443" s="382"/>
      <c r="BF443" s="382"/>
      <c r="BG443" s="382"/>
      <c r="BH443" s="382"/>
      <c r="BI443" s="382"/>
      <c r="BJ443" s="382"/>
      <c r="BK443" s="382"/>
      <c r="BL443" s="382"/>
      <c r="BM443" s="382"/>
      <c r="BN443" s="382"/>
      <c r="BO443" s="382"/>
      <c r="BP443" s="382"/>
      <c r="BQ443" s="382"/>
      <c r="BR443" s="382"/>
      <c r="BS443" s="382"/>
      <c r="BT443" s="382"/>
      <c r="BU443" s="496"/>
      <c r="BV443" s="382"/>
      <c r="BW443" s="382"/>
      <c r="BX443" s="382"/>
      <c r="BY443" s="382"/>
      <c r="BZ443" s="382"/>
      <c r="CA443" s="382"/>
      <c r="CB443" s="382"/>
      <c r="CC443" s="382"/>
      <c r="CD443" s="382"/>
      <c r="CE443" s="382"/>
      <c r="CF443" s="382"/>
      <c r="CG443" s="382"/>
      <c r="CH443" s="382"/>
      <c r="CI443" s="382"/>
      <c r="CJ443" s="382"/>
      <c r="CK443" s="382"/>
      <c r="CL443" s="382"/>
      <c r="CM443" s="382"/>
      <c r="CN443" s="382"/>
      <c r="CO443" s="382"/>
      <c r="CP443" s="382"/>
      <c r="CQ443" s="382"/>
      <c r="CR443" s="382"/>
      <c r="CS443" s="382"/>
      <c r="CT443" s="382"/>
      <c r="CU443" s="382"/>
      <c r="CV443" s="382"/>
      <c r="CW443" s="800"/>
      <c r="CX443" s="382"/>
      <c r="CY443" s="382"/>
      <c r="CZ443" s="382"/>
      <c r="DA443" s="382"/>
      <c r="DB443" s="382"/>
      <c r="DC443" s="382"/>
      <c r="DD443" s="382"/>
      <c r="DE443" s="382"/>
      <c r="DF443" s="382"/>
      <c r="DG443" s="382"/>
      <c r="DH443" s="382"/>
      <c r="DI443" s="382"/>
      <c r="DJ443" s="382"/>
      <c r="DK443" s="382"/>
      <c r="DL443" s="382"/>
      <c r="DM443" s="382"/>
      <c r="DN443" s="382"/>
      <c r="DO443" s="382"/>
      <c r="DP443" s="382"/>
      <c r="DQ443" s="382"/>
      <c r="DR443" s="382"/>
      <c r="DS443" s="382"/>
      <c r="DT443" s="382"/>
      <c r="DU443" s="382"/>
      <c r="DV443" s="382"/>
      <c r="DW443" s="382"/>
      <c r="DX443" s="382"/>
      <c r="DY443" s="382"/>
      <c r="DZ443" s="228"/>
    </row>
    <row r="444" spans="2:130" s="180" customFormat="1" x14ac:dyDescent="0.2">
      <c r="B444" s="800"/>
      <c r="C444" s="800"/>
      <c r="D444" s="800"/>
      <c r="E444" s="769"/>
      <c r="F444" s="769"/>
      <c r="G444" s="802"/>
      <c r="H444" s="802"/>
      <c r="I444" s="802"/>
      <c r="J444" s="802"/>
      <c r="K444" s="802"/>
      <c r="L444" s="802"/>
      <c r="M444" s="802"/>
      <c r="N444" s="802"/>
      <c r="O444" s="802"/>
      <c r="P444" s="802"/>
      <c r="Q444" s="802"/>
      <c r="R444" s="802"/>
      <c r="S444" s="802"/>
      <c r="T444" s="802"/>
      <c r="U444" s="802"/>
      <c r="V444" s="802"/>
      <c r="W444" s="802"/>
      <c r="X444" s="802"/>
      <c r="Y444" s="802"/>
      <c r="Z444" s="802"/>
      <c r="AA444" s="802"/>
      <c r="AB444" s="802"/>
      <c r="AC444" s="802"/>
      <c r="AD444" s="802"/>
      <c r="AE444" s="802"/>
      <c r="AF444" s="802"/>
      <c r="AG444" s="802"/>
      <c r="AH444" s="382"/>
      <c r="AI444" s="382"/>
      <c r="AJ444" s="382"/>
      <c r="AK444" s="382"/>
      <c r="AL444" s="382"/>
      <c r="AM444" s="382"/>
      <c r="AN444" s="382"/>
      <c r="AO444" s="382"/>
      <c r="AP444" s="382"/>
      <c r="AQ444" s="382"/>
      <c r="AR444" s="382"/>
      <c r="AS444" s="382"/>
      <c r="AT444" s="382"/>
      <c r="AU444" s="382"/>
      <c r="AV444" s="382"/>
      <c r="AW444" s="382"/>
      <c r="AX444" s="382"/>
      <c r="AY444" s="382"/>
      <c r="AZ444" s="382"/>
      <c r="BA444" s="382"/>
      <c r="BB444" s="382"/>
      <c r="BC444" s="382"/>
      <c r="BD444" s="382"/>
      <c r="BE444" s="382"/>
      <c r="BF444" s="382"/>
      <c r="BG444" s="382"/>
      <c r="BH444" s="382"/>
      <c r="BI444" s="382"/>
      <c r="BJ444" s="382"/>
      <c r="BK444" s="382"/>
      <c r="BL444" s="382"/>
      <c r="BM444" s="382"/>
      <c r="BN444" s="382"/>
      <c r="BO444" s="382"/>
      <c r="BP444" s="382"/>
      <c r="BQ444" s="382"/>
      <c r="BR444" s="382"/>
      <c r="BS444" s="382"/>
      <c r="BT444" s="382"/>
      <c r="BU444" s="496"/>
      <c r="BV444" s="382"/>
      <c r="BW444" s="382"/>
      <c r="BX444" s="382"/>
      <c r="BY444" s="382"/>
      <c r="BZ444" s="382"/>
      <c r="CA444" s="382"/>
      <c r="CB444" s="382"/>
      <c r="CC444" s="382"/>
      <c r="CD444" s="382"/>
      <c r="CE444" s="382"/>
      <c r="CF444" s="382"/>
      <c r="CG444" s="382"/>
      <c r="CH444" s="382"/>
      <c r="CI444" s="382"/>
      <c r="CJ444" s="382"/>
      <c r="CK444" s="382"/>
      <c r="CL444" s="382"/>
      <c r="CM444" s="382"/>
      <c r="CN444" s="382"/>
      <c r="CO444" s="382"/>
      <c r="CP444" s="382"/>
      <c r="CQ444" s="382"/>
      <c r="CR444" s="382"/>
      <c r="CS444" s="382"/>
      <c r="CT444" s="382"/>
      <c r="CU444" s="382"/>
      <c r="CV444" s="382"/>
      <c r="CW444" s="800"/>
      <c r="CX444" s="382"/>
      <c r="CY444" s="382"/>
      <c r="CZ444" s="382"/>
      <c r="DA444" s="382"/>
      <c r="DB444" s="382"/>
      <c r="DC444" s="382"/>
      <c r="DD444" s="382"/>
      <c r="DE444" s="382"/>
      <c r="DF444" s="382"/>
      <c r="DG444" s="382"/>
      <c r="DH444" s="382"/>
      <c r="DI444" s="382"/>
      <c r="DJ444" s="382"/>
      <c r="DK444" s="382"/>
      <c r="DL444" s="382"/>
      <c r="DM444" s="382"/>
      <c r="DN444" s="382"/>
      <c r="DO444" s="382"/>
      <c r="DP444" s="382"/>
      <c r="DQ444" s="382"/>
      <c r="DR444" s="382"/>
      <c r="DS444" s="382"/>
      <c r="DT444" s="382"/>
      <c r="DU444" s="382"/>
      <c r="DV444" s="382"/>
      <c r="DW444" s="382"/>
      <c r="DX444" s="382"/>
      <c r="DY444" s="382"/>
      <c r="DZ444" s="228"/>
    </row>
    <row r="445" spans="2:130" s="180" customFormat="1" x14ac:dyDescent="0.2">
      <c r="B445" s="800"/>
      <c r="C445" s="800"/>
      <c r="D445" s="800"/>
      <c r="E445" s="769"/>
      <c r="F445" s="769"/>
      <c r="G445" s="802"/>
      <c r="H445" s="802"/>
      <c r="I445" s="802"/>
      <c r="J445" s="802"/>
      <c r="K445" s="802"/>
      <c r="L445" s="802"/>
      <c r="M445" s="802"/>
      <c r="N445" s="802"/>
      <c r="O445" s="802"/>
      <c r="P445" s="802"/>
      <c r="Q445" s="802"/>
      <c r="R445" s="802"/>
      <c r="S445" s="802"/>
      <c r="T445" s="802"/>
      <c r="U445" s="802"/>
      <c r="V445" s="802"/>
      <c r="W445" s="802"/>
      <c r="X445" s="802"/>
      <c r="Y445" s="802"/>
      <c r="Z445" s="802"/>
      <c r="AA445" s="802"/>
      <c r="AB445" s="802"/>
      <c r="AC445" s="802"/>
      <c r="AD445" s="802"/>
      <c r="AE445" s="802"/>
      <c r="AF445" s="802"/>
      <c r="AG445" s="802"/>
      <c r="AH445" s="382"/>
      <c r="AI445" s="382"/>
      <c r="AJ445" s="382"/>
      <c r="AK445" s="382"/>
      <c r="AL445" s="382"/>
      <c r="AM445" s="382"/>
      <c r="AN445" s="382"/>
      <c r="AO445" s="382"/>
      <c r="AP445" s="382"/>
      <c r="AQ445" s="382"/>
      <c r="AR445" s="382"/>
      <c r="AS445" s="382"/>
      <c r="AT445" s="382"/>
      <c r="AU445" s="382"/>
      <c r="AV445" s="382"/>
      <c r="AW445" s="382"/>
      <c r="AX445" s="382"/>
      <c r="AY445" s="382"/>
      <c r="AZ445" s="382"/>
      <c r="BA445" s="382"/>
      <c r="BB445" s="382"/>
      <c r="BC445" s="382"/>
      <c r="BD445" s="382"/>
      <c r="BE445" s="382"/>
      <c r="BF445" s="382"/>
      <c r="BG445" s="382"/>
      <c r="BH445" s="382"/>
      <c r="BI445" s="382"/>
      <c r="BJ445" s="382"/>
      <c r="BK445" s="382"/>
      <c r="BL445" s="382"/>
      <c r="BM445" s="382"/>
      <c r="BN445" s="382"/>
      <c r="BO445" s="382"/>
      <c r="BP445" s="382"/>
      <c r="BQ445" s="382"/>
      <c r="BR445" s="382"/>
      <c r="BS445" s="382"/>
      <c r="BT445" s="382"/>
      <c r="BU445" s="496"/>
      <c r="BV445" s="382"/>
      <c r="BW445" s="382"/>
      <c r="BX445" s="382"/>
      <c r="BY445" s="382"/>
      <c r="BZ445" s="382"/>
      <c r="CA445" s="382"/>
      <c r="CB445" s="382"/>
      <c r="CC445" s="382"/>
      <c r="CD445" s="382"/>
      <c r="CE445" s="382"/>
      <c r="CF445" s="382"/>
      <c r="CG445" s="382"/>
      <c r="CH445" s="382"/>
      <c r="CI445" s="382"/>
      <c r="CJ445" s="382"/>
      <c r="CK445" s="382"/>
      <c r="CL445" s="382"/>
      <c r="CM445" s="382"/>
      <c r="CN445" s="382"/>
      <c r="CO445" s="382"/>
      <c r="CP445" s="382"/>
      <c r="CQ445" s="382"/>
      <c r="CR445" s="382"/>
      <c r="CS445" s="382"/>
      <c r="CT445" s="382"/>
      <c r="CU445" s="382"/>
      <c r="CV445" s="382"/>
      <c r="CW445" s="800"/>
      <c r="CX445" s="382"/>
      <c r="CY445" s="382"/>
      <c r="CZ445" s="382"/>
      <c r="DA445" s="382"/>
      <c r="DB445" s="382"/>
      <c r="DC445" s="382"/>
      <c r="DD445" s="382"/>
      <c r="DE445" s="382"/>
      <c r="DF445" s="382"/>
      <c r="DG445" s="382"/>
      <c r="DH445" s="382"/>
      <c r="DI445" s="382"/>
      <c r="DJ445" s="382"/>
      <c r="DK445" s="382"/>
      <c r="DL445" s="382"/>
      <c r="DM445" s="382"/>
      <c r="DN445" s="382"/>
      <c r="DO445" s="382"/>
      <c r="DP445" s="382"/>
      <c r="DQ445" s="382"/>
      <c r="DR445" s="382"/>
      <c r="DS445" s="382"/>
      <c r="DT445" s="382"/>
      <c r="DU445" s="382"/>
      <c r="DV445" s="382"/>
      <c r="DW445" s="382"/>
      <c r="DX445" s="382"/>
      <c r="DY445" s="382"/>
      <c r="DZ445" s="228"/>
    </row>
    <row r="446" spans="2:130" s="180" customFormat="1" x14ac:dyDescent="0.2">
      <c r="B446" s="800"/>
      <c r="C446" s="800"/>
      <c r="D446" s="800"/>
      <c r="E446" s="769"/>
      <c r="F446" s="769"/>
      <c r="G446" s="802"/>
      <c r="H446" s="802"/>
      <c r="I446" s="802"/>
      <c r="J446" s="802"/>
      <c r="K446" s="802"/>
      <c r="L446" s="802"/>
      <c r="M446" s="802"/>
      <c r="N446" s="802"/>
      <c r="O446" s="802"/>
      <c r="P446" s="802"/>
      <c r="Q446" s="802"/>
      <c r="R446" s="802"/>
      <c r="S446" s="802"/>
      <c r="T446" s="802"/>
      <c r="U446" s="802"/>
      <c r="V446" s="802"/>
      <c r="W446" s="802"/>
      <c r="X446" s="802"/>
      <c r="Y446" s="802"/>
      <c r="Z446" s="802"/>
      <c r="AA446" s="802"/>
      <c r="AB446" s="802"/>
      <c r="AC446" s="802"/>
      <c r="AD446" s="802"/>
      <c r="AE446" s="802"/>
      <c r="AF446" s="802"/>
      <c r="AG446" s="802"/>
      <c r="AH446" s="382"/>
      <c r="AI446" s="382"/>
      <c r="AJ446" s="382"/>
      <c r="AK446" s="382"/>
      <c r="AL446" s="382"/>
      <c r="AM446" s="382"/>
      <c r="AN446" s="382"/>
      <c r="AO446" s="382"/>
      <c r="AP446" s="382"/>
      <c r="AQ446" s="382"/>
      <c r="AR446" s="382"/>
      <c r="AS446" s="382"/>
      <c r="AT446" s="382"/>
      <c r="AU446" s="382"/>
      <c r="AV446" s="382"/>
      <c r="AW446" s="382"/>
      <c r="AX446" s="382"/>
      <c r="AY446" s="382"/>
      <c r="AZ446" s="382"/>
      <c r="BA446" s="382"/>
      <c r="BB446" s="382"/>
      <c r="BC446" s="382"/>
      <c r="BD446" s="382"/>
      <c r="BE446" s="382"/>
      <c r="BF446" s="382"/>
      <c r="BG446" s="382"/>
      <c r="BH446" s="382"/>
      <c r="BI446" s="382"/>
      <c r="BJ446" s="382"/>
      <c r="BK446" s="382"/>
      <c r="BL446" s="382"/>
      <c r="BM446" s="382"/>
      <c r="BN446" s="382"/>
      <c r="BO446" s="382"/>
      <c r="BP446" s="382"/>
      <c r="BQ446" s="382"/>
      <c r="BR446" s="382"/>
      <c r="BS446" s="382"/>
      <c r="BT446" s="382"/>
      <c r="BU446" s="496"/>
      <c r="BV446" s="382"/>
      <c r="BW446" s="382"/>
      <c r="BX446" s="382"/>
      <c r="BY446" s="382"/>
      <c r="BZ446" s="382"/>
      <c r="CA446" s="382"/>
      <c r="CB446" s="382"/>
      <c r="CC446" s="382"/>
      <c r="CD446" s="382"/>
      <c r="CE446" s="382"/>
      <c r="CF446" s="382"/>
      <c r="CG446" s="382"/>
      <c r="CH446" s="382"/>
      <c r="CI446" s="382"/>
      <c r="CJ446" s="382"/>
      <c r="CK446" s="382"/>
      <c r="CL446" s="382"/>
      <c r="CM446" s="382"/>
      <c r="CN446" s="382"/>
      <c r="CO446" s="382"/>
      <c r="CP446" s="382"/>
      <c r="CQ446" s="382"/>
      <c r="CR446" s="382"/>
      <c r="CS446" s="382"/>
      <c r="CT446" s="382"/>
      <c r="CU446" s="382"/>
      <c r="CV446" s="382"/>
      <c r="CW446" s="800"/>
      <c r="CX446" s="382"/>
      <c r="CY446" s="382"/>
      <c r="CZ446" s="382"/>
      <c r="DA446" s="382"/>
      <c r="DB446" s="382"/>
      <c r="DC446" s="382"/>
      <c r="DD446" s="382"/>
      <c r="DE446" s="382"/>
      <c r="DF446" s="382"/>
      <c r="DG446" s="382"/>
      <c r="DH446" s="382"/>
      <c r="DI446" s="382"/>
      <c r="DJ446" s="382"/>
      <c r="DK446" s="382"/>
      <c r="DL446" s="382"/>
      <c r="DM446" s="382"/>
      <c r="DN446" s="382"/>
      <c r="DO446" s="382"/>
      <c r="DP446" s="382"/>
      <c r="DQ446" s="382"/>
      <c r="DR446" s="382"/>
      <c r="DS446" s="382"/>
      <c r="DT446" s="382"/>
      <c r="DU446" s="382"/>
      <c r="DV446" s="382"/>
      <c r="DW446" s="382"/>
      <c r="DX446" s="382"/>
      <c r="DY446" s="382"/>
      <c r="DZ446" s="228"/>
    </row>
    <row r="447" spans="2:130" s="180" customFormat="1" x14ac:dyDescent="0.2">
      <c r="B447" s="800"/>
      <c r="C447" s="800"/>
      <c r="D447" s="800"/>
      <c r="E447" s="769"/>
      <c r="F447" s="769"/>
      <c r="G447" s="802"/>
      <c r="H447" s="802"/>
      <c r="I447" s="802"/>
      <c r="J447" s="802"/>
      <c r="K447" s="802"/>
      <c r="L447" s="802"/>
      <c r="M447" s="802"/>
      <c r="N447" s="802"/>
      <c r="O447" s="802"/>
      <c r="P447" s="802"/>
      <c r="Q447" s="802"/>
      <c r="R447" s="802"/>
      <c r="S447" s="802"/>
      <c r="T447" s="802"/>
      <c r="U447" s="802"/>
      <c r="V447" s="802"/>
      <c r="W447" s="802"/>
      <c r="X447" s="802"/>
      <c r="Y447" s="802"/>
      <c r="Z447" s="802"/>
      <c r="AA447" s="802"/>
      <c r="AB447" s="802"/>
      <c r="AC447" s="802"/>
      <c r="AD447" s="802"/>
      <c r="AE447" s="802"/>
      <c r="AF447" s="802"/>
      <c r="AG447" s="802"/>
      <c r="AH447" s="382"/>
      <c r="AI447" s="382"/>
      <c r="AJ447" s="382"/>
      <c r="AK447" s="382"/>
      <c r="AL447" s="382"/>
      <c r="AM447" s="382"/>
      <c r="AN447" s="382"/>
      <c r="AO447" s="382"/>
      <c r="AP447" s="382"/>
      <c r="AQ447" s="382"/>
      <c r="AR447" s="382"/>
      <c r="AS447" s="382"/>
      <c r="AT447" s="382"/>
      <c r="AU447" s="382"/>
      <c r="AV447" s="382"/>
      <c r="AW447" s="382"/>
      <c r="AX447" s="382"/>
      <c r="AY447" s="382"/>
      <c r="AZ447" s="382"/>
      <c r="BA447" s="382"/>
      <c r="BB447" s="382"/>
      <c r="BC447" s="382"/>
      <c r="BD447" s="382"/>
      <c r="BE447" s="382"/>
      <c r="BF447" s="382"/>
      <c r="BG447" s="382"/>
      <c r="BH447" s="382"/>
      <c r="BI447" s="382"/>
      <c r="BJ447" s="382"/>
      <c r="BK447" s="382"/>
      <c r="BL447" s="382"/>
      <c r="BM447" s="382"/>
      <c r="BN447" s="382"/>
      <c r="BO447" s="382"/>
      <c r="BP447" s="382"/>
      <c r="BQ447" s="382"/>
      <c r="BR447" s="382"/>
      <c r="BS447" s="382"/>
      <c r="BT447" s="382"/>
      <c r="BU447" s="496"/>
      <c r="BV447" s="382"/>
      <c r="BW447" s="382"/>
      <c r="BX447" s="382"/>
      <c r="BY447" s="382"/>
      <c r="BZ447" s="382"/>
      <c r="CA447" s="382"/>
      <c r="CB447" s="382"/>
      <c r="CC447" s="382"/>
      <c r="CD447" s="382"/>
      <c r="CE447" s="382"/>
      <c r="CF447" s="382"/>
      <c r="CG447" s="382"/>
      <c r="CH447" s="382"/>
      <c r="CI447" s="382"/>
      <c r="CJ447" s="382"/>
      <c r="CK447" s="382"/>
      <c r="CL447" s="382"/>
      <c r="CM447" s="382"/>
      <c r="CN447" s="382"/>
      <c r="CO447" s="382"/>
      <c r="CP447" s="382"/>
      <c r="CQ447" s="382"/>
      <c r="CR447" s="382"/>
      <c r="CS447" s="382"/>
      <c r="CT447" s="382"/>
      <c r="CU447" s="382"/>
      <c r="CV447" s="382"/>
      <c r="CW447" s="800"/>
      <c r="CX447" s="382"/>
      <c r="CY447" s="382"/>
      <c r="CZ447" s="382"/>
      <c r="DA447" s="382"/>
      <c r="DB447" s="382"/>
      <c r="DC447" s="382"/>
      <c r="DD447" s="382"/>
      <c r="DE447" s="382"/>
      <c r="DF447" s="382"/>
      <c r="DG447" s="382"/>
      <c r="DH447" s="382"/>
      <c r="DI447" s="382"/>
      <c r="DJ447" s="382"/>
      <c r="DK447" s="382"/>
      <c r="DL447" s="382"/>
      <c r="DM447" s="382"/>
      <c r="DN447" s="382"/>
      <c r="DO447" s="382"/>
      <c r="DP447" s="382"/>
      <c r="DQ447" s="382"/>
      <c r="DR447" s="382"/>
      <c r="DS447" s="382"/>
      <c r="DT447" s="382"/>
      <c r="DU447" s="382"/>
      <c r="DV447" s="382"/>
      <c r="DW447" s="382"/>
      <c r="DX447" s="382"/>
      <c r="DY447" s="382"/>
      <c r="DZ447" s="228"/>
    </row>
    <row r="448" spans="2:130" s="180" customFormat="1" x14ac:dyDescent="0.2">
      <c r="B448" s="800"/>
      <c r="C448" s="800"/>
      <c r="D448" s="800"/>
      <c r="E448" s="769"/>
      <c r="F448" s="769"/>
      <c r="G448" s="802"/>
      <c r="H448" s="802"/>
      <c r="I448" s="802"/>
      <c r="J448" s="802"/>
      <c r="K448" s="802"/>
      <c r="L448" s="802"/>
      <c r="M448" s="802"/>
      <c r="N448" s="802"/>
      <c r="O448" s="802"/>
      <c r="P448" s="802"/>
      <c r="Q448" s="802"/>
      <c r="R448" s="802"/>
      <c r="S448" s="802"/>
      <c r="T448" s="802"/>
      <c r="U448" s="802"/>
      <c r="V448" s="802"/>
      <c r="W448" s="802"/>
      <c r="X448" s="802"/>
      <c r="Y448" s="802"/>
      <c r="Z448" s="802"/>
      <c r="AA448" s="802"/>
      <c r="AB448" s="802"/>
      <c r="AC448" s="802"/>
      <c r="AD448" s="802"/>
      <c r="AE448" s="802"/>
      <c r="AF448" s="802"/>
      <c r="AG448" s="802"/>
      <c r="AH448" s="382"/>
      <c r="AI448" s="382"/>
      <c r="AJ448" s="382"/>
      <c r="AK448" s="382"/>
      <c r="AL448" s="382"/>
      <c r="AM448" s="382"/>
      <c r="AN448" s="382"/>
      <c r="AO448" s="382"/>
      <c r="AP448" s="382"/>
      <c r="AQ448" s="382"/>
      <c r="AR448" s="382"/>
      <c r="AS448" s="382"/>
      <c r="AT448" s="382"/>
      <c r="AU448" s="382"/>
      <c r="AV448" s="382"/>
      <c r="AW448" s="382"/>
      <c r="AX448" s="382"/>
      <c r="AY448" s="382"/>
      <c r="AZ448" s="382"/>
      <c r="BA448" s="382"/>
      <c r="BB448" s="382"/>
      <c r="BC448" s="382"/>
      <c r="BD448" s="382"/>
      <c r="BE448" s="382"/>
      <c r="BF448" s="382"/>
      <c r="BG448" s="382"/>
      <c r="BH448" s="382"/>
      <c r="BI448" s="382"/>
      <c r="BJ448" s="382"/>
      <c r="BK448" s="382"/>
      <c r="BL448" s="382"/>
      <c r="BM448" s="382"/>
      <c r="BN448" s="382"/>
      <c r="BO448" s="382"/>
      <c r="BP448" s="382"/>
      <c r="BQ448" s="382"/>
      <c r="BR448" s="382"/>
      <c r="BS448" s="382"/>
      <c r="BT448" s="382"/>
      <c r="BU448" s="496"/>
      <c r="BV448" s="382"/>
      <c r="BW448" s="382"/>
      <c r="BX448" s="382"/>
      <c r="BY448" s="382"/>
      <c r="BZ448" s="382"/>
      <c r="CA448" s="382"/>
      <c r="CB448" s="382"/>
      <c r="CC448" s="382"/>
      <c r="CD448" s="382"/>
      <c r="CE448" s="382"/>
      <c r="CF448" s="382"/>
      <c r="CG448" s="382"/>
      <c r="CH448" s="382"/>
      <c r="CI448" s="382"/>
      <c r="CJ448" s="382"/>
      <c r="CK448" s="382"/>
      <c r="CL448" s="382"/>
      <c r="CM448" s="382"/>
      <c r="CN448" s="382"/>
      <c r="CO448" s="382"/>
      <c r="CP448" s="382"/>
      <c r="CQ448" s="382"/>
      <c r="CR448" s="382"/>
      <c r="CS448" s="382"/>
      <c r="CT448" s="382"/>
      <c r="CU448" s="382"/>
      <c r="CV448" s="382"/>
      <c r="CW448" s="800"/>
      <c r="CX448" s="382"/>
      <c r="CY448" s="382"/>
      <c r="CZ448" s="382"/>
      <c r="DA448" s="382"/>
      <c r="DB448" s="382"/>
      <c r="DC448" s="382"/>
      <c r="DD448" s="382"/>
      <c r="DE448" s="382"/>
      <c r="DF448" s="382"/>
      <c r="DG448" s="382"/>
      <c r="DH448" s="382"/>
      <c r="DI448" s="382"/>
      <c r="DJ448" s="382"/>
      <c r="DK448" s="382"/>
      <c r="DL448" s="382"/>
      <c r="DM448" s="382"/>
      <c r="DN448" s="382"/>
      <c r="DO448" s="382"/>
      <c r="DP448" s="382"/>
      <c r="DQ448" s="382"/>
      <c r="DR448" s="382"/>
      <c r="DS448" s="382"/>
      <c r="DT448" s="382"/>
      <c r="DU448" s="382"/>
      <c r="DV448" s="382"/>
      <c r="DW448" s="382"/>
      <c r="DX448" s="382"/>
      <c r="DY448" s="382"/>
      <c r="DZ448" s="228"/>
    </row>
    <row r="449" spans="2:130" s="180" customFormat="1" x14ac:dyDescent="0.2">
      <c r="B449" s="800"/>
      <c r="C449" s="800"/>
      <c r="D449" s="800"/>
      <c r="E449" s="769"/>
      <c r="F449" s="769"/>
      <c r="G449" s="802"/>
      <c r="H449" s="802"/>
      <c r="I449" s="802"/>
      <c r="J449" s="802"/>
      <c r="K449" s="802"/>
      <c r="L449" s="802"/>
      <c r="M449" s="802"/>
      <c r="N449" s="802"/>
      <c r="O449" s="802"/>
      <c r="P449" s="802"/>
      <c r="Q449" s="802"/>
      <c r="R449" s="802"/>
      <c r="S449" s="802"/>
      <c r="T449" s="802"/>
      <c r="U449" s="802"/>
      <c r="V449" s="802"/>
      <c r="W449" s="802"/>
      <c r="X449" s="802"/>
      <c r="Y449" s="802"/>
      <c r="Z449" s="802"/>
      <c r="AA449" s="802"/>
      <c r="AB449" s="802"/>
      <c r="AC449" s="802"/>
      <c r="AD449" s="802"/>
      <c r="AE449" s="802"/>
      <c r="AF449" s="802"/>
      <c r="AG449" s="802"/>
      <c r="AH449" s="382"/>
      <c r="AI449" s="382"/>
      <c r="AJ449" s="382"/>
      <c r="AK449" s="382"/>
      <c r="AL449" s="382"/>
      <c r="AM449" s="382"/>
      <c r="AN449" s="382"/>
      <c r="AO449" s="382"/>
      <c r="AP449" s="382"/>
      <c r="AQ449" s="382"/>
      <c r="AR449" s="382"/>
      <c r="AS449" s="382"/>
      <c r="AT449" s="382"/>
      <c r="AU449" s="382"/>
      <c r="AV449" s="382"/>
      <c r="AW449" s="382"/>
      <c r="AX449" s="382"/>
      <c r="AY449" s="382"/>
      <c r="AZ449" s="382"/>
      <c r="BA449" s="382"/>
      <c r="BB449" s="382"/>
      <c r="BC449" s="382"/>
      <c r="BD449" s="382"/>
      <c r="BE449" s="382"/>
      <c r="BF449" s="382"/>
      <c r="BG449" s="382"/>
      <c r="BH449" s="382"/>
      <c r="BI449" s="382"/>
      <c r="BJ449" s="382"/>
      <c r="BK449" s="382"/>
      <c r="BL449" s="382"/>
      <c r="BM449" s="382"/>
      <c r="BN449" s="382"/>
      <c r="BO449" s="382"/>
      <c r="BP449" s="382"/>
      <c r="BQ449" s="382"/>
      <c r="BR449" s="382"/>
      <c r="BS449" s="382"/>
      <c r="BT449" s="382"/>
      <c r="BU449" s="496"/>
      <c r="BV449" s="382"/>
      <c r="BW449" s="382"/>
      <c r="BX449" s="382"/>
      <c r="BY449" s="382"/>
      <c r="BZ449" s="382"/>
      <c r="CA449" s="382"/>
      <c r="CB449" s="382"/>
      <c r="CC449" s="382"/>
      <c r="CD449" s="382"/>
      <c r="CE449" s="382"/>
      <c r="CF449" s="382"/>
      <c r="CG449" s="382"/>
      <c r="CH449" s="382"/>
      <c r="CI449" s="382"/>
      <c r="CJ449" s="382"/>
      <c r="CK449" s="382"/>
      <c r="CL449" s="382"/>
      <c r="CM449" s="382"/>
      <c r="CN449" s="382"/>
      <c r="CO449" s="382"/>
      <c r="CP449" s="382"/>
      <c r="CQ449" s="382"/>
      <c r="CR449" s="382"/>
      <c r="CS449" s="382"/>
      <c r="CT449" s="382"/>
      <c r="CU449" s="382"/>
      <c r="CV449" s="382"/>
      <c r="CW449" s="800"/>
      <c r="CX449" s="382"/>
      <c r="CY449" s="382"/>
      <c r="CZ449" s="382"/>
      <c r="DA449" s="382"/>
      <c r="DB449" s="382"/>
      <c r="DC449" s="382"/>
      <c r="DD449" s="382"/>
      <c r="DE449" s="382"/>
      <c r="DF449" s="382"/>
      <c r="DG449" s="382"/>
      <c r="DH449" s="382"/>
      <c r="DI449" s="382"/>
      <c r="DJ449" s="382"/>
      <c r="DK449" s="382"/>
      <c r="DL449" s="382"/>
      <c r="DM449" s="382"/>
      <c r="DN449" s="382"/>
      <c r="DO449" s="382"/>
      <c r="DP449" s="382"/>
      <c r="DQ449" s="382"/>
      <c r="DR449" s="382"/>
      <c r="DS449" s="382"/>
      <c r="DT449" s="382"/>
      <c r="DU449" s="382"/>
      <c r="DV449" s="382"/>
      <c r="DW449" s="382"/>
      <c r="DX449" s="382"/>
      <c r="DY449" s="382"/>
      <c r="DZ449" s="228"/>
    </row>
    <row r="450" spans="2:130" s="180" customFormat="1" x14ac:dyDescent="0.2">
      <c r="B450" s="800"/>
      <c r="C450" s="800"/>
      <c r="D450" s="800"/>
      <c r="E450" s="769"/>
      <c r="F450" s="769"/>
      <c r="G450" s="802"/>
      <c r="H450" s="802"/>
      <c r="I450" s="802"/>
      <c r="J450" s="802"/>
      <c r="K450" s="802"/>
      <c r="L450" s="802"/>
      <c r="M450" s="802"/>
      <c r="N450" s="802"/>
      <c r="O450" s="802"/>
      <c r="P450" s="802"/>
      <c r="Q450" s="802"/>
      <c r="R450" s="802"/>
      <c r="S450" s="802"/>
      <c r="T450" s="802"/>
      <c r="U450" s="802"/>
      <c r="V450" s="802"/>
      <c r="W450" s="802"/>
      <c r="X450" s="802"/>
      <c r="Y450" s="802"/>
      <c r="Z450" s="802"/>
      <c r="AA450" s="802"/>
      <c r="AB450" s="802"/>
      <c r="AC450" s="802"/>
      <c r="AD450" s="802"/>
      <c r="AE450" s="802"/>
      <c r="AF450" s="802"/>
      <c r="AG450" s="802"/>
      <c r="AH450" s="382"/>
      <c r="AI450" s="382"/>
      <c r="AJ450" s="382"/>
      <c r="AK450" s="382"/>
      <c r="AL450" s="382"/>
      <c r="AM450" s="382"/>
      <c r="AN450" s="382"/>
      <c r="AO450" s="382"/>
      <c r="AP450" s="382"/>
      <c r="AQ450" s="382"/>
      <c r="AR450" s="382"/>
      <c r="AS450" s="382"/>
      <c r="AT450" s="382"/>
      <c r="AU450" s="382"/>
      <c r="AV450" s="382"/>
      <c r="AW450" s="382"/>
      <c r="AX450" s="382"/>
      <c r="AY450" s="382"/>
      <c r="AZ450" s="382"/>
      <c r="BA450" s="382"/>
      <c r="BB450" s="382"/>
      <c r="BC450" s="382"/>
      <c r="BD450" s="382"/>
      <c r="BE450" s="382"/>
      <c r="BF450" s="382"/>
      <c r="BG450" s="382"/>
      <c r="BH450" s="382"/>
      <c r="BI450" s="382"/>
      <c r="BJ450" s="382"/>
      <c r="BK450" s="382"/>
      <c r="BL450" s="382"/>
      <c r="BM450" s="382"/>
      <c r="BN450" s="382"/>
      <c r="BO450" s="382"/>
      <c r="BP450" s="382"/>
      <c r="BQ450" s="382"/>
      <c r="BR450" s="382"/>
      <c r="BS450" s="382"/>
      <c r="BT450" s="382"/>
      <c r="BU450" s="496"/>
      <c r="BV450" s="382"/>
      <c r="BW450" s="382"/>
      <c r="BX450" s="382"/>
      <c r="BY450" s="382"/>
      <c r="BZ450" s="382"/>
      <c r="CA450" s="382"/>
      <c r="CB450" s="382"/>
      <c r="CC450" s="382"/>
      <c r="CD450" s="382"/>
      <c r="CE450" s="382"/>
      <c r="CF450" s="382"/>
      <c r="CG450" s="382"/>
      <c r="CH450" s="382"/>
      <c r="CI450" s="382"/>
      <c r="CJ450" s="382"/>
      <c r="CK450" s="382"/>
      <c r="CL450" s="382"/>
      <c r="CM450" s="382"/>
      <c r="CN450" s="382"/>
      <c r="CO450" s="382"/>
      <c r="CP450" s="382"/>
      <c r="CQ450" s="382"/>
      <c r="CR450" s="382"/>
      <c r="CS450" s="382"/>
      <c r="CT450" s="382"/>
      <c r="CU450" s="382"/>
      <c r="CV450" s="382"/>
      <c r="CW450" s="800"/>
      <c r="CX450" s="382"/>
      <c r="CY450" s="382"/>
      <c r="CZ450" s="382"/>
      <c r="DA450" s="382"/>
      <c r="DB450" s="382"/>
      <c r="DC450" s="382"/>
      <c r="DD450" s="382"/>
      <c r="DE450" s="382"/>
      <c r="DF450" s="382"/>
      <c r="DG450" s="382"/>
      <c r="DH450" s="382"/>
      <c r="DI450" s="382"/>
      <c r="DJ450" s="382"/>
      <c r="DK450" s="382"/>
      <c r="DL450" s="382"/>
      <c r="DM450" s="382"/>
      <c r="DN450" s="382"/>
      <c r="DO450" s="382"/>
      <c r="DP450" s="382"/>
      <c r="DQ450" s="382"/>
      <c r="DR450" s="382"/>
      <c r="DS450" s="382"/>
      <c r="DT450" s="382"/>
      <c r="DU450" s="382"/>
      <c r="DV450" s="382"/>
      <c r="DW450" s="382"/>
      <c r="DX450" s="382"/>
      <c r="DY450" s="382"/>
      <c r="DZ450" s="228"/>
    </row>
    <row r="451" spans="2:130" s="180" customFormat="1" x14ac:dyDescent="0.2">
      <c r="B451" s="800"/>
      <c r="C451" s="800"/>
      <c r="D451" s="800"/>
      <c r="E451" s="769"/>
      <c r="F451" s="769"/>
      <c r="G451" s="802"/>
      <c r="H451" s="802"/>
      <c r="I451" s="802"/>
      <c r="J451" s="802"/>
      <c r="K451" s="802"/>
      <c r="L451" s="802"/>
      <c r="M451" s="802"/>
      <c r="N451" s="802"/>
      <c r="O451" s="802"/>
      <c r="P451" s="802"/>
      <c r="Q451" s="802"/>
      <c r="R451" s="802"/>
      <c r="S451" s="802"/>
      <c r="T451" s="802"/>
      <c r="U451" s="802"/>
      <c r="V451" s="802"/>
      <c r="W451" s="802"/>
      <c r="X451" s="802"/>
      <c r="Y451" s="802"/>
      <c r="Z451" s="802"/>
      <c r="AA451" s="802"/>
      <c r="AB451" s="802"/>
      <c r="AC451" s="802"/>
      <c r="AD451" s="802"/>
      <c r="AE451" s="802"/>
      <c r="AF451" s="802"/>
      <c r="AG451" s="802"/>
      <c r="AH451" s="382"/>
      <c r="AI451" s="382"/>
      <c r="AJ451" s="382"/>
      <c r="AK451" s="382"/>
      <c r="AL451" s="382"/>
      <c r="AM451" s="382"/>
      <c r="AN451" s="382"/>
      <c r="AO451" s="382"/>
      <c r="AP451" s="382"/>
      <c r="AQ451" s="382"/>
      <c r="AR451" s="382"/>
      <c r="AS451" s="382"/>
      <c r="AT451" s="382"/>
      <c r="AU451" s="382"/>
      <c r="AV451" s="382"/>
      <c r="AW451" s="382"/>
      <c r="AX451" s="382"/>
      <c r="AY451" s="382"/>
      <c r="AZ451" s="382"/>
      <c r="BA451" s="382"/>
      <c r="BB451" s="382"/>
      <c r="BC451" s="382"/>
      <c r="BD451" s="382"/>
      <c r="BE451" s="382"/>
      <c r="BF451" s="382"/>
      <c r="BG451" s="382"/>
      <c r="BH451" s="382"/>
      <c r="BI451" s="382"/>
      <c r="BJ451" s="382"/>
      <c r="BK451" s="382"/>
      <c r="BL451" s="382"/>
      <c r="BM451" s="382"/>
      <c r="BN451" s="382"/>
      <c r="BO451" s="382"/>
      <c r="BP451" s="382"/>
      <c r="BQ451" s="382"/>
      <c r="BR451" s="382"/>
      <c r="BS451" s="382"/>
      <c r="BT451" s="382"/>
      <c r="BU451" s="496"/>
      <c r="BV451" s="382"/>
      <c r="BW451" s="382"/>
      <c r="BX451" s="382"/>
      <c r="BY451" s="382"/>
      <c r="BZ451" s="382"/>
      <c r="CA451" s="382"/>
      <c r="CB451" s="382"/>
      <c r="CC451" s="382"/>
      <c r="CD451" s="382"/>
      <c r="CE451" s="382"/>
      <c r="CF451" s="382"/>
      <c r="CG451" s="382"/>
      <c r="CH451" s="382"/>
      <c r="CI451" s="382"/>
      <c r="CJ451" s="382"/>
      <c r="CK451" s="382"/>
      <c r="CL451" s="382"/>
      <c r="CM451" s="382"/>
      <c r="CN451" s="382"/>
      <c r="CO451" s="382"/>
      <c r="CP451" s="382"/>
      <c r="CQ451" s="382"/>
      <c r="CR451" s="382"/>
      <c r="CS451" s="382"/>
      <c r="CT451" s="382"/>
      <c r="CU451" s="382"/>
      <c r="CV451" s="382"/>
      <c r="CW451" s="800"/>
      <c r="CX451" s="382"/>
      <c r="CY451" s="382"/>
      <c r="CZ451" s="382"/>
      <c r="DA451" s="382"/>
      <c r="DB451" s="382"/>
      <c r="DC451" s="382"/>
      <c r="DD451" s="382"/>
      <c r="DE451" s="382"/>
      <c r="DF451" s="382"/>
      <c r="DG451" s="382"/>
      <c r="DH451" s="382"/>
      <c r="DI451" s="382"/>
      <c r="DJ451" s="382"/>
      <c r="DK451" s="382"/>
      <c r="DL451" s="382"/>
      <c r="DM451" s="382"/>
      <c r="DN451" s="382"/>
      <c r="DO451" s="382"/>
      <c r="DP451" s="382"/>
      <c r="DQ451" s="382"/>
      <c r="DR451" s="382"/>
      <c r="DS451" s="382"/>
      <c r="DT451" s="382"/>
      <c r="DU451" s="382"/>
      <c r="DV451" s="382"/>
      <c r="DW451" s="382"/>
      <c r="DX451" s="382"/>
      <c r="DY451" s="382"/>
      <c r="DZ451" s="228"/>
    </row>
    <row r="452" spans="2:130" s="180" customFormat="1" x14ac:dyDescent="0.2">
      <c r="B452" s="800"/>
      <c r="C452" s="800"/>
      <c r="D452" s="800"/>
      <c r="E452" s="769"/>
      <c r="F452" s="769"/>
      <c r="G452" s="802"/>
      <c r="H452" s="802"/>
      <c r="I452" s="802"/>
      <c r="J452" s="802"/>
      <c r="K452" s="802"/>
      <c r="L452" s="802"/>
      <c r="M452" s="802"/>
      <c r="N452" s="802"/>
      <c r="O452" s="802"/>
      <c r="P452" s="802"/>
      <c r="Q452" s="802"/>
      <c r="R452" s="802"/>
      <c r="S452" s="802"/>
      <c r="T452" s="802"/>
      <c r="U452" s="802"/>
      <c r="V452" s="802"/>
      <c r="W452" s="802"/>
      <c r="X452" s="802"/>
      <c r="Y452" s="802"/>
      <c r="Z452" s="802"/>
      <c r="AA452" s="802"/>
      <c r="AB452" s="802"/>
      <c r="AC452" s="802"/>
      <c r="AD452" s="802"/>
      <c r="AE452" s="802"/>
      <c r="AF452" s="802"/>
      <c r="AG452" s="802"/>
      <c r="AH452" s="382"/>
      <c r="AI452" s="382"/>
      <c r="AJ452" s="382"/>
      <c r="AK452" s="382"/>
      <c r="AL452" s="382"/>
      <c r="AM452" s="382"/>
      <c r="AN452" s="382"/>
      <c r="AO452" s="382"/>
      <c r="AP452" s="382"/>
      <c r="AQ452" s="382"/>
      <c r="AR452" s="382"/>
      <c r="AS452" s="382"/>
      <c r="AT452" s="382"/>
      <c r="AU452" s="382"/>
      <c r="AV452" s="382"/>
      <c r="AW452" s="382"/>
      <c r="AX452" s="382"/>
      <c r="AY452" s="382"/>
      <c r="AZ452" s="382"/>
      <c r="BA452" s="382"/>
      <c r="BB452" s="382"/>
      <c r="BC452" s="382"/>
      <c r="BD452" s="382"/>
      <c r="BE452" s="382"/>
      <c r="BF452" s="382"/>
      <c r="BG452" s="382"/>
      <c r="BH452" s="382"/>
      <c r="BI452" s="382"/>
      <c r="BJ452" s="382"/>
      <c r="BK452" s="382"/>
      <c r="BL452" s="382"/>
      <c r="BM452" s="382"/>
      <c r="BN452" s="382"/>
      <c r="BO452" s="382"/>
      <c r="BP452" s="382"/>
      <c r="BQ452" s="382"/>
      <c r="BR452" s="382"/>
      <c r="BS452" s="382"/>
      <c r="BT452" s="382"/>
      <c r="BU452" s="496"/>
      <c r="BV452" s="382"/>
      <c r="BW452" s="382"/>
      <c r="BX452" s="382"/>
      <c r="BY452" s="382"/>
      <c r="BZ452" s="382"/>
      <c r="CA452" s="382"/>
      <c r="CB452" s="382"/>
      <c r="CC452" s="382"/>
      <c r="CD452" s="382"/>
      <c r="CE452" s="382"/>
      <c r="CF452" s="382"/>
      <c r="CG452" s="382"/>
      <c r="CH452" s="382"/>
      <c r="CI452" s="382"/>
      <c r="CJ452" s="382"/>
      <c r="CK452" s="382"/>
      <c r="CL452" s="382"/>
      <c r="CM452" s="382"/>
      <c r="CN452" s="382"/>
      <c r="CO452" s="382"/>
      <c r="CP452" s="382"/>
      <c r="CQ452" s="382"/>
      <c r="CR452" s="382"/>
      <c r="CS452" s="382"/>
      <c r="CT452" s="382"/>
      <c r="CU452" s="382"/>
      <c r="CV452" s="382"/>
      <c r="CW452" s="800"/>
      <c r="CX452" s="382"/>
      <c r="CY452" s="382"/>
      <c r="CZ452" s="382"/>
      <c r="DA452" s="382"/>
      <c r="DB452" s="382"/>
      <c r="DC452" s="382"/>
      <c r="DD452" s="382"/>
      <c r="DE452" s="382"/>
      <c r="DF452" s="382"/>
      <c r="DG452" s="382"/>
      <c r="DH452" s="382"/>
      <c r="DI452" s="382"/>
      <c r="DJ452" s="382"/>
      <c r="DK452" s="382"/>
      <c r="DL452" s="382"/>
      <c r="DM452" s="382"/>
      <c r="DN452" s="382"/>
      <c r="DO452" s="382"/>
      <c r="DP452" s="382"/>
      <c r="DQ452" s="382"/>
      <c r="DR452" s="382"/>
      <c r="DS452" s="382"/>
      <c r="DT452" s="382"/>
      <c r="DU452" s="382"/>
      <c r="DV452" s="382"/>
      <c r="DW452" s="382"/>
      <c r="DX452" s="382"/>
      <c r="DY452" s="382"/>
      <c r="DZ452" s="228"/>
    </row>
    <row r="453" spans="2:130" s="180" customFormat="1" x14ac:dyDescent="0.2">
      <c r="B453" s="800"/>
      <c r="C453" s="800"/>
      <c r="D453" s="800"/>
      <c r="E453" s="769"/>
      <c r="F453" s="769"/>
      <c r="G453" s="802"/>
      <c r="H453" s="802"/>
      <c r="I453" s="802"/>
      <c r="J453" s="802"/>
      <c r="K453" s="802"/>
      <c r="L453" s="802"/>
      <c r="M453" s="802"/>
      <c r="N453" s="802"/>
      <c r="O453" s="802"/>
      <c r="P453" s="802"/>
      <c r="Q453" s="802"/>
      <c r="R453" s="802"/>
      <c r="S453" s="802"/>
      <c r="T453" s="802"/>
      <c r="U453" s="802"/>
      <c r="V453" s="802"/>
      <c r="W453" s="802"/>
      <c r="X453" s="802"/>
      <c r="Y453" s="802"/>
      <c r="Z453" s="802"/>
      <c r="AA453" s="802"/>
      <c r="AB453" s="802"/>
      <c r="AC453" s="802"/>
      <c r="AD453" s="802"/>
      <c r="AE453" s="802"/>
      <c r="AF453" s="802"/>
      <c r="AG453" s="802"/>
      <c r="AH453" s="382"/>
      <c r="AI453" s="382"/>
      <c r="AJ453" s="382"/>
      <c r="AK453" s="382"/>
      <c r="AL453" s="382"/>
      <c r="AM453" s="382"/>
      <c r="AN453" s="382"/>
      <c r="AO453" s="382"/>
      <c r="AP453" s="382"/>
      <c r="AQ453" s="382"/>
      <c r="AR453" s="382"/>
      <c r="AS453" s="382"/>
      <c r="AT453" s="382"/>
      <c r="AU453" s="382"/>
      <c r="AV453" s="382"/>
      <c r="AW453" s="382"/>
      <c r="AX453" s="382"/>
      <c r="AY453" s="382"/>
      <c r="AZ453" s="382"/>
      <c r="BA453" s="382"/>
      <c r="BB453" s="382"/>
      <c r="BC453" s="382"/>
      <c r="BD453" s="382"/>
      <c r="BE453" s="382"/>
      <c r="BF453" s="382"/>
      <c r="BG453" s="382"/>
      <c r="BH453" s="382"/>
      <c r="BI453" s="382"/>
      <c r="BJ453" s="382"/>
      <c r="BK453" s="382"/>
      <c r="BL453" s="382"/>
      <c r="BM453" s="382"/>
      <c r="BN453" s="382"/>
      <c r="BO453" s="382"/>
      <c r="BP453" s="382"/>
      <c r="BQ453" s="382"/>
      <c r="BR453" s="382"/>
      <c r="BS453" s="382"/>
      <c r="BT453" s="382"/>
      <c r="BU453" s="496"/>
      <c r="BV453" s="382"/>
      <c r="BW453" s="382"/>
      <c r="BX453" s="382"/>
      <c r="BY453" s="382"/>
      <c r="BZ453" s="382"/>
      <c r="CA453" s="382"/>
      <c r="CB453" s="382"/>
      <c r="CC453" s="382"/>
      <c r="CD453" s="382"/>
      <c r="CE453" s="382"/>
      <c r="CF453" s="382"/>
      <c r="CG453" s="382"/>
      <c r="CH453" s="382"/>
      <c r="CI453" s="382"/>
      <c r="CJ453" s="382"/>
      <c r="CK453" s="382"/>
      <c r="CL453" s="382"/>
      <c r="CM453" s="382"/>
      <c r="CN453" s="382"/>
      <c r="CO453" s="382"/>
      <c r="CP453" s="382"/>
      <c r="CQ453" s="382"/>
      <c r="CR453" s="382"/>
      <c r="CS453" s="382"/>
      <c r="CT453" s="382"/>
      <c r="CU453" s="382"/>
      <c r="CV453" s="382"/>
      <c r="CW453" s="800"/>
      <c r="CX453" s="382"/>
      <c r="CY453" s="382"/>
      <c r="CZ453" s="382"/>
      <c r="DA453" s="382"/>
      <c r="DB453" s="382"/>
      <c r="DC453" s="382"/>
      <c r="DD453" s="382"/>
      <c r="DE453" s="382"/>
      <c r="DF453" s="382"/>
      <c r="DG453" s="382"/>
      <c r="DH453" s="382"/>
      <c r="DI453" s="382"/>
      <c r="DJ453" s="382"/>
      <c r="DK453" s="382"/>
      <c r="DL453" s="382"/>
      <c r="DM453" s="382"/>
      <c r="DN453" s="382"/>
      <c r="DO453" s="382"/>
      <c r="DP453" s="382"/>
      <c r="DQ453" s="382"/>
      <c r="DR453" s="382"/>
      <c r="DS453" s="382"/>
      <c r="DT453" s="382"/>
      <c r="DU453" s="382"/>
      <c r="DV453" s="382"/>
      <c r="DW453" s="382"/>
      <c r="DX453" s="382"/>
      <c r="DY453" s="382"/>
      <c r="DZ453" s="228"/>
    </row>
    <row r="454" spans="2:130" s="180" customFormat="1" x14ac:dyDescent="0.2">
      <c r="B454" s="800"/>
      <c r="C454" s="800"/>
      <c r="D454" s="800"/>
      <c r="E454" s="769"/>
      <c r="F454" s="769"/>
      <c r="G454" s="802"/>
      <c r="H454" s="802"/>
      <c r="I454" s="802"/>
      <c r="J454" s="802"/>
      <c r="K454" s="802"/>
      <c r="L454" s="802"/>
      <c r="M454" s="802"/>
      <c r="N454" s="802"/>
      <c r="O454" s="802"/>
      <c r="P454" s="802"/>
      <c r="Q454" s="802"/>
      <c r="R454" s="802"/>
      <c r="S454" s="802"/>
      <c r="T454" s="802"/>
      <c r="U454" s="802"/>
      <c r="V454" s="802"/>
      <c r="W454" s="802"/>
      <c r="X454" s="802"/>
      <c r="Y454" s="802"/>
      <c r="Z454" s="802"/>
      <c r="AA454" s="802"/>
      <c r="AB454" s="802"/>
      <c r="AC454" s="802"/>
      <c r="AD454" s="802"/>
      <c r="AE454" s="802"/>
      <c r="AF454" s="802"/>
      <c r="AG454" s="802"/>
      <c r="AH454" s="382"/>
      <c r="AI454" s="382"/>
      <c r="AJ454" s="382"/>
      <c r="AK454" s="382"/>
      <c r="AL454" s="382"/>
      <c r="AM454" s="382"/>
      <c r="AN454" s="382"/>
      <c r="AO454" s="382"/>
      <c r="AP454" s="382"/>
      <c r="AQ454" s="382"/>
      <c r="AR454" s="382"/>
      <c r="AS454" s="382"/>
      <c r="AT454" s="382"/>
      <c r="AU454" s="382"/>
      <c r="AV454" s="382"/>
      <c r="AW454" s="382"/>
      <c r="AX454" s="382"/>
      <c r="AY454" s="382"/>
      <c r="AZ454" s="382"/>
      <c r="BA454" s="382"/>
      <c r="BB454" s="382"/>
      <c r="BC454" s="382"/>
      <c r="BD454" s="382"/>
      <c r="BE454" s="382"/>
      <c r="BF454" s="382"/>
      <c r="BG454" s="382"/>
      <c r="BH454" s="382"/>
      <c r="BI454" s="382"/>
      <c r="BJ454" s="382"/>
      <c r="BK454" s="382"/>
      <c r="BL454" s="382"/>
      <c r="BM454" s="382"/>
      <c r="BN454" s="382"/>
      <c r="BO454" s="382"/>
      <c r="BP454" s="382"/>
      <c r="BQ454" s="382"/>
      <c r="BR454" s="382"/>
      <c r="BS454" s="382"/>
      <c r="BT454" s="382"/>
      <c r="BU454" s="496"/>
      <c r="BV454" s="382"/>
      <c r="BW454" s="382"/>
      <c r="BX454" s="382"/>
      <c r="BY454" s="382"/>
      <c r="BZ454" s="382"/>
      <c r="CA454" s="382"/>
      <c r="CB454" s="382"/>
      <c r="CC454" s="382"/>
      <c r="CD454" s="382"/>
      <c r="CE454" s="382"/>
      <c r="CF454" s="382"/>
      <c r="CG454" s="382"/>
      <c r="CH454" s="382"/>
      <c r="CI454" s="382"/>
      <c r="CJ454" s="382"/>
      <c r="CK454" s="382"/>
      <c r="CL454" s="382"/>
      <c r="CM454" s="382"/>
      <c r="CN454" s="382"/>
      <c r="CO454" s="382"/>
      <c r="CP454" s="382"/>
      <c r="CQ454" s="382"/>
      <c r="CR454" s="382"/>
      <c r="CS454" s="382"/>
      <c r="CT454" s="382"/>
      <c r="CU454" s="382"/>
      <c r="CV454" s="382"/>
      <c r="CW454" s="800"/>
      <c r="CX454" s="382"/>
      <c r="CY454" s="382"/>
      <c r="CZ454" s="382"/>
      <c r="DA454" s="382"/>
      <c r="DB454" s="382"/>
      <c r="DC454" s="382"/>
      <c r="DD454" s="382"/>
      <c r="DE454" s="382"/>
      <c r="DF454" s="382"/>
      <c r="DG454" s="382"/>
      <c r="DH454" s="382"/>
      <c r="DI454" s="382"/>
      <c r="DJ454" s="382"/>
      <c r="DK454" s="382"/>
      <c r="DL454" s="382"/>
      <c r="DM454" s="382"/>
      <c r="DN454" s="382"/>
      <c r="DO454" s="382"/>
      <c r="DP454" s="382"/>
      <c r="DQ454" s="382"/>
      <c r="DR454" s="382"/>
      <c r="DS454" s="382"/>
      <c r="DT454" s="382"/>
      <c r="DU454" s="382"/>
      <c r="DV454" s="382"/>
      <c r="DW454" s="382"/>
      <c r="DX454" s="382"/>
      <c r="DY454" s="382"/>
      <c r="DZ454" s="228"/>
    </row>
    <row r="455" spans="2:130" s="180" customFormat="1" x14ac:dyDescent="0.2">
      <c r="B455" s="800"/>
      <c r="C455" s="800"/>
      <c r="D455" s="800"/>
      <c r="E455" s="769"/>
      <c r="F455" s="769"/>
      <c r="G455" s="802"/>
      <c r="H455" s="802"/>
      <c r="I455" s="802"/>
      <c r="J455" s="802"/>
      <c r="K455" s="802"/>
      <c r="L455" s="802"/>
      <c r="M455" s="802"/>
      <c r="N455" s="802"/>
      <c r="O455" s="802"/>
      <c r="P455" s="802"/>
      <c r="Q455" s="802"/>
      <c r="R455" s="802"/>
      <c r="S455" s="802"/>
      <c r="T455" s="802"/>
      <c r="U455" s="802"/>
      <c r="V455" s="802"/>
      <c r="W455" s="802"/>
      <c r="X455" s="802"/>
      <c r="Y455" s="802"/>
      <c r="Z455" s="802"/>
      <c r="AA455" s="802"/>
      <c r="AB455" s="802"/>
      <c r="AC455" s="802"/>
      <c r="AD455" s="802"/>
      <c r="AE455" s="802"/>
      <c r="AF455" s="802"/>
      <c r="AG455" s="802"/>
      <c r="AH455" s="382"/>
      <c r="AI455" s="382"/>
      <c r="AJ455" s="382"/>
      <c r="AK455" s="382"/>
      <c r="AL455" s="382"/>
      <c r="AM455" s="382"/>
      <c r="AN455" s="382"/>
      <c r="AO455" s="382"/>
      <c r="AP455" s="382"/>
      <c r="AQ455" s="382"/>
      <c r="AR455" s="382"/>
      <c r="AS455" s="382"/>
      <c r="AT455" s="382"/>
      <c r="AU455" s="382"/>
      <c r="AV455" s="382"/>
      <c r="AW455" s="382"/>
      <c r="AX455" s="382"/>
      <c r="AY455" s="382"/>
      <c r="AZ455" s="382"/>
      <c r="BA455" s="382"/>
      <c r="BB455" s="382"/>
      <c r="BC455" s="382"/>
      <c r="BD455" s="382"/>
      <c r="BE455" s="382"/>
      <c r="BF455" s="382"/>
      <c r="BG455" s="382"/>
      <c r="BH455" s="382"/>
      <c r="BI455" s="382"/>
      <c r="BJ455" s="382"/>
      <c r="BK455" s="382"/>
      <c r="BL455" s="382"/>
      <c r="BM455" s="382"/>
      <c r="BN455" s="382"/>
      <c r="BO455" s="382"/>
      <c r="BP455" s="382"/>
      <c r="BQ455" s="382"/>
      <c r="BR455" s="382"/>
      <c r="BS455" s="382"/>
      <c r="BT455" s="382"/>
      <c r="BU455" s="496"/>
      <c r="BV455" s="382"/>
      <c r="BW455" s="382"/>
      <c r="BX455" s="382"/>
      <c r="BY455" s="382"/>
      <c r="BZ455" s="382"/>
      <c r="CA455" s="382"/>
      <c r="CB455" s="382"/>
      <c r="CC455" s="382"/>
      <c r="CD455" s="382"/>
      <c r="CE455" s="382"/>
      <c r="CF455" s="382"/>
      <c r="CG455" s="382"/>
      <c r="CH455" s="382"/>
      <c r="CI455" s="382"/>
      <c r="CJ455" s="382"/>
      <c r="CK455" s="382"/>
      <c r="CL455" s="382"/>
      <c r="CM455" s="382"/>
      <c r="CN455" s="382"/>
      <c r="CO455" s="382"/>
      <c r="CP455" s="382"/>
      <c r="CQ455" s="382"/>
      <c r="CR455" s="382"/>
      <c r="CS455" s="382"/>
      <c r="CT455" s="382"/>
      <c r="CU455" s="382"/>
      <c r="CV455" s="382"/>
      <c r="CW455" s="800"/>
      <c r="CX455" s="382"/>
      <c r="CY455" s="382"/>
      <c r="CZ455" s="382"/>
      <c r="DA455" s="382"/>
      <c r="DB455" s="382"/>
      <c r="DC455" s="382"/>
      <c r="DD455" s="382"/>
      <c r="DE455" s="382"/>
      <c r="DF455" s="382"/>
      <c r="DG455" s="382"/>
      <c r="DH455" s="382"/>
      <c r="DI455" s="382"/>
      <c r="DJ455" s="382"/>
      <c r="DK455" s="382"/>
      <c r="DL455" s="382"/>
      <c r="DM455" s="382"/>
      <c r="DN455" s="382"/>
      <c r="DO455" s="382"/>
      <c r="DP455" s="382"/>
      <c r="DQ455" s="382"/>
      <c r="DR455" s="382"/>
      <c r="DS455" s="382"/>
      <c r="DT455" s="382"/>
      <c r="DU455" s="382"/>
      <c r="DV455" s="382"/>
      <c r="DW455" s="382"/>
      <c r="DX455" s="382"/>
      <c r="DY455" s="382"/>
      <c r="DZ455" s="228"/>
    </row>
    <row r="456" spans="2:130" s="180" customFormat="1" x14ac:dyDescent="0.2">
      <c r="B456" s="800"/>
      <c r="C456" s="800"/>
      <c r="D456" s="800"/>
      <c r="E456" s="769"/>
      <c r="F456" s="769"/>
      <c r="G456" s="802"/>
      <c r="H456" s="802"/>
      <c r="I456" s="802"/>
      <c r="J456" s="802"/>
      <c r="K456" s="802"/>
      <c r="L456" s="802"/>
      <c r="M456" s="802"/>
      <c r="N456" s="802"/>
      <c r="O456" s="802"/>
      <c r="P456" s="802"/>
      <c r="Q456" s="802"/>
      <c r="R456" s="802"/>
      <c r="S456" s="802"/>
      <c r="T456" s="802"/>
      <c r="U456" s="802"/>
      <c r="V456" s="802"/>
      <c r="W456" s="802"/>
      <c r="X456" s="802"/>
      <c r="Y456" s="802"/>
      <c r="Z456" s="802"/>
      <c r="AA456" s="802"/>
      <c r="AB456" s="802"/>
      <c r="AC456" s="802"/>
      <c r="AD456" s="802"/>
      <c r="AE456" s="802"/>
      <c r="AF456" s="802"/>
      <c r="AG456" s="802"/>
      <c r="AH456" s="382"/>
      <c r="AI456" s="382"/>
      <c r="AJ456" s="382"/>
      <c r="AK456" s="382"/>
      <c r="AL456" s="382"/>
      <c r="AM456" s="382"/>
      <c r="AN456" s="382"/>
      <c r="AO456" s="382"/>
      <c r="AP456" s="382"/>
      <c r="AQ456" s="382"/>
      <c r="AR456" s="382"/>
      <c r="AS456" s="382"/>
      <c r="AT456" s="382"/>
      <c r="AU456" s="382"/>
      <c r="AV456" s="382"/>
      <c r="AW456" s="382"/>
      <c r="AX456" s="382"/>
      <c r="AY456" s="382"/>
      <c r="AZ456" s="382"/>
      <c r="BA456" s="382"/>
      <c r="BB456" s="382"/>
      <c r="BC456" s="382"/>
      <c r="BD456" s="382"/>
      <c r="BE456" s="382"/>
      <c r="BF456" s="382"/>
      <c r="BG456" s="382"/>
      <c r="BH456" s="382"/>
      <c r="BI456" s="382"/>
      <c r="BJ456" s="382"/>
      <c r="BK456" s="382"/>
      <c r="BL456" s="382"/>
      <c r="BM456" s="382"/>
      <c r="BN456" s="382"/>
      <c r="BO456" s="382"/>
      <c r="BP456" s="382"/>
      <c r="BQ456" s="382"/>
      <c r="BR456" s="382"/>
      <c r="BS456" s="382"/>
      <c r="BT456" s="382"/>
      <c r="BU456" s="496"/>
      <c r="BV456" s="382"/>
      <c r="BW456" s="382"/>
      <c r="BX456" s="382"/>
      <c r="BY456" s="382"/>
      <c r="BZ456" s="382"/>
      <c r="CA456" s="382"/>
      <c r="CB456" s="382"/>
      <c r="CC456" s="382"/>
      <c r="CD456" s="382"/>
      <c r="CE456" s="382"/>
      <c r="CF456" s="382"/>
      <c r="CG456" s="382"/>
      <c r="CH456" s="382"/>
      <c r="CI456" s="382"/>
      <c r="CJ456" s="382"/>
      <c r="CK456" s="382"/>
      <c r="CL456" s="382"/>
      <c r="CM456" s="382"/>
      <c r="CN456" s="382"/>
      <c r="CO456" s="382"/>
      <c r="CP456" s="382"/>
      <c r="CQ456" s="382"/>
      <c r="CR456" s="382"/>
      <c r="CS456" s="382"/>
      <c r="CT456" s="382"/>
      <c r="CU456" s="382"/>
      <c r="CV456" s="382"/>
      <c r="CW456" s="800"/>
      <c r="CX456" s="382"/>
      <c r="CY456" s="382"/>
      <c r="CZ456" s="382"/>
      <c r="DA456" s="382"/>
      <c r="DB456" s="382"/>
      <c r="DC456" s="382"/>
      <c r="DD456" s="382"/>
      <c r="DE456" s="382"/>
      <c r="DF456" s="382"/>
      <c r="DG456" s="382"/>
      <c r="DH456" s="382"/>
      <c r="DI456" s="382"/>
      <c r="DJ456" s="382"/>
      <c r="DK456" s="382"/>
      <c r="DL456" s="382"/>
      <c r="DM456" s="382"/>
      <c r="DN456" s="382"/>
      <c r="DO456" s="382"/>
      <c r="DP456" s="382"/>
      <c r="DQ456" s="382"/>
      <c r="DR456" s="382"/>
      <c r="DS456" s="382"/>
      <c r="DT456" s="382"/>
      <c r="DU456" s="382"/>
      <c r="DV456" s="382"/>
      <c r="DW456" s="382"/>
      <c r="DX456" s="382"/>
      <c r="DY456" s="382"/>
      <c r="DZ456" s="228"/>
    </row>
    <row r="457" spans="2:130" s="180" customFormat="1" x14ac:dyDescent="0.2">
      <c r="B457" s="800"/>
      <c r="C457" s="800"/>
      <c r="D457" s="800"/>
      <c r="E457" s="769"/>
      <c r="F457" s="769"/>
      <c r="G457" s="802"/>
      <c r="H457" s="802"/>
      <c r="I457" s="802"/>
      <c r="J457" s="802"/>
      <c r="K457" s="802"/>
      <c r="L457" s="802"/>
      <c r="M457" s="802"/>
      <c r="N457" s="802"/>
      <c r="O457" s="802"/>
      <c r="P457" s="802"/>
      <c r="Q457" s="802"/>
      <c r="R457" s="802"/>
      <c r="S457" s="802"/>
      <c r="T457" s="802"/>
      <c r="U457" s="802"/>
      <c r="V457" s="802"/>
      <c r="W457" s="802"/>
      <c r="X457" s="802"/>
      <c r="Y457" s="802"/>
      <c r="Z457" s="802"/>
      <c r="AA457" s="802"/>
      <c r="AB457" s="802"/>
      <c r="AC457" s="802"/>
      <c r="AD457" s="802"/>
      <c r="AE457" s="802"/>
      <c r="AF457" s="802"/>
      <c r="AG457" s="802"/>
      <c r="AH457" s="382"/>
      <c r="AI457" s="382"/>
      <c r="AJ457" s="382"/>
      <c r="AK457" s="382"/>
      <c r="AL457" s="382"/>
      <c r="AM457" s="382"/>
      <c r="AN457" s="382"/>
      <c r="AO457" s="382"/>
      <c r="AP457" s="382"/>
      <c r="AQ457" s="382"/>
      <c r="AR457" s="382"/>
      <c r="AS457" s="382"/>
      <c r="AT457" s="382"/>
      <c r="AU457" s="382"/>
      <c r="AV457" s="382"/>
      <c r="AW457" s="382"/>
      <c r="AX457" s="382"/>
      <c r="AY457" s="382"/>
      <c r="AZ457" s="382"/>
      <c r="BA457" s="382"/>
      <c r="BB457" s="382"/>
      <c r="BC457" s="382"/>
      <c r="BD457" s="382"/>
      <c r="BE457" s="382"/>
      <c r="BF457" s="382"/>
      <c r="BG457" s="382"/>
      <c r="BH457" s="382"/>
      <c r="BI457" s="382"/>
      <c r="BJ457" s="382"/>
      <c r="BK457" s="382"/>
      <c r="BL457" s="382"/>
      <c r="BM457" s="382"/>
      <c r="BN457" s="382"/>
      <c r="BO457" s="382"/>
      <c r="BP457" s="382"/>
      <c r="BQ457" s="382"/>
      <c r="BR457" s="382"/>
      <c r="BS457" s="382"/>
      <c r="BT457" s="382"/>
      <c r="BU457" s="496"/>
      <c r="BV457" s="382"/>
      <c r="BW457" s="382"/>
      <c r="BX457" s="382"/>
      <c r="BY457" s="382"/>
      <c r="BZ457" s="382"/>
      <c r="CA457" s="382"/>
      <c r="CB457" s="382"/>
      <c r="CC457" s="382"/>
      <c r="CD457" s="382"/>
      <c r="CE457" s="382"/>
      <c r="CF457" s="382"/>
      <c r="CG457" s="382"/>
      <c r="CH457" s="382"/>
      <c r="CI457" s="382"/>
      <c r="CJ457" s="382"/>
      <c r="CK457" s="382"/>
      <c r="CL457" s="382"/>
      <c r="CM457" s="382"/>
      <c r="CN457" s="382"/>
      <c r="CO457" s="382"/>
      <c r="CP457" s="382"/>
      <c r="CQ457" s="382"/>
      <c r="CR457" s="382"/>
      <c r="CS457" s="382"/>
      <c r="CT457" s="382"/>
      <c r="CU457" s="382"/>
      <c r="CV457" s="382"/>
      <c r="CW457" s="800"/>
      <c r="CX457" s="382"/>
      <c r="CY457" s="382"/>
      <c r="CZ457" s="382"/>
      <c r="DA457" s="382"/>
      <c r="DB457" s="382"/>
      <c r="DC457" s="382"/>
      <c r="DD457" s="382"/>
      <c r="DE457" s="382"/>
      <c r="DF457" s="382"/>
      <c r="DG457" s="382"/>
      <c r="DH457" s="382"/>
      <c r="DI457" s="382"/>
      <c r="DJ457" s="382"/>
      <c r="DK457" s="382"/>
      <c r="DL457" s="382"/>
      <c r="DM457" s="382"/>
      <c r="DN457" s="382"/>
      <c r="DO457" s="382"/>
      <c r="DP457" s="382"/>
      <c r="DQ457" s="382"/>
      <c r="DR457" s="382"/>
      <c r="DS457" s="382"/>
      <c r="DT457" s="382"/>
      <c r="DU457" s="382"/>
      <c r="DV457" s="382"/>
      <c r="DW457" s="382"/>
      <c r="DX457" s="382"/>
      <c r="DY457" s="382"/>
      <c r="DZ457" s="228"/>
    </row>
    <row r="458" spans="2:130" s="180" customFormat="1" x14ac:dyDescent="0.2">
      <c r="B458" s="800"/>
      <c r="C458" s="800"/>
      <c r="D458" s="800"/>
      <c r="E458" s="769"/>
      <c r="F458" s="769"/>
      <c r="G458" s="802"/>
      <c r="H458" s="802"/>
      <c r="I458" s="802"/>
      <c r="J458" s="802"/>
      <c r="K458" s="802"/>
      <c r="L458" s="802"/>
      <c r="M458" s="802"/>
      <c r="N458" s="802"/>
      <c r="O458" s="802"/>
      <c r="P458" s="802"/>
      <c r="Q458" s="802"/>
      <c r="R458" s="802"/>
      <c r="S458" s="802"/>
      <c r="T458" s="802"/>
      <c r="U458" s="802"/>
      <c r="V458" s="802"/>
      <c r="W458" s="802"/>
      <c r="X458" s="802"/>
      <c r="Y458" s="802"/>
      <c r="Z458" s="802"/>
      <c r="AA458" s="802"/>
      <c r="AB458" s="802"/>
      <c r="AC458" s="802"/>
      <c r="AD458" s="802"/>
      <c r="AE458" s="802"/>
      <c r="AF458" s="802"/>
      <c r="AG458" s="802"/>
      <c r="AH458" s="382"/>
      <c r="AI458" s="382"/>
      <c r="AJ458" s="382"/>
      <c r="AK458" s="382"/>
      <c r="AL458" s="382"/>
      <c r="AM458" s="382"/>
      <c r="AN458" s="382"/>
      <c r="AO458" s="382"/>
      <c r="AP458" s="382"/>
      <c r="AQ458" s="382"/>
      <c r="AR458" s="382"/>
      <c r="AS458" s="382"/>
      <c r="AT458" s="382"/>
      <c r="AU458" s="382"/>
      <c r="AV458" s="382"/>
      <c r="AW458" s="382"/>
      <c r="AX458" s="382"/>
      <c r="AY458" s="382"/>
      <c r="AZ458" s="382"/>
      <c r="BA458" s="382"/>
      <c r="BB458" s="382"/>
      <c r="BC458" s="382"/>
      <c r="BD458" s="382"/>
      <c r="BE458" s="382"/>
      <c r="BF458" s="382"/>
      <c r="BG458" s="382"/>
      <c r="BH458" s="382"/>
      <c r="BI458" s="382"/>
      <c r="BJ458" s="382"/>
      <c r="BK458" s="382"/>
      <c r="BL458" s="382"/>
      <c r="BM458" s="382"/>
      <c r="BN458" s="382"/>
      <c r="BO458" s="382"/>
      <c r="BP458" s="382"/>
      <c r="BQ458" s="382"/>
      <c r="BR458" s="382"/>
      <c r="BS458" s="382"/>
      <c r="BT458" s="382"/>
      <c r="BU458" s="496"/>
      <c r="BV458" s="382"/>
      <c r="BW458" s="382"/>
      <c r="BX458" s="382"/>
      <c r="BY458" s="382"/>
      <c r="BZ458" s="382"/>
      <c r="CA458" s="382"/>
      <c r="CB458" s="382"/>
      <c r="CC458" s="382"/>
      <c r="CD458" s="382"/>
      <c r="CE458" s="382"/>
      <c r="CF458" s="382"/>
      <c r="CG458" s="382"/>
      <c r="CH458" s="382"/>
      <c r="CI458" s="382"/>
      <c r="CJ458" s="382"/>
      <c r="CK458" s="382"/>
      <c r="CL458" s="382"/>
      <c r="CM458" s="382"/>
      <c r="CN458" s="382"/>
      <c r="CO458" s="382"/>
      <c r="CP458" s="382"/>
      <c r="CQ458" s="382"/>
      <c r="CR458" s="382"/>
      <c r="CS458" s="382"/>
      <c r="CT458" s="382"/>
      <c r="CU458" s="382"/>
      <c r="CV458" s="382"/>
      <c r="CW458" s="800"/>
      <c r="CX458" s="382"/>
      <c r="CY458" s="382"/>
      <c r="CZ458" s="382"/>
      <c r="DA458" s="382"/>
      <c r="DB458" s="382"/>
      <c r="DC458" s="382"/>
      <c r="DD458" s="382"/>
      <c r="DE458" s="382"/>
      <c r="DF458" s="382"/>
      <c r="DG458" s="382"/>
      <c r="DH458" s="382"/>
      <c r="DI458" s="382"/>
      <c r="DJ458" s="382"/>
      <c r="DK458" s="382"/>
      <c r="DL458" s="382"/>
      <c r="DM458" s="382"/>
      <c r="DN458" s="382"/>
      <c r="DO458" s="382"/>
      <c r="DP458" s="382"/>
      <c r="DQ458" s="382"/>
      <c r="DR458" s="382"/>
      <c r="DS458" s="382"/>
      <c r="DT458" s="382"/>
      <c r="DU458" s="382"/>
      <c r="DV458" s="382"/>
      <c r="DW458" s="382"/>
      <c r="DX458" s="382"/>
      <c r="DY458" s="382"/>
      <c r="DZ458" s="228"/>
    </row>
    <row r="459" spans="2:130" s="180" customFormat="1" x14ac:dyDescent="0.2">
      <c r="B459" s="800"/>
      <c r="C459" s="800"/>
      <c r="D459" s="800"/>
      <c r="E459" s="769"/>
      <c r="F459" s="769"/>
      <c r="G459" s="802"/>
      <c r="H459" s="802"/>
      <c r="I459" s="802"/>
      <c r="J459" s="802"/>
      <c r="K459" s="802"/>
      <c r="L459" s="802"/>
      <c r="M459" s="802"/>
      <c r="N459" s="802"/>
      <c r="O459" s="802"/>
      <c r="P459" s="802"/>
      <c r="Q459" s="802"/>
      <c r="R459" s="802"/>
      <c r="S459" s="802"/>
      <c r="T459" s="802"/>
      <c r="U459" s="802"/>
      <c r="V459" s="802"/>
      <c r="W459" s="802"/>
      <c r="X459" s="802"/>
      <c r="Y459" s="802"/>
      <c r="Z459" s="802"/>
      <c r="AA459" s="802"/>
      <c r="AB459" s="802"/>
      <c r="AC459" s="802"/>
      <c r="AD459" s="802"/>
      <c r="AE459" s="802"/>
      <c r="AF459" s="802"/>
      <c r="AG459" s="802"/>
      <c r="AH459" s="382"/>
      <c r="AI459" s="382"/>
      <c r="AJ459" s="382"/>
      <c r="AK459" s="382"/>
      <c r="AL459" s="382"/>
      <c r="AM459" s="382"/>
      <c r="AN459" s="382"/>
      <c r="AO459" s="382"/>
      <c r="AP459" s="382"/>
      <c r="AQ459" s="382"/>
      <c r="AR459" s="382"/>
      <c r="AS459" s="382"/>
      <c r="AT459" s="382"/>
      <c r="AU459" s="382"/>
      <c r="AV459" s="382"/>
      <c r="AW459" s="382"/>
      <c r="AX459" s="382"/>
      <c r="AY459" s="382"/>
      <c r="AZ459" s="382"/>
      <c r="BA459" s="382"/>
      <c r="BB459" s="382"/>
      <c r="BC459" s="382"/>
      <c r="BD459" s="382"/>
      <c r="BE459" s="382"/>
      <c r="BF459" s="382"/>
      <c r="BG459" s="382"/>
      <c r="BH459" s="382"/>
      <c r="BI459" s="382"/>
      <c r="BJ459" s="382"/>
      <c r="BK459" s="382"/>
      <c r="BL459" s="382"/>
      <c r="BM459" s="382"/>
      <c r="BN459" s="382"/>
      <c r="BO459" s="382"/>
      <c r="BP459" s="382"/>
      <c r="BQ459" s="382"/>
      <c r="BR459" s="382"/>
      <c r="BS459" s="382"/>
      <c r="BT459" s="382"/>
      <c r="BU459" s="496"/>
      <c r="BV459" s="382"/>
      <c r="BW459" s="382"/>
      <c r="BX459" s="382"/>
      <c r="BY459" s="382"/>
      <c r="BZ459" s="382"/>
      <c r="CA459" s="382"/>
      <c r="CB459" s="382"/>
      <c r="CC459" s="382"/>
      <c r="CD459" s="382"/>
      <c r="CE459" s="382"/>
      <c r="CF459" s="382"/>
      <c r="CG459" s="382"/>
      <c r="CH459" s="382"/>
      <c r="CI459" s="382"/>
      <c r="CJ459" s="382"/>
      <c r="CK459" s="382"/>
      <c r="CL459" s="382"/>
      <c r="CM459" s="382"/>
      <c r="CN459" s="382"/>
      <c r="CO459" s="382"/>
      <c r="CP459" s="382"/>
      <c r="CQ459" s="382"/>
      <c r="CR459" s="382"/>
      <c r="CS459" s="382"/>
      <c r="CT459" s="382"/>
      <c r="CU459" s="382"/>
      <c r="CV459" s="382"/>
      <c r="CW459" s="800"/>
      <c r="CX459" s="382"/>
      <c r="CY459" s="382"/>
      <c r="CZ459" s="382"/>
      <c r="DA459" s="382"/>
      <c r="DB459" s="382"/>
      <c r="DC459" s="382"/>
      <c r="DD459" s="382"/>
      <c r="DE459" s="382"/>
      <c r="DF459" s="382"/>
      <c r="DG459" s="382"/>
      <c r="DH459" s="382"/>
      <c r="DI459" s="382"/>
      <c r="DJ459" s="382"/>
      <c r="DK459" s="382"/>
      <c r="DL459" s="382"/>
      <c r="DM459" s="382"/>
      <c r="DN459" s="382"/>
      <c r="DO459" s="382"/>
      <c r="DP459" s="382"/>
      <c r="DQ459" s="382"/>
      <c r="DR459" s="382"/>
      <c r="DS459" s="382"/>
      <c r="DT459" s="382"/>
      <c r="DU459" s="382"/>
      <c r="DV459" s="382"/>
      <c r="DW459" s="382"/>
      <c r="DX459" s="382"/>
      <c r="DY459" s="382"/>
      <c r="DZ459" s="228"/>
    </row>
    <row r="460" spans="2:130" s="180" customFormat="1" x14ac:dyDescent="0.2">
      <c r="B460" s="800"/>
      <c r="C460" s="800"/>
      <c r="D460" s="800"/>
      <c r="E460" s="769"/>
      <c r="F460" s="769"/>
      <c r="G460" s="802"/>
      <c r="H460" s="802"/>
      <c r="I460" s="802"/>
      <c r="J460" s="802"/>
      <c r="K460" s="802"/>
      <c r="L460" s="802"/>
      <c r="M460" s="802"/>
      <c r="N460" s="802"/>
      <c r="O460" s="802"/>
      <c r="P460" s="802"/>
      <c r="Q460" s="802"/>
      <c r="R460" s="802"/>
      <c r="S460" s="802"/>
      <c r="T460" s="802"/>
      <c r="U460" s="802"/>
      <c r="V460" s="802"/>
      <c r="W460" s="802"/>
      <c r="X460" s="802"/>
      <c r="Y460" s="802"/>
      <c r="Z460" s="802"/>
      <c r="AA460" s="802"/>
      <c r="AB460" s="802"/>
      <c r="AC460" s="802"/>
      <c r="AD460" s="802"/>
      <c r="AE460" s="802"/>
      <c r="AF460" s="802"/>
      <c r="AG460" s="802"/>
      <c r="AH460" s="382"/>
      <c r="AI460" s="382"/>
      <c r="AJ460" s="382"/>
      <c r="AK460" s="382"/>
      <c r="AL460" s="382"/>
      <c r="AM460" s="382"/>
      <c r="AN460" s="382"/>
      <c r="AO460" s="382"/>
      <c r="AP460" s="382"/>
      <c r="AQ460" s="382"/>
      <c r="AR460" s="382"/>
      <c r="AS460" s="382"/>
      <c r="AT460" s="382"/>
      <c r="AU460" s="382"/>
      <c r="AV460" s="382"/>
      <c r="AW460" s="382"/>
      <c r="AX460" s="382"/>
      <c r="AY460" s="382"/>
      <c r="AZ460" s="382"/>
      <c r="BA460" s="382"/>
      <c r="BB460" s="382"/>
      <c r="BC460" s="382"/>
      <c r="BD460" s="382"/>
      <c r="BE460" s="382"/>
      <c r="BF460" s="382"/>
      <c r="BG460" s="382"/>
      <c r="BH460" s="382"/>
      <c r="BI460" s="382"/>
      <c r="BJ460" s="382"/>
      <c r="BK460" s="382"/>
      <c r="BL460" s="382"/>
      <c r="BM460" s="382"/>
      <c r="BN460" s="382"/>
      <c r="BO460" s="382"/>
      <c r="BP460" s="382"/>
      <c r="BQ460" s="382"/>
      <c r="BR460" s="382"/>
      <c r="BS460" s="382"/>
      <c r="BT460" s="382"/>
      <c r="BU460" s="496"/>
      <c r="BV460" s="382"/>
      <c r="BW460" s="382"/>
      <c r="BX460" s="382"/>
      <c r="BY460" s="382"/>
      <c r="BZ460" s="382"/>
      <c r="CA460" s="382"/>
      <c r="CB460" s="382"/>
      <c r="CC460" s="382"/>
      <c r="CD460" s="382"/>
      <c r="CE460" s="382"/>
      <c r="CF460" s="382"/>
      <c r="CG460" s="382"/>
      <c r="CH460" s="382"/>
      <c r="CI460" s="382"/>
      <c r="CJ460" s="382"/>
      <c r="CK460" s="382"/>
      <c r="CL460" s="382"/>
      <c r="CM460" s="382"/>
      <c r="CN460" s="382"/>
      <c r="CO460" s="382"/>
      <c r="CP460" s="382"/>
      <c r="CQ460" s="382"/>
      <c r="CR460" s="382"/>
      <c r="CS460" s="382"/>
      <c r="CT460" s="382"/>
      <c r="CU460" s="382"/>
      <c r="CV460" s="382"/>
      <c r="CW460" s="800"/>
      <c r="CX460" s="382"/>
      <c r="CY460" s="382"/>
      <c r="CZ460" s="382"/>
      <c r="DA460" s="382"/>
      <c r="DB460" s="382"/>
      <c r="DC460" s="382"/>
      <c r="DD460" s="382"/>
      <c r="DE460" s="382"/>
      <c r="DF460" s="382"/>
      <c r="DG460" s="382"/>
      <c r="DH460" s="382"/>
      <c r="DI460" s="382"/>
      <c r="DJ460" s="382"/>
      <c r="DK460" s="382"/>
      <c r="DL460" s="382"/>
      <c r="DM460" s="382"/>
      <c r="DN460" s="382"/>
      <c r="DO460" s="382"/>
      <c r="DP460" s="382"/>
      <c r="DQ460" s="382"/>
      <c r="DR460" s="382"/>
      <c r="DS460" s="382"/>
      <c r="DT460" s="382"/>
      <c r="DU460" s="382"/>
      <c r="DV460" s="382"/>
      <c r="DW460" s="382"/>
      <c r="DX460" s="382"/>
      <c r="DY460" s="382"/>
      <c r="DZ460" s="228"/>
    </row>
    <row r="461" spans="2:130" s="180" customFormat="1" x14ac:dyDescent="0.2">
      <c r="B461" s="800"/>
      <c r="C461" s="800"/>
      <c r="D461" s="800"/>
      <c r="E461" s="769"/>
      <c r="F461" s="769"/>
      <c r="G461" s="802"/>
      <c r="H461" s="802"/>
      <c r="I461" s="802"/>
      <c r="J461" s="802"/>
      <c r="K461" s="802"/>
      <c r="L461" s="802"/>
      <c r="M461" s="802"/>
      <c r="N461" s="802"/>
      <c r="O461" s="802"/>
      <c r="P461" s="802"/>
      <c r="Q461" s="802"/>
      <c r="R461" s="802"/>
      <c r="S461" s="802"/>
      <c r="T461" s="802"/>
      <c r="U461" s="802"/>
      <c r="V461" s="802"/>
      <c r="W461" s="802"/>
      <c r="X461" s="802"/>
      <c r="Y461" s="802"/>
      <c r="Z461" s="802"/>
      <c r="AA461" s="802"/>
      <c r="AB461" s="802"/>
      <c r="AC461" s="802"/>
      <c r="AD461" s="802"/>
      <c r="AE461" s="802"/>
      <c r="AF461" s="802"/>
      <c r="AG461" s="802"/>
      <c r="AH461" s="382"/>
      <c r="AI461" s="382"/>
      <c r="AJ461" s="382"/>
      <c r="AK461" s="382"/>
      <c r="AL461" s="382"/>
      <c r="AM461" s="382"/>
      <c r="AN461" s="382"/>
      <c r="AO461" s="382"/>
      <c r="AP461" s="382"/>
      <c r="AQ461" s="382"/>
      <c r="AR461" s="382"/>
      <c r="AS461" s="382"/>
      <c r="AT461" s="382"/>
      <c r="AU461" s="382"/>
      <c r="AV461" s="382"/>
      <c r="AW461" s="382"/>
      <c r="AX461" s="382"/>
      <c r="AY461" s="382"/>
      <c r="AZ461" s="382"/>
      <c r="BA461" s="382"/>
      <c r="BB461" s="382"/>
      <c r="BC461" s="382"/>
      <c r="BD461" s="382"/>
      <c r="BE461" s="382"/>
      <c r="BF461" s="382"/>
      <c r="BG461" s="382"/>
      <c r="BH461" s="382"/>
      <c r="BI461" s="382"/>
      <c r="BJ461" s="382"/>
      <c r="BK461" s="382"/>
      <c r="BL461" s="382"/>
      <c r="BM461" s="382"/>
      <c r="BN461" s="382"/>
      <c r="BO461" s="382"/>
      <c r="BP461" s="382"/>
      <c r="BQ461" s="382"/>
      <c r="BR461" s="382"/>
      <c r="BS461" s="382"/>
      <c r="BT461" s="382"/>
      <c r="BU461" s="496"/>
      <c r="BV461" s="382"/>
      <c r="BW461" s="382"/>
      <c r="BX461" s="382"/>
      <c r="BY461" s="382"/>
      <c r="BZ461" s="382"/>
      <c r="CA461" s="382"/>
      <c r="CB461" s="382"/>
      <c r="CC461" s="382"/>
      <c r="CD461" s="382"/>
      <c r="CE461" s="382"/>
      <c r="CF461" s="382"/>
      <c r="CG461" s="382"/>
      <c r="CH461" s="382"/>
      <c r="CI461" s="382"/>
      <c r="CJ461" s="382"/>
      <c r="CK461" s="382"/>
      <c r="CL461" s="382"/>
      <c r="CM461" s="382"/>
      <c r="CN461" s="382"/>
      <c r="CO461" s="382"/>
      <c r="CP461" s="382"/>
      <c r="CQ461" s="382"/>
      <c r="CR461" s="382"/>
      <c r="CS461" s="382"/>
      <c r="CT461" s="382"/>
      <c r="CU461" s="382"/>
      <c r="CV461" s="382"/>
      <c r="CW461" s="800"/>
      <c r="CX461" s="382"/>
      <c r="CY461" s="382"/>
      <c r="CZ461" s="382"/>
      <c r="DA461" s="382"/>
      <c r="DB461" s="382"/>
      <c r="DC461" s="382"/>
      <c r="DD461" s="382"/>
      <c r="DE461" s="382"/>
      <c r="DF461" s="382"/>
      <c r="DG461" s="382"/>
      <c r="DH461" s="382"/>
      <c r="DI461" s="382"/>
      <c r="DJ461" s="382"/>
      <c r="DK461" s="382"/>
      <c r="DL461" s="382"/>
      <c r="DM461" s="382"/>
      <c r="DN461" s="382"/>
      <c r="DO461" s="382"/>
      <c r="DP461" s="382"/>
      <c r="DQ461" s="382"/>
      <c r="DR461" s="382"/>
      <c r="DS461" s="382"/>
      <c r="DT461" s="382"/>
      <c r="DU461" s="382"/>
      <c r="DV461" s="382"/>
      <c r="DW461" s="382"/>
      <c r="DX461" s="382"/>
      <c r="DY461" s="382"/>
      <c r="DZ461" s="228"/>
    </row>
    <row r="462" spans="2:130" s="180" customFormat="1" x14ac:dyDescent="0.2">
      <c r="B462" s="800"/>
      <c r="C462" s="800"/>
      <c r="D462" s="800"/>
      <c r="E462" s="769"/>
      <c r="F462" s="769"/>
      <c r="G462" s="802"/>
      <c r="H462" s="802"/>
      <c r="I462" s="802"/>
      <c r="J462" s="802"/>
      <c r="K462" s="802"/>
      <c r="L462" s="802"/>
      <c r="M462" s="802"/>
      <c r="N462" s="802"/>
      <c r="O462" s="802"/>
      <c r="P462" s="802"/>
      <c r="Q462" s="802"/>
      <c r="R462" s="802"/>
      <c r="S462" s="802"/>
      <c r="T462" s="802"/>
      <c r="U462" s="802"/>
      <c r="V462" s="802"/>
      <c r="W462" s="802"/>
      <c r="X462" s="802"/>
      <c r="Y462" s="802"/>
      <c r="Z462" s="802"/>
      <c r="AA462" s="802"/>
      <c r="AB462" s="802"/>
      <c r="AC462" s="802"/>
      <c r="AD462" s="802"/>
      <c r="AE462" s="802"/>
      <c r="AF462" s="802"/>
      <c r="AG462" s="802"/>
      <c r="AH462" s="382"/>
      <c r="AI462" s="382"/>
      <c r="AJ462" s="382"/>
      <c r="AK462" s="382"/>
      <c r="AL462" s="382"/>
      <c r="AM462" s="382"/>
      <c r="AN462" s="382"/>
      <c r="AO462" s="382"/>
      <c r="AP462" s="382"/>
      <c r="AQ462" s="382"/>
      <c r="AR462" s="382"/>
      <c r="AS462" s="382"/>
      <c r="AT462" s="382"/>
      <c r="AU462" s="382"/>
      <c r="AV462" s="382"/>
      <c r="AW462" s="382"/>
      <c r="AX462" s="382"/>
      <c r="AY462" s="382"/>
      <c r="AZ462" s="382"/>
      <c r="BA462" s="382"/>
      <c r="BB462" s="382"/>
      <c r="BC462" s="382"/>
      <c r="BD462" s="382"/>
      <c r="BE462" s="382"/>
      <c r="BF462" s="382"/>
      <c r="BG462" s="382"/>
      <c r="BH462" s="382"/>
      <c r="BI462" s="382"/>
      <c r="BJ462" s="382"/>
      <c r="BK462" s="382"/>
      <c r="BL462" s="382"/>
      <c r="BM462" s="382"/>
      <c r="BN462" s="382"/>
      <c r="BO462" s="382"/>
      <c r="BP462" s="382"/>
      <c r="BQ462" s="382"/>
      <c r="BR462" s="382"/>
      <c r="BS462" s="382"/>
      <c r="BT462" s="382"/>
      <c r="BU462" s="496"/>
      <c r="BV462" s="382"/>
      <c r="BW462" s="382"/>
      <c r="BX462" s="382"/>
      <c r="BY462" s="382"/>
      <c r="BZ462" s="382"/>
      <c r="CA462" s="382"/>
      <c r="CB462" s="382"/>
      <c r="CC462" s="382"/>
      <c r="CD462" s="382"/>
      <c r="CE462" s="382"/>
      <c r="CF462" s="382"/>
      <c r="CG462" s="382"/>
      <c r="CH462" s="382"/>
      <c r="CI462" s="382"/>
      <c r="CJ462" s="382"/>
      <c r="CK462" s="382"/>
      <c r="CL462" s="382"/>
      <c r="CM462" s="382"/>
      <c r="CN462" s="382"/>
      <c r="CO462" s="382"/>
      <c r="CP462" s="382"/>
      <c r="CQ462" s="382"/>
      <c r="CR462" s="382"/>
      <c r="CS462" s="382"/>
      <c r="CT462" s="382"/>
      <c r="CU462" s="382"/>
      <c r="CV462" s="382"/>
      <c r="CW462" s="800"/>
      <c r="CX462" s="382"/>
      <c r="CY462" s="382"/>
      <c r="CZ462" s="382"/>
      <c r="DA462" s="382"/>
      <c r="DB462" s="382"/>
      <c r="DC462" s="382"/>
      <c r="DD462" s="382"/>
      <c r="DE462" s="382"/>
      <c r="DF462" s="382"/>
      <c r="DG462" s="382"/>
      <c r="DH462" s="382"/>
      <c r="DI462" s="382"/>
      <c r="DJ462" s="382"/>
      <c r="DK462" s="382"/>
      <c r="DL462" s="382"/>
      <c r="DM462" s="382"/>
      <c r="DN462" s="382"/>
      <c r="DO462" s="382"/>
      <c r="DP462" s="382"/>
      <c r="DQ462" s="382"/>
      <c r="DR462" s="382"/>
      <c r="DS462" s="382"/>
      <c r="DT462" s="382"/>
      <c r="DU462" s="382"/>
      <c r="DV462" s="382"/>
      <c r="DW462" s="382"/>
      <c r="DX462" s="382"/>
      <c r="DY462" s="382"/>
      <c r="DZ462" s="228"/>
    </row>
    <row r="463" spans="2:130" s="180" customFormat="1" x14ac:dyDescent="0.2">
      <c r="B463" s="800"/>
      <c r="C463" s="800"/>
      <c r="D463" s="800"/>
      <c r="E463" s="769"/>
      <c r="F463" s="769"/>
      <c r="G463" s="802"/>
      <c r="H463" s="802"/>
      <c r="I463" s="802"/>
      <c r="J463" s="802"/>
      <c r="K463" s="802"/>
      <c r="L463" s="802"/>
      <c r="M463" s="802"/>
      <c r="N463" s="802"/>
      <c r="O463" s="802"/>
      <c r="P463" s="802"/>
      <c r="Q463" s="802"/>
      <c r="R463" s="802"/>
      <c r="S463" s="802"/>
      <c r="T463" s="802"/>
      <c r="U463" s="802"/>
      <c r="V463" s="802"/>
      <c r="W463" s="802"/>
      <c r="X463" s="802"/>
      <c r="Y463" s="802"/>
      <c r="Z463" s="802"/>
      <c r="AA463" s="802"/>
      <c r="AB463" s="802"/>
      <c r="AC463" s="802"/>
      <c r="AD463" s="802"/>
      <c r="AE463" s="802"/>
      <c r="AF463" s="802"/>
      <c r="AG463" s="802"/>
      <c r="AH463" s="382"/>
      <c r="AI463" s="382"/>
      <c r="AJ463" s="382"/>
      <c r="AK463" s="382"/>
      <c r="AL463" s="382"/>
      <c r="AM463" s="382"/>
      <c r="AN463" s="382"/>
      <c r="AO463" s="382"/>
      <c r="AP463" s="382"/>
      <c r="AQ463" s="382"/>
      <c r="AR463" s="382"/>
      <c r="AS463" s="382"/>
      <c r="AT463" s="382"/>
      <c r="AU463" s="382"/>
      <c r="AV463" s="382"/>
      <c r="AW463" s="382"/>
      <c r="AX463" s="382"/>
      <c r="AY463" s="382"/>
      <c r="AZ463" s="382"/>
      <c r="BA463" s="382"/>
      <c r="BB463" s="382"/>
      <c r="BC463" s="382"/>
      <c r="BD463" s="382"/>
      <c r="BE463" s="382"/>
      <c r="BF463" s="382"/>
      <c r="BG463" s="382"/>
      <c r="BH463" s="382"/>
      <c r="BI463" s="382"/>
      <c r="BJ463" s="382"/>
      <c r="BK463" s="382"/>
      <c r="BL463" s="382"/>
      <c r="BM463" s="382"/>
      <c r="BN463" s="382"/>
      <c r="BO463" s="382"/>
      <c r="BP463" s="382"/>
      <c r="BQ463" s="382"/>
      <c r="BR463" s="382"/>
      <c r="BS463" s="382"/>
      <c r="BT463" s="382"/>
      <c r="BU463" s="496"/>
      <c r="BV463" s="382"/>
      <c r="BW463" s="382"/>
      <c r="BX463" s="382"/>
      <c r="BY463" s="382"/>
      <c r="BZ463" s="382"/>
      <c r="CA463" s="382"/>
      <c r="CB463" s="382"/>
      <c r="CC463" s="382"/>
      <c r="CD463" s="382"/>
      <c r="CE463" s="382"/>
      <c r="CF463" s="382"/>
      <c r="CG463" s="382"/>
      <c r="CH463" s="382"/>
      <c r="CI463" s="382"/>
      <c r="CJ463" s="382"/>
      <c r="CK463" s="382"/>
      <c r="CL463" s="382"/>
      <c r="CM463" s="382"/>
      <c r="CN463" s="382"/>
      <c r="CO463" s="382"/>
      <c r="CP463" s="382"/>
      <c r="CQ463" s="382"/>
      <c r="CR463" s="382"/>
      <c r="CS463" s="382"/>
      <c r="CT463" s="382"/>
      <c r="CU463" s="382"/>
      <c r="CV463" s="382"/>
      <c r="CW463" s="800"/>
      <c r="CX463" s="382"/>
      <c r="CY463" s="382"/>
      <c r="CZ463" s="382"/>
      <c r="DA463" s="382"/>
      <c r="DB463" s="382"/>
      <c r="DC463" s="382"/>
      <c r="DD463" s="382"/>
      <c r="DE463" s="382"/>
      <c r="DF463" s="382"/>
      <c r="DG463" s="382"/>
      <c r="DH463" s="382"/>
      <c r="DI463" s="382"/>
      <c r="DJ463" s="382"/>
      <c r="DK463" s="382"/>
      <c r="DL463" s="382"/>
      <c r="DM463" s="382"/>
      <c r="DN463" s="382"/>
      <c r="DO463" s="382"/>
      <c r="DP463" s="382"/>
      <c r="DQ463" s="382"/>
      <c r="DR463" s="382"/>
      <c r="DS463" s="382"/>
      <c r="DT463" s="382"/>
      <c r="DU463" s="382"/>
      <c r="DV463" s="382"/>
      <c r="DW463" s="382"/>
      <c r="DX463" s="382"/>
      <c r="DY463" s="382"/>
      <c r="DZ463" s="228"/>
    </row>
    <row r="464" spans="2:130" s="180" customFormat="1" x14ac:dyDescent="0.2">
      <c r="B464" s="800"/>
      <c r="C464" s="800"/>
      <c r="D464" s="800"/>
      <c r="E464" s="769"/>
      <c r="F464" s="769"/>
      <c r="G464" s="802"/>
      <c r="H464" s="802"/>
      <c r="I464" s="802"/>
      <c r="J464" s="802"/>
      <c r="K464" s="802"/>
      <c r="L464" s="802"/>
      <c r="M464" s="802"/>
      <c r="N464" s="802"/>
      <c r="O464" s="802"/>
      <c r="P464" s="802"/>
      <c r="Q464" s="802"/>
      <c r="R464" s="802"/>
      <c r="S464" s="802"/>
      <c r="T464" s="802"/>
      <c r="U464" s="802"/>
      <c r="V464" s="802"/>
      <c r="W464" s="802"/>
      <c r="X464" s="802"/>
      <c r="Y464" s="802"/>
      <c r="Z464" s="802"/>
      <c r="AA464" s="802"/>
      <c r="AB464" s="802"/>
      <c r="AC464" s="802"/>
      <c r="AD464" s="802"/>
      <c r="AE464" s="802"/>
      <c r="AF464" s="802"/>
      <c r="AG464" s="802"/>
      <c r="AH464" s="382"/>
      <c r="AI464" s="382"/>
      <c r="AJ464" s="382"/>
      <c r="AK464" s="382"/>
      <c r="AL464" s="382"/>
      <c r="AM464" s="382"/>
      <c r="AN464" s="382"/>
      <c r="AO464" s="382"/>
      <c r="AP464" s="382"/>
      <c r="AQ464" s="382"/>
      <c r="AR464" s="382"/>
      <c r="AS464" s="382"/>
      <c r="AT464" s="382"/>
      <c r="AU464" s="382"/>
      <c r="AV464" s="382"/>
      <c r="AW464" s="382"/>
      <c r="AX464" s="382"/>
      <c r="AY464" s="382"/>
      <c r="AZ464" s="382"/>
      <c r="BA464" s="382"/>
      <c r="BB464" s="382"/>
      <c r="BC464" s="382"/>
      <c r="BD464" s="382"/>
      <c r="BE464" s="382"/>
      <c r="BF464" s="382"/>
      <c r="BG464" s="382"/>
      <c r="BH464" s="382"/>
      <c r="BI464" s="382"/>
      <c r="BJ464" s="382"/>
      <c r="BK464" s="382"/>
      <c r="BL464" s="382"/>
      <c r="BM464" s="382"/>
      <c r="BN464" s="382"/>
      <c r="BO464" s="382"/>
      <c r="BP464" s="382"/>
      <c r="BQ464" s="382"/>
      <c r="BR464" s="382"/>
      <c r="BS464" s="382"/>
      <c r="BT464" s="382"/>
      <c r="BU464" s="496"/>
      <c r="BV464" s="382"/>
      <c r="BW464" s="382"/>
      <c r="BX464" s="382"/>
      <c r="BY464" s="382"/>
      <c r="BZ464" s="382"/>
      <c r="CA464" s="382"/>
      <c r="CB464" s="382"/>
      <c r="CC464" s="382"/>
      <c r="CD464" s="382"/>
      <c r="CE464" s="382"/>
      <c r="CF464" s="382"/>
      <c r="CG464" s="382"/>
      <c r="CH464" s="382"/>
      <c r="CI464" s="382"/>
      <c r="CJ464" s="382"/>
      <c r="CK464" s="382"/>
      <c r="CL464" s="382"/>
      <c r="CM464" s="382"/>
      <c r="CN464" s="382"/>
      <c r="CO464" s="382"/>
      <c r="CP464" s="382"/>
      <c r="CQ464" s="382"/>
      <c r="CR464" s="382"/>
      <c r="CS464" s="382"/>
      <c r="CT464" s="382"/>
      <c r="CU464" s="382"/>
      <c r="CV464" s="382"/>
      <c r="CW464" s="800"/>
      <c r="CX464" s="382"/>
      <c r="CY464" s="382"/>
      <c r="CZ464" s="382"/>
      <c r="DA464" s="382"/>
      <c r="DB464" s="382"/>
      <c r="DC464" s="382"/>
      <c r="DD464" s="382"/>
      <c r="DE464" s="382"/>
      <c r="DF464" s="382"/>
      <c r="DG464" s="382"/>
      <c r="DH464" s="382"/>
      <c r="DI464" s="382"/>
      <c r="DJ464" s="382"/>
      <c r="DK464" s="382"/>
      <c r="DL464" s="382"/>
      <c r="DM464" s="382"/>
      <c r="DN464" s="382"/>
      <c r="DO464" s="382"/>
      <c r="DP464" s="382"/>
      <c r="DQ464" s="382"/>
      <c r="DR464" s="382"/>
      <c r="DS464" s="382"/>
      <c r="DT464" s="382"/>
      <c r="DU464" s="382"/>
      <c r="DV464" s="382"/>
      <c r="DW464" s="382"/>
      <c r="DX464" s="382"/>
      <c r="DY464" s="382"/>
      <c r="DZ464" s="228"/>
    </row>
    <row r="465" spans="2:130" s="180" customFormat="1" x14ac:dyDescent="0.2">
      <c r="B465" s="800"/>
      <c r="C465" s="800"/>
      <c r="D465" s="800"/>
      <c r="E465" s="769"/>
      <c r="F465" s="769"/>
      <c r="G465" s="802"/>
      <c r="H465" s="802"/>
      <c r="I465" s="802"/>
      <c r="J465" s="802"/>
      <c r="K465" s="802"/>
      <c r="L465" s="802"/>
      <c r="M465" s="802"/>
      <c r="N465" s="802"/>
      <c r="O465" s="802"/>
      <c r="P465" s="802"/>
      <c r="Q465" s="802"/>
      <c r="R465" s="802"/>
      <c r="S465" s="802"/>
      <c r="T465" s="802"/>
      <c r="U465" s="802"/>
      <c r="V465" s="802"/>
      <c r="W465" s="802"/>
      <c r="X465" s="802"/>
      <c r="Y465" s="802"/>
      <c r="Z465" s="802"/>
      <c r="AA465" s="802"/>
      <c r="AB465" s="802"/>
      <c r="AC465" s="802"/>
      <c r="AD465" s="802"/>
      <c r="AE465" s="802"/>
      <c r="AF465" s="802"/>
      <c r="AG465" s="802"/>
      <c r="AH465" s="382"/>
      <c r="AI465" s="382"/>
      <c r="AJ465" s="382"/>
      <c r="AK465" s="382"/>
      <c r="AL465" s="382"/>
      <c r="AM465" s="382"/>
      <c r="AN465" s="382"/>
      <c r="AO465" s="382"/>
      <c r="AP465" s="382"/>
      <c r="AQ465" s="382"/>
      <c r="AR465" s="382"/>
      <c r="AS465" s="382"/>
      <c r="AT465" s="382"/>
      <c r="AU465" s="382"/>
      <c r="AV465" s="382"/>
      <c r="AW465" s="382"/>
      <c r="AX465" s="382"/>
      <c r="AY465" s="382"/>
      <c r="AZ465" s="382"/>
      <c r="BA465" s="382"/>
      <c r="BB465" s="382"/>
      <c r="BC465" s="382"/>
      <c r="BD465" s="382"/>
      <c r="BE465" s="382"/>
      <c r="BF465" s="382"/>
      <c r="BG465" s="382"/>
      <c r="BH465" s="382"/>
      <c r="BI465" s="382"/>
      <c r="BJ465" s="382"/>
      <c r="BK465" s="382"/>
      <c r="BL465" s="382"/>
      <c r="BM465" s="382"/>
      <c r="BN465" s="382"/>
      <c r="BO465" s="382"/>
      <c r="BP465" s="382"/>
      <c r="BQ465" s="382"/>
      <c r="BR465" s="382"/>
      <c r="BS465" s="382"/>
      <c r="BT465" s="382"/>
      <c r="BU465" s="496"/>
      <c r="BV465" s="382"/>
      <c r="BW465" s="382"/>
      <c r="BX465" s="382"/>
      <c r="BY465" s="382"/>
      <c r="BZ465" s="382"/>
      <c r="CA465" s="382"/>
      <c r="CB465" s="382"/>
      <c r="CC465" s="382"/>
      <c r="CD465" s="382"/>
      <c r="CE465" s="382"/>
      <c r="CF465" s="382"/>
      <c r="CG465" s="382"/>
      <c r="CH465" s="382"/>
      <c r="CI465" s="382"/>
      <c r="CJ465" s="382"/>
      <c r="CK465" s="382"/>
      <c r="CL465" s="382"/>
      <c r="CM465" s="382"/>
      <c r="CN465" s="382"/>
      <c r="CO465" s="382"/>
      <c r="CP465" s="382"/>
      <c r="CQ465" s="382"/>
      <c r="CR465" s="382"/>
      <c r="CS465" s="382"/>
      <c r="CT465" s="382"/>
      <c r="CU465" s="382"/>
      <c r="CV465" s="382"/>
      <c r="CW465" s="800"/>
      <c r="CX465" s="382"/>
      <c r="CY465" s="382"/>
      <c r="CZ465" s="382"/>
      <c r="DA465" s="382"/>
      <c r="DB465" s="382"/>
      <c r="DC465" s="382"/>
      <c r="DD465" s="382"/>
      <c r="DE465" s="382"/>
      <c r="DF465" s="382"/>
      <c r="DG465" s="382"/>
      <c r="DH465" s="382"/>
      <c r="DI465" s="382"/>
      <c r="DJ465" s="382"/>
      <c r="DK465" s="382"/>
      <c r="DL465" s="382"/>
      <c r="DM465" s="382"/>
      <c r="DN465" s="382"/>
      <c r="DO465" s="382"/>
      <c r="DP465" s="382"/>
      <c r="DQ465" s="382"/>
      <c r="DR465" s="382"/>
      <c r="DS465" s="382"/>
      <c r="DT465" s="382"/>
      <c r="DU465" s="382"/>
      <c r="DV465" s="382"/>
      <c r="DW465" s="382"/>
      <c r="DX465" s="382"/>
      <c r="DY465" s="382"/>
      <c r="DZ465" s="228"/>
    </row>
    <row r="466" spans="2:130" s="180" customFormat="1" x14ac:dyDescent="0.2">
      <c r="B466" s="800"/>
      <c r="C466" s="800"/>
      <c r="D466" s="800"/>
      <c r="E466" s="769"/>
      <c r="F466" s="769"/>
      <c r="G466" s="802"/>
      <c r="H466" s="802"/>
      <c r="I466" s="802"/>
      <c r="J466" s="802"/>
      <c r="K466" s="802"/>
      <c r="L466" s="802"/>
      <c r="M466" s="802"/>
      <c r="N466" s="802"/>
      <c r="O466" s="802"/>
      <c r="P466" s="802"/>
      <c r="Q466" s="802"/>
      <c r="R466" s="802"/>
      <c r="S466" s="802"/>
      <c r="T466" s="802"/>
      <c r="U466" s="802"/>
      <c r="V466" s="802"/>
      <c r="W466" s="802"/>
      <c r="X466" s="802"/>
      <c r="Y466" s="802"/>
      <c r="Z466" s="802"/>
      <c r="AA466" s="802"/>
      <c r="AB466" s="802"/>
      <c r="AC466" s="802"/>
      <c r="AD466" s="802"/>
      <c r="AE466" s="802"/>
      <c r="AF466" s="802"/>
      <c r="AG466" s="802"/>
      <c r="AH466" s="382"/>
      <c r="AI466" s="382"/>
      <c r="AJ466" s="382"/>
      <c r="AK466" s="382"/>
      <c r="AL466" s="382"/>
      <c r="AM466" s="382"/>
      <c r="AN466" s="382"/>
      <c r="AO466" s="382"/>
      <c r="AP466" s="382"/>
      <c r="AQ466" s="382"/>
      <c r="AR466" s="382"/>
      <c r="AS466" s="382"/>
      <c r="AT466" s="382"/>
      <c r="AU466" s="382"/>
      <c r="AV466" s="382"/>
      <c r="AW466" s="382"/>
      <c r="AX466" s="382"/>
      <c r="AY466" s="382"/>
      <c r="AZ466" s="382"/>
      <c r="BA466" s="382"/>
      <c r="BB466" s="382"/>
      <c r="BC466" s="382"/>
      <c r="BD466" s="382"/>
      <c r="BE466" s="382"/>
      <c r="BF466" s="382"/>
      <c r="BG466" s="382"/>
      <c r="BH466" s="382"/>
      <c r="BI466" s="382"/>
      <c r="BJ466" s="382"/>
      <c r="BK466" s="382"/>
      <c r="BL466" s="382"/>
      <c r="BM466" s="382"/>
      <c r="BN466" s="382"/>
      <c r="BO466" s="382"/>
      <c r="BP466" s="382"/>
      <c r="BQ466" s="382"/>
      <c r="BR466" s="382"/>
      <c r="BS466" s="382"/>
      <c r="BT466" s="382"/>
      <c r="BU466" s="496"/>
      <c r="BV466" s="382"/>
      <c r="BW466" s="382"/>
      <c r="BX466" s="382"/>
      <c r="BY466" s="382"/>
      <c r="BZ466" s="382"/>
      <c r="CA466" s="382"/>
      <c r="CB466" s="382"/>
      <c r="CC466" s="382"/>
      <c r="CD466" s="382"/>
      <c r="CE466" s="382"/>
      <c r="CF466" s="382"/>
      <c r="CG466" s="382"/>
      <c r="CH466" s="382"/>
      <c r="CI466" s="382"/>
      <c r="CJ466" s="382"/>
      <c r="CK466" s="382"/>
      <c r="CL466" s="382"/>
      <c r="CM466" s="382"/>
      <c r="CN466" s="382"/>
      <c r="CO466" s="382"/>
      <c r="CP466" s="382"/>
      <c r="CQ466" s="382"/>
      <c r="CR466" s="382"/>
      <c r="CS466" s="382"/>
      <c r="CT466" s="382"/>
      <c r="CU466" s="382"/>
      <c r="CV466" s="382"/>
      <c r="CW466" s="800"/>
      <c r="CX466" s="382"/>
      <c r="CY466" s="382"/>
      <c r="CZ466" s="382"/>
      <c r="DA466" s="382"/>
      <c r="DB466" s="382"/>
      <c r="DC466" s="382"/>
      <c r="DD466" s="382"/>
      <c r="DE466" s="382"/>
      <c r="DF466" s="382"/>
      <c r="DG466" s="382"/>
      <c r="DH466" s="382"/>
      <c r="DI466" s="382"/>
      <c r="DJ466" s="382"/>
      <c r="DK466" s="382"/>
      <c r="DL466" s="382"/>
      <c r="DM466" s="382"/>
      <c r="DN466" s="382"/>
      <c r="DO466" s="382"/>
      <c r="DP466" s="382"/>
      <c r="DQ466" s="382"/>
      <c r="DR466" s="382"/>
      <c r="DS466" s="382"/>
      <c r="DT466" s="382"/>
      <c r="DU466" s="382"/>
      <c r="DV466" s="382"/>
      <c r="DW466" s="382"/>
      <c r="DX466" s="382"/>
      <c r="DY466" s="382"/>
      <c r="DZ466" s="228"/>
    </row>
    <row r="467" spans="2:130" s="180" customFormat="1" x14ac:dyDescent="0.2">
      <c r="B467" s="800"/>
      <c r="C467" s="800"/>
      <c r="D467" s="800"/>
      <c r="E467" s="769"/>
      <c r="F467" s="769"/>
      <c r="G467" s="802"/>
      <c r="H467" s="802"/>
      <c r="I467" s="802"/>
      <c r="J467" s="802"/>
      <c r="K467" s="802"/>
      <c r="L467" s="802"/>
      <c r="M467" s="802"/>
      <c r="N467" s="802"/>
      <c r="O467" s="802"/>
      <c r="P467" s="802"/>
      <c r="Q467" s="802"/>
      <c r="R467" s="802"/>
      <c r="S467" s="802"/>
      <c r="T467" s="802"/>
      <c r="U467" s="802"/>
      <c r="V467" s="802"/>
      <c r="W467" s="802"/>
      <c r="X467" s="802"/>
      <c r="Y467" s="802"/>
      <c r="Z467" s="802"/>
      <c r="AA467" s="802"/>
      <c r="AB467" s="802"/>
      <c r="AC467" s="802"/>
      <c r="AD467" s="802"/>
      <c r="AE467" s="802"/>
      <c r="AF467" s="802"/>
      <c r="AG467" s="802"/>
      <c r="AH467" s="382"/>
      <c r="AI467" s="382"/>
      <c r="AJ467" s="382"/>
      <c r="AK467" s="382"/>
      <c r="AL467" s="382"/>
      <c r="AM467" s="382"/>
      <c r="AN467" s="382"/>
      <c r="AO467" s="382"/>
      <c r="AP467" s="382"/>
      <c r="AQ467" s="382"/>
      <c r="AR467" s="382"/>
      <c r="AS467" s="382"/>
      <c r="AT467" s="382"/>
      <c r="AU467" s="382"/>
      <c r="AV467" s="382"/>
      <c r="AW467" s="382"/>
      <c r="AX467" s="382"/>
      <c r="AY467" s="382"/>
      <c r="AZ467" s="382"/>
      <c r="BA467" s="382"/>
      <c r="BB467" s="382"/>
      <c r="BC467" s="382"/>
      <c r="BD467" s="382"/>
      <c r="BE467" s="382"/>
      <c r="BF467" s="382"/>
      <c r="BG467" s="382"/>
      <c r="BH467" s="382"/>
      <c r="BI467" s="382"/>
      <c r="BJ467" s="382"/>
      <c r="BK467" s="382"/>
      <c r="BL467" s="382"/>
      <c r="BM467" s="382"/>
      <c r="BN467" s="382"/>
      <c r="BO467" s="382"/>
      <c r="BP467" s="382"/>
      <c r="BQ467" s="382"/>
      <c r="BR467" s="382"/>
      <c r="BS467" s="382"/>
      <c r="BT467" s="382"/>
      <c r="BU467" s="496"/>
      <c r="BV467" s="382"/>
      <c r="BW467" s="382"/>
      <c r="BX467" s="382"/>
      <c r="BY467" s="382"/>
      <c r="BZ467" s="382"/>
      <c r="CA467" s="382"/>
      <c r="CB467" s="382"/>
      <c r="CC467" s="382"/>
      <c r="CD467" s="382"/>
      <c r="CE467" s="382"/>
      <c r="CF467" s="382"/>
      <c r="CG467" s="382"/>
      <c r="CH467" s="382"/>
      <c r="CI467" s="382"/>
      <c r="CJ467" s="382"/>
      <c r="CK467" s="382"/>
      <c r="CL467" s="382"/>
      <c r="CM467" s="382"/>
      <c r="CN467" s="382"/>
      <c r="CO467" s="382"/>
      <c r="CP467" s="382"/>
      <c r="CQ467" s="382"/>
      <c r="CR467" s="382"/>
      <c r="CS467" s="382"/>
      <c r="CT467" s="382"/>
      <c r="CU467" s="382"/>
      <c r="CV467" s="382"/>
      <c r="CW467" s="800"/>
      <c r="CX467" s="382"/>
      <c r="CY467" s="382"/>
      <c r="CZ467" s="382"/>
      <c r="DA467" s="382"/>
      <c r="DB467" s="382"/>
      <c r="DC467" s="382"/>
      <c r="DD467" s="382"/>
      <c r="DE467" s="382"/>
      <c r="DF467" s="382"/>
      <c r="DG467" s="382"/>
      <c r="DH467" s="382"/>
      <c r="DI467" s="382"/>
      <c r="DJ467" s="382"/>
      <c r="DK467" s="382"/>
      <c r="DL467" s="382"/>
      <c r="DM467" s="382"/>
      <c r="DN467" s="382"/>
      <c r="DO467" s="382"/>
      <c r="DP467" s="382"/>
      <c r="DQ467" s="382"/>
      <c r="DR467" s="382"/>
      <c r="DS467" s="382"/>
      <c r="DT467" s="382"/>
      <c r="DU467" s="382"/>
      <c r="DV467" s="382"/>
      <c r="DW467" s="382"/>
      <c r="DX467" s="382"/>
      <c r="DY467" s="382"/>
      <c r="DZ467" s="228"/>
    </row>
    <row r="468" spans="2:130" s="180" customFormat="1" x14ac:dyDescent="0.2">
      <c r="B468" s="800"/>
      <c r="C468" s="800"/>
      <c r="D468" s="800"/>
      <c r="E468" s="769"/>
      <c r="F468" s="769"/>
      <c r="G468" s="802"/>
      <c r="H468" s="802"/>
      <c r="I468" s="802"/>
      <c r="J468" s="802"/>
      <c r="K468" s="802"/>
      <c r="L468" s="802"/>
      <c r="M468" s="802"/>
      <c r="N468" s="802"/>
      <c r="O468" s="802"/>
      <c r="P468" s="802"/>
      <c r="Q468" s="802"/>
      <c r="R468" s="802"/>
      <c r="S468" s="802"/>
      <c r="T468" s="802"/>
      <c r="U468" s="802"/>
      <c r="V468" s="802"/>
      <c r="W468" s="802"/>
      <c r="X468" s="802"/>
      <c r="Y468" s="802"/>
      <c r="Z468" s="802"/>
      <c r="AA468" s="802"/>
      <c r="AB468" s="802"/>
      <c r="AC468" s="802"/>
      <c r="AD468" s="802"/>
      <c r="AE468" s="802"/>
      <c r="AF468" s="802"/>
      <c r="AG468" s="802"/>
      <c r="AH468" s="382"/>
      <c r="AI468" s="382"/>
      <c r="AJ468" s="382"/>
      <c r="AK468" s="382"/>
      <c r="AL468" s="382"/>
      <c r="AM468" s="382"/>
      <c r="AN468" s="382"/>
      <c r="AO468" s="382"/>
      <c r="AP468" s="382"/>
      <c r="AQ468" s="382"/>
      <c r="AR468" s="382"/>
      <c r="AS468" s="382"/>
      <c r="AT468" s="382"/>
      <c r="AU468" s="382"/>
      <c r="AV468" s="382"/>
      <c r="AW468" s="382"/>
      <c r="AX468" s="382"/>
      <c r="AY468" s="382"/>
      <c r="AZ468" s="382"/>
      <c r="BA468" s="382"/>
      <c r="BB468" s="382"/>
      <c r="BC468" s="382"/>
      <c r="BD468" s="382"/>
      <c r="BE468" s="382"/>
      <c r="BF468" s="382"/>
      <c r="BG468" s="382"/>
      <c r="BH468" s="382"/>
      <c r="BI468" s="382"/>
      <c r="BJ468" s="382"/>
      <c r="BK468" s="382"/>
      <c r="BL468" s="382"/>
      <c r="BM468" s="382"/>
      <c r="BN468" s="382"/>
      <c r="BO468" s="382"/>
      <c r="BP468" s="382"/>
      <c r="BQ468" s="382"/>
      <c r="BR468" s="382"/>
      <c r="BS468" s="382"/>
      <c r="BT468" s="382"/>
      <c r="BU468" s="496"/>
      <c r="BV468" s="382"/>
      <c r="BW468" s="382"/>
      <c r="BX468" s="382"/>
      <c r="BY468" s="382"/>
      <c r="BZ468" s="382"/>
      <c r="CA468" s="382"/>
      <c r="CB468" s="382"/>
      <c r="CC468" s="382"/>
      <c r="CD468" s="382"/>
      <c r="CE468" s="382"/>
      <c r="CF468" s="382"/>
      <c r="CG468" s="382"/>
      <c r="CH468" s="382"/>
      <c r="CI468" s="382"/>
      <c r="CJ468" s="382"/>
      <c r="CK468" s="382"/>
      <c r="CL468" s="382"/>
      <c r="CM468" s="382"/>
      <c r="CN468" s="382"/>
      <c r="CO468" s="382"/>
      <c r="CP468" s="382"/>
      <c r="CQ468" s="382"/>
      <c r="CR468" s="382"/>
      <c r="CS468" s="382"/>
      <c r="CT468" s="382"/>
      <c r="CU468" s="382"/>
      <c r="CV468" s="382"/>
      <c r="CW468" s="800"/>
      <c r="CX468" s="382"/>
      <c r="CY468" s="382"/>
      <c r="CZ468" s="382"/>
      <c r="DA468" s="382"/>
      <c r="DB468" s="382"/>
      <c r="DC468" s="382"/>
      <c r="DD468" s="382"/>
      <c r="DE468" s="382"/>
      <c r="DF468" s="382"/>
      <c r="DG468" s="382"/>
      <c r="DH468" s="382"/>
      <c r="DI468" s="382"/>
      <c r="DJ468" s="382"/>
      <c r="DK468" s="382"/>
      <c r="DL468" s="382"/>
      <c r="DM468" s="382"/>
      <c r="DN468" s="382"/>
      <c r="DO468" s="382"/>
      <c r="DP468" s="382"/>
      <c r="DQ468" s="382"/>
      <c r="DR468" s="382"/>
      <c r="DS468" s="382"/>
      <c r="DT468" s="382"/>
      <c r="DU468" s="382"/>
      <c r="DV468" s="382"/>
      <c r="DW468" s="382"/>
      <c r="DX468" s="382"/>
      <c r="DY468" s="382"/>
      <c r="DZ468" s="228"/>
    </row>
    <row r="469" spans="2:130" s="180" customFormat="1" x14ac:dyDescent="0.2">
      <c r="B469" s="800"/>
      <c r="C469" s="800"/>
      <c r="D469" s="800"/>
      <c r="E469" s="769"/>
      <c r="F469" s="769"/>
      <c r="G469" s="802"/>
      <c r="H469" s="802"/>
      <c r="I469" s="802"/>
      <c r="J469" s="802"/>
      <c r="K469" s="802"/>
      <c r="L469" s="802"/>
      <c r="M469" s="802"/>
      <c r="N469" s="802"/>
      <c r="O469" s="802"/>
      <c r="P469" s="802"/>
      <c r="Q469" s="802"/>
      <c r="R469" s="802"/>
      <c r="S469" s="802"/>
      <c r="T469" s="802"/>
      <c r="U469" s="802"/>
      <c r="V469" s="802"/>
      <c r="W469" s="802"/>
      <c r="X469" s="802"/>
      <c r="Y469" s="802"/>
      <c r="Z469" s="802"/>
      <c r="AA469" s="802"/>
      <c r="AB469" s="802"/>
      <c r="AC469" s="802"/>
      <c r="AD469" s="802"/>
      <c r="AE469" s="802"/>
      <c r="AF469" s="802"/>
      <c r="AG469" s="802"/>
      <c r="AH469" s="382"/>
      <c r="AI469" s="382"/>
      <c r="AJ469" s="382"/>
      <c r="AK469" s="382"/>
      <c r="AL469" s="382"/>
      <c r="AM469" s="382"/>
      <c r="AN469" s="382"/>
      <c r="AO469" s="382"/>
      <c r="AP469" s="382"/>
      <c r="AQ469" s="382"/>
      <c r="AR469" s="382"/>
      <c r="AS469" s="382"/>
      <c r="AT469" s="382"/>
      <c r="AU469" s="382"/>
      <c r="AV469" s="382"/>
      <c r="AW469" s="382"/>
      <c r="AX469" s="382"/>
      <c r="AY469" s="382"/>
      <c r="AZ469" s="382"/>
      <c r="BA469" s="382"/>
      <c r="BB469" s="382"/>
      <c r="BC469" s="382"/>
      <c r="BD469" s="382"/>
      <c r="BE469" s="382"/>
      <c r="BF469" s="382"/>
      <c r="BG469" s="382"/>
      <c r="BH469" s="382"/>
      <c r="BI469" s="382"/>
      <c r="BJ469" s="382"/>
      <c r="BK469" s="382"/>
      <c r="BL469" s="382"/>
      <c r="BM469" s="382"/>
      <c r="BN469" s="382"/>
      <c r="BO469" s="382"/>
      <c r="BP469" s="382"/>
      <c r="BQ469" s="382"/>
      <c r="BR469" s="382"/>
      <c r="BS469" s="382"/>
      <c r="BT469" s="382"/>
      <c r="BU469" s="496"/>
      <c r="BV469" s="382"/>
      <c r="BW469" s="382"/>
      <c r="BX469" s="382"/>
      <c r="BY469" s="382"/>
      <c r="BZ469" s="382"/>
      <c r="CA469" s="382"/>
      <c r="CB469" s="382"/>
      <c r="CC469" s="382"/>
      <c r="CD469" s="382"/>
      <c r="CE469" s="382"/>
      <c r="CF469" s="382"/>
      <c r="CG469" s="382"/>
      <c r="CH469" s="382"/>
      <c r="CI469" s="382"/>
      <c r="CJ469" s="382"/>
      <c r="CK469" s="382"/>
      <c r="CL469" s="382"/>
      <c r="CM469" s="382"/>
      <c r="CN469" s="382"/>
      <c r="CO469" s="382"/>
      <c r="CP469" s="382"/>
      <c r="CQ469" s="382"/>
      <c r="CR469" s="382"/>
      <c r="CS469" s="382"/>
      <c r="CT469" s="382"/>
      <c r="CU469" s="382"/>
      <c r="CV469" s="382"/>
      <c r="CW469" s="800"/>
      <c r="CX469" s="382"/>
      <c r="CY469" s="382"/>
      <c r="CZ469" s="382"/>
      <c r="DA469" s="382"/>
      <c r="DB469" s="382"/>
      <c r="DC469" s="382"/>
      <c r="DD469" s="382"/>
      <c r="DE469" s="382"/>
      <c r="DF469" s="382"/>
      <c r="DG469" s="382"/>
      <c r="DH469" s="382"/>
      <c r="DI469" s="382"/>
      <c r="DJ469" s="382"/>
      <c r="DK469" s="382"/>
      <c r="DL469" s="382"/>
      <c r="DM469" s="382"/>
      <c r="DN469" s="382"/>
      <c r="DO469" s="382"/>
      <c r="DP469" s="382"/>
      <c r="DQ469" s="382"/>
      <c r="DR469" s="382"/>
      <c r="DS469" s="382"/>
      <c r="DT469" s="382"/>
      <c r="DU469" s="382"/>
      <c r="DV469" s="382"/>
      <c r="DW469" s="382"/>
      <c r="DX469" s="382"/>
      <c r="DY469" s="382"/>
      <c r="DZ469" s="228"/>
    </row>
    <row r="470" spans="2:130" s="180" customFormat="1" x14ac:dyDescent="0.2">
      <c r="B470" s="800"/>
      <c r="C470" s="800"/>
      <c r="D470" s="800"/>
      <c r="E470" s="769"/>
      <c r="F470" s="769"/>
      <c r="G470" s="802"/>
      <c r="H470" s="802"/>
      <c r="I470" s="802"/>
      <c r="J470" s="802"/>
      <c r="K470" s="802"/>
      <c r="L470" s="802"/>
      <c r="M470" s="802"/>
      <c r="N470" s="802"/>
      <c r="O470" s="802"/>
      <c r="P470" s="802"/>
      <c r="Q470" s="802"/>
      <c r="R470" s="802"/>
      <c r="S470" s="802"/>
      <c r="T470" s="802"/>
      <c r="U470" s="802"/>
      <c r="V470" s="802"/>
      <c r="W470" s="802"/>
      <c r="X470" s="802"/>
      <c r="Y470" s="802"/>
      <c r="Z470" s="802"/>
      <c r="AA470" s="802"/>
      <c r="AB470" s="802"/>
      <c r="AC470" s="802"/>
      <c r="AD470" s="802"/>
      <c r="AE470" s="802"/>
      <c r="AF470" s="802"/>
      <c r="AG470" s="802"/>
      <c r="AH470" s="382"/>
      <c r="AI470" s="382"/>
      <c r="AJ470" s="382"/>
      <c r="AK470" s="382"/>
      <c r="AL470" s="382"/>
      <c r="AM470" s="382"/>
      <c r="AN470" s="382"/>
      <c r="AO470" s="382"/>
      <c r="AP470" s="382"/>
      <c r="AQ470" s="382"/>
      <c r="AR470" s="382"/>
      <c r="AS470" s="382"/>
      <c r="AT470" s="382"/>
      <c r="AU470" s="382"/>
      <c r="AV470" s="382"/>
      <c r="AW470" s="382"/>
      <c r="AX470" s="382"/>
      <c r="AY470" s="382"/>
      <c r="AZ470" s="382"/>
      <c r="BA470" s="382"/>
      <c r="BB470" s="382"/>
      <c r="BC470" s="382"/>
      <c r="BD470" s="382"/>
      <c r="BE470" s="382"/>
      <c r="BF470" s="382"/>
      <c r="BG470" s="382"/>
      <c r="BH470" s="382"/>
      <c r="BI470" s="382"/>
      <c r="BJ470" s="382"/>
      <c r="BK470" s="382"/>
      <c r="BL470" s="382"/>
      <c r="BM470" s="382"/>
      <c r="BN470" s="382"/>
      <c r="BO470" s="382"/>
      <c r="BP470" s="382"/>
      <c r="BQ470" s="382"/>
      <c r="BR470" s="382"/>
      <c r="BS470" s="382"/>
      <c r="BT470" s="382"/>
      <c r="BU470" s="496"/>
      <c r="BV470" s="382"/>
      <c r="BW470" s="382"/>
      <c r="BX470" s="382"/>
      <c r="BY470" s="382"/>
      <c r="BZ470" s="382"/>
      <c r="CA470" s="382"/>
      <c r="CB470" s="382"/>
      <c r="CC470" s="382"/>
      <c r="CD470" s="382"/>
      <c r="CE470" s="382"/>
      <c r="CF470" s="382"/>
      <c r="CG470" s="382"/>
      <c r="CH470" s="382"/>
      <c r="CI470" s="382"/>
      <c r="CJ470" s="382"/>
      <c r="CK470" s="382"/>
      <c r="CL470" s="382"/>
      <c r="CM470" s="382"/>
      <c r="CN470" s="382"/>
      <c r="CO470" s="382"/>
      <c r="CP470" s="382"/>
      <c r="CQ470" s="382"/>
      <c r="CR470" s="382"/>
      <c r="CS470" s="382"/>
      <c r="CT470" s="382"/>
      <c r="CU470" s="382"/>
      <c r="CV470" s="382"/>
      <c r="CW470" s="800"/>
      <c r="CX470" s="382"/>
      <c r="CY470" s="382"/>
      <c r="CZ470" s="382"/>
      <c r="DA470" s="382"/>
      <c r="DB470" s="382"/>
      <c r="DC470" s="382"/>
      <c r="DD470" s="382"/>
      <c r="DE470" s="382"/>
      <c r="DF470" s="382"/>
      <c r="DG470" s="382"/>
      <c r="DH470" s="382"/>
      <c r="DI470" s="382"/>
      <c r="DJ470" s="382"/>
      <c r="DK470" s="382"/>
      <c r="DL470" s="382"/>
      <c r="DM470" s="382"/>
      <c r="DN470" s="382"/>
      <c r="DO470" s="382"/>
      <c r="DP470" s="382"/>
      <c r="DQ470" s="382"/>
      <c r="DR470" s="382"/>
      <c r="DS470" s="382"/>
      <c r="DT470" s="382"/>
      <c r="DU470" s="382"/>
      <c r="DV470" s="382"/>
      <c r="DW470" s="382"/>
      <c r="DX470" s="382"/>
      <c r="DY470" s="382"/>
      <c r="DZ470" s="228"/>
    </row>
    <row r="471" spans="2:130" s="180" customFormat="1" x14ac:dyDescent="0.2">
      <c r="B471" s="800"/>
      <c r="C471" s="800"/>
      <c r="D471" s="800"/>
      <c r="E471" s="769"/>
      <c r="F471" s="769"/>
      <c r="G471" s="802"/>
      <c r="H471" s="802"/>
      <c r="I471" s="802"/>
      <c r="J471" s="802"/>
      <c r="K471" s="802"/>
      <c r="L471" s="802"/>
      <c r="M471" s="802"/>
      <c r="N471" s="802"/>
      <c r="O471" s="802"/>
      <c r="P471" s="802"/>
      <c r="Q471" s="802"/>
      <c r="R471" s="802"/>
      <c r="S471" s="802"/>
      <c r="T471" s="802"/>
      <c r="U471" s="802"/>
      <c r="V471" s="802"/>
      <c r="W471" s="802"/>
      <c r="X471" s="802"/>
      <c r="Y471" s="802"/>
      <c r="Z471" s="802"/>
      <c r="AA471" s="802"/>
      <c r="AB471" s="802"/>
      <c r="AC471" s="802"/>
      <c r="AD471" s="802"/>
      <c r="AE471" s="802"/>
      <c r="AF471" s="802"/>
      <c r="AG471" s="802"/>
      <c r="AH471" s="382"/>
      <c r="AI471" s="382"/>
      <c r="AJ471" s="382"/>
      <c r="AK471" s="382"/>
      <c r="AL471" s="382"/>
      <c r="AM471" s="382"/>
      <c r="AN471" s="382"/>
      <c r="AO471" s="382"/>
      <c r="AP471" s="382"/>
      <c r="AQ471" s="382"/>
      <c r="AR471" s="382"/>
      <c r="AS471" s="382"/>
      <c r="AT471" s="382"/>
      <c r="AU471" s="382"/>
      <c r="AV471" s="382"/>
      <c r="AW471" s="382"/>
      <c r="AX471" s="382"/>
      <c r="AY471" s="382"/>
      <c r="AZ471" s="382"/>
      <c r="BA471" s="382"/>
      <c r="BB471" s="382"/>
      <c r="BC471" s="382"/>
      <c r="BD471" s="382"/>
      <c r="BE471" s="382"/>
      <c r="BF471" s="382"/>
      <c r="BG471" s="382"/>
      <c r="BH471" s="382"/>
      <c r="BI471" s="382"/>
      <c r="BJ471" s="382"/>
      <c r="BK471" s="382"/>
      <c r="BL471" s="382"/>
      <c r="BM471" s="382"/>
      <c r="BN471" s="382"/>
      <c r="BO471" s="382"/>
      <c r="BP471" s="382"/>
      <c r="BQ471" s="382"/>
      <c r="BR471" s="382"/>
      <c r="BS471" s="382"/>
      <c r="BT471" s="382"/>
      <c r="BU471" s="496"/>
      <c r="BV471" s="382"/>
      <c r="BW471" s="382"/>
      <c r="BX471" s="382"/>
      <c r="BY471" s="382"/>
      <c r="BZ471" s="382"/>
      <c r="CA471" s="382"/>
      <c r="CB471" s="382"/>
      <c r="CC471" s="382"/>
      <c r="CD471" s="382"/>
      <c r="CE471" s="382"/>
      <c r="CF471" s="382"/>
      <c r="CG471" s="382"/>
      <c r="CH471" s="382"/>
      <c r="CI471" s="382"/>
      <c r="CJ471" s="382"/>
      <c r="CK471" s="382"/>
      <c r="CL471" s="382"/>
      <c r="CM471" s="382"/>
      <c r="CN471" s="382"/>
      <c r="CO471" s="382"/>
      <c r="CP471" s="382"/>
      <c r="CQ471" s="382"/>
      <c r="CR471" s="382"/>
      <c r="CS471" s="382"/>
      <c r="CT471" s="382"/>
      <c r="CU471" s="382"/>
      <c r="CV471" s="382"/>
      <c r="CW471" s="800"/>
      <c r="CX471" s="382"/>
      <c r="CY471" s="382"/>
      <c r="CZ471" s="382"/>
      <c r="DA471" s="382"/>
      <c r="DB471" s="382"/>
      <c r="DC471" s="382"/>
      <c r="DD471" s="382"/>
      <c r="DE471" s="382"/>
      <c r="DF471" s="382"/>
      <c r="DG471" s="382"/>
      <c r="DH471" s="382"/>
      <c r="DI471" s="382"/>
      <c r="DJ471" s="382"/>
      <c r="DK471" s="382"/>
      <c r="DL471" s="382"/>
      <c r="DM471" s="382"/>
      <c r="DN471" s="382"/>
      <c r="DO471" s="382"/>
      <c r="DP471" s="382"/>
      <c r="DQ471" s="382"/>
      <c r="DR471" s="382"/>
      <c r="DS471" s="382"/>
      <c r="DT471" s="382"/>
      <c r="DU471" s="382"/>
      <c r="DV471" s="382"/>
      <c r="DW471" s="382"/>
      <c r="DX471" s="382"/>
      <c r="DY471" s="382"/>
      <c r="DZ471" s="228"/>
    </row>
    <row r="472" spans="2:130" s="180" customFormat="1" x14ac:dyDescent="0.2">
      <c r="B472" s="800"/>
      <c r="C472" s="800"/>
      <c r="D472" s="800"/>
      <c r="E472" s="769"/>
      <c r="F472" s="769"/>
      <c r="G472" s="802"/>
      <c r="H472" s="802"/>
      <c r="I472" s="802"/>
      <c r="J472" s="802"/>
      <c r="K472" s="802"/>
      <c r="L472" s="802"/>
      <c r="M472" s="802"/>
      <c r="N472" s="802"/>
      <c r="O472" s="802"/>
      <c r="P472" s="802"/>
      <c r="Q472" s="802"/>
      <c r="R472" s="802"/>
      <c r="S472" s="802"/>
      <c r="T472" s="802"/>
      <c r="U472" s="802"/>
      <c r="V472" s="802"/>
      <c r="W472" s="802"/>
      <c r="X472" s="802"/>
      <c r="Y472" s="802"/>
      <c r="Z472" s="802"/>
      <c r="AA472" s="802"/>
      <c r="AB472" s="802"/>
      <c r="AC472" s="802"/>
      <c r="AD472" s="802"/>
      <c r="AE472" s="802"/>
      <c r="AF472" s="802"/>
      <c r="AG472" s="802"/>
      <c r="AH472" s="382"/>
      <c r="AI472" s="382"/>
      <c r="AJ472" s="382"/>
      <c r="AK472" s="382"/>
      <c r="AL472" s="382"/>
      <c r="AM472" s="382"/>
      <c r="AN472" s="382"/>
      <c r="AO472" s="382"/>
      <c r="AP472" s="382"/>
      <c r="AQ472" s="382"/>
      <c r="AR472" s="382"/>
      <c r="AS472" s="382"/>
      <c r="AT472" s="382"/>
      <c r="AU472" s="382"/>
      <c r="AV472" s="382"/>
      <c r="AW472" s="382"/>
      <c r="AX472" s="382"/>
      <c r="AY472" s="382"/>
      <c r="AZ472" s="382"/>
      <c r="BA472" s="382"/>
      <c r="BB472" s="382"/>
      <c r="BC472" s="382"/>
      <c r="BD472" s="382"/>
      <c r="BE472" s="382"/>
      <c r="BF472" s="382"/>
      <c r="BG472" s="382"/>
      <c r="BH472" s="382"/>
      <c r="BI472" s="382"/>
      <c r="BJ472" s="382"/>
      <c r="BK472" s="382"/>
      <c r="BL472" s="382"/>
      <c r="BM472" s="382"/>
      <c r="BN472" s="382"/>
      <c r="BO472" s="382"/>
      <c r="BP472" s="382"/>
      <c r="BQ472" s="382"/>
      <c r="BR472" s="382"/>
      <c r="BS472" s="382"/>
      <c r="BT472" s="382"/>
      <c r="BU472" s="496"/>
      <c r="BV472" s="382"/>
      <c r="BW472" s="382"/>
      <c r="BX472" s="382"/>
      <c r="BY472" s="382"/>
      <c r="BZ472" s="382"/>
      <c r="CA472" s="382"/>
      <c r="CB472" s="382"/>
      <c r="CC472" s="382"/>
      <c r="CD472" s="382"/>
      <c r="CE472" s="382"/>
      <c r="CF472" s="382"/>
      <c r="CG472" s="382"/>
      <c r="CH472" s="382"/>
      <c r="CI472" s="382"/>
      <c r="CJ472" s="382"/>
      <c r="CK472" s="382"/>
      <c r="CL472" s="382"/>
      <c r="CM472" s="382"/>
      <c r="CN472" s="382"/>
      <c r="CO472" s="382"/>
      <c r="CP472" s="382"/>
      <c r="CQ472" s="382"/>
      <c r="CR472" s="382"/>
      <c r="CS472" s="382"/>
      <c r="CT472" s="382"/>
      <c r="CU472" s="382"/>
      <c r="CV472" s="382"/>
      <c r="CW472" s="800"/>
      <c r="CX472" s="382"/>
      <c r="CY472" s="382"/>
      <c r="CZ472" s="382"/>
      <c r="DA472" s="382"/>
      <c r="DB472" s="382"/>
      <c r="DC472" s="382"/>
      <c r="DD472" s="382"/>
      <c r="DE472" s="382"/>
      <c r="DF472" s="382"/>
      <c r="DG472" s="382"/>
      <c r="DH472" s="382"/>
      <c r="DI472" s="382"/>
      <c r="DJ472" s="382"/>
      <c r="DK472" s="382"/>
      <c r="DL472" s="382"/>
      <c r="DM472" s="382"/>
      <c r="DN472" s="382"/>
      <c r="DO472" s="382"/>
      <c r="DP472" s="382"/>
      <c r="DQ472" s="382"/>
      <c r="DR472" s="382"/>
      <c r="DS472" s="382"/>
      <c r="DT472" s="382"/>
      <c r="DU472" s="382"/>
      <c r="DV472" s="382"/>
      <c r="DW472" s="382"/>
      <c r="DX472" s="382"/>
      <c r="DY472" s="382"/>
      <c r="DZ472" s="228"/>
    </row>
    <row r="473" spans="2:130" s="180" customFormat="1" x14ac:dyDescent="0.2">
      <c r="B473" s="800"/>
      <c r="C473" s="800"/>
      <c r="D473" s="800"/>
      <c r="E473" s="769"/>
      <c r="F473" s="769"/>
      <c r="G473" s="802"/>
      <c r="H473" s="802"/>
      <c r="I473" s="802"/>
      <c r="J473" s="802"/>
      <c r="K473" s="802"/>
      <c r="L473" s="802"/>
      <c r="M473" s="802"/>
      <c r="N473" s="802"/>
      <c r="O473" s="802"/>
      <c r="P473" s="802"/>
      <c r="Q473" s="802"/>
      <c r="R473" s="802"/>
      <c r="S473" s="802"/>
      <c r="T473" s="802"/>
      <c r="U473" s="802"/>
      <c r="V473" s="802"/>
      <c r="W473" s="802"/>
      <c r="X473" s="802"/>
      <c r="Y473" s="802"/>
      <c r="Z473" s="802"/>
      <c r="AA473" s="802"/>
      <c r="AB473" s="802"/>
      <c r="AC473" s="802"/>
      <c r="AD473" s="802"/>
      <c r="AE473" s="802"/>
      <c r="AF473" s="802"/>
      <c r="AG473" s="802"/>
      <c r="AH473" s="382"/>
      <c r="AI473" s="382"/>
      <c r="AJ473" s="382"/>
      <c r="AK473" s="382"/>
      <c r="AL473" s="382"/>
      <c r="AM473" s="382"/>
      <c r="AN473" s="382"/>
      <c r="AO473" s="382"/>
      <c r="AP473" s="382"/>
      <c r="AQ473" s="382"/>
      <c r="AR473" s="382"/>
      <c r="AS473" s="382"/>
      <c r="AT473" s="382"/>
      <c r="AU473" s="382"/>
      <c r="AV473" s="382"/>
      <c r="AW473" s="382"/>
      <c r="AX473" s="382"/>
      <c r="AY473" s="382"/>
      <c r="AZ473" s="382"/>
      <c r="BA473" s="382"/>
      <c r="BB473" s="382"/>
      <c r="BC473" s="382"/>
      <c r="BD473" s="382"/>
      <c r="BE473" s="382"/>
      <c r="BF473" s="382"/>
      <c r="BG473" s="382"/>
      <c r="BH473" s="382"/>
      <c r="BI473" s="382"/>
      <c r="BJ473" s="382"/>
      <c r="BK473" s="382"/>
      <c r="BL473" s="382"/>
      <c r="BM473" s="382"/>
      <c r="BN473" s="382"/>
      <c r="BO473" s="382"/>
      <c r="BP473" s="382"/>
      <c r="BQ473" s="382"/>
      <c r="BR473" s="382"/>
      <c r="BS473" s="382"/>
      <c r="BT473" s="382"/>
      <c r="BU473" s="496"/>
      <c r="BV473" s="382"/>
      <c r="BW473" s="382"/>
      <c r="BX473" s="382"/>
      <c r="BY473" s="382"/>
      <c r="BZ473" s="382"/>
      <c r="CA473" s="382"/>
      <c r="CB473" s="382"/>
      <c r="CC473" s="382"/>
      <c r="CD473" s="382"/>
      <c r="CE473" s="382"/>
      <c r="CF473" s="382"/>
      <c r="CG473" s="382"/>
      <c r="CH473" s="382"/>
      <c r="CI473" s="382"/>
      <c r="CJ473" s="382"/>
      <c r="CK473" s="382"/>
      <c r="CL473" s="382"/>
      <c r="CM473" s="382"/>
      <c r="CN473" s="382"/>
      <c r="CO473" s="382"/>
      <c r="CP473" s="382"/>
      <c r="CQ473" s="382"/>
      <c r="CR473" s="382"/>
      <c r="CS473" s="382"/>
      <c r="CT473" s="382"/>
      <c r="CU473" s="382"/>
      <c r="CV473" s="382"/>
      <c r="CW473" s="800"/>
      <c r="CX473" s="382"/>
      <c r="CY473" s="382"/>
      <c r="CZ473" s="382"/>
      <c r="DA473" s="382"/>
      <c r="DB473" s="382"/>
      <c r="DC473" s="382"/>
      <c r="DD473" s="382"/>
      <c r="DE473" s="382"/>
      <c r="DF473" s="382"/>
      <c r="DG473" s="382"/>
      <c r="DH473" s="382"/>
      <c r="DI473" s="382"/>
      <c r="DJ473" s="382"/>
      <c r="DK473" s="382"/>
      <c r="DL473" s="382"/>
      <c r="DM473" s="382"/>
      <c r="DN473" s="382"/>
      <c r="DO473" s="382"/>
      <c r="DP473" s="382"/>
      <c r="DQ473" s="382"/>
      <c r="DR473" s="382"/>
      <c r="DS473" s="382"/>
      <c r="DT473" s="382"/>
      <c r="DU473" s="382"/>
      <c r="DV473" s="382"/>
      <c r="DW473" s="382"/>
      <c r="DX473" s="382"/>
      <c r="DY473" s="382"/>
      <c r="DZ473" s="228"/>
    </row>
    <row r="474" spans="2:130" s="180" customFormat="1" x14ac:dyDescent="0.2">
      <c r="B474" s="800"/>
      <c r="C474" s="800"/>
      <c r="D474" s="800"/>
      <c r="E474" s="769"/>
      <c r="F474" s="769"/>
      <c r="G474" s="802"/>
      <c r="H474" s="802"/>
      <c r="I474" s="802"/>
      <c r="J474" s="802"/>
      <c r="K474" s="802"/>
      <c r="L474" s="802"/>
      <c r="M474" s="802"/>
      <c r="N474" s="802"/>
      <c r="O474" s="802"/>
      <c r="P474" s="802"/>
      <c r="Q474" s="802"/>
      <c r="R474" s="802"/>
      <c r="S474" s="802"/>
      <c r="T474" s="802"/>
      <c r="U474" s="802"/>
      <c r="V474" s="802"/>
      <c r="W474" s="802"/>
      <c r="X474" s="802"/>
      <c r="Y474" s="802"/>
      <c r="Z474" s="802"/>
      <c r="AA474" s="802"/>
      <c r="AB474" s="802"/>
      <c r="AC474" s="802"/>
      <c r="AD474" s="802"/>
      <c r="AE474" s="802"/>
      <c r="AF474" s="802"/>
      <c r="AG474" s="802"/>
      <c r="AH474" s="382"/>
      <c r="AI474" s="382"/>
      <c r="AJ474" s="382"/>
      <c r="AK474" s="382"/>
      <c r="AL474" s="382"/>
      <c r="AM474" s="382"/>
      <c r="AN474" s="382"/>
      <c r="AO474" s="382"/>
      <c r="AP474" s="382"/>
      <c r="AQ474" s="382"/>
      <c r="AR474" s="382"/>
      <c r="AS474" s="382"/>
      <c r="AT474" s="382"/>
      <c r="AU474" s="382"/>
      <c r="AV474" s="382"/>
      <c r="AW474" s="382"/>
      <c r="AX474" s="382"/>
      <c r="AY474" s="382"/>
      <c r="AZ474" s="382"/>
      <c r="BA474" s="382"/>
      <c r="BB474" s="382"/>
      <c r="BC474" s="382"/>
      <c r="BD474" s="382"/>
      <c r="BE474" s="382"/>
      <c r="BF474" s="382"/>
      <c r="BG474" s="382"/>
      <c r="BH474" s="382"/>
      <c r="BI474" s="382"/>
      <c r="BJ474" s="382"/>
      <c r="BK474" s="382"/>
      <c r="BL474" s="382"/>
      <c r="BM474" s="382"/>
      <c r="BN474" s="382"/>
      <c r="BO474" s="382"/>
      <c r="BP474" s="382"/>
      <c r="BQ474" s="382"/>
      <c r="BR474" s="382"/>
      <c r="BS474" s="382"/>
      <c r="BT474" s="382"/>
      <c r="BU474" s="496"/>
      <c r="BV474" s="382"/>
      <c r="BW474" s="382"/>
      <c r="BX474" s="382"/>
      <c r="BY474" s="382"/>
      <c r="BZ474" s="382"/>
      <c r="CA474" s="382"/>
      <c r="CB474" s="382"/>
      <c r="CC474" s="382"/>
      <c r="CD474" s="382"/>
      <c r="CE474" s="382"/>
      <c r="CF474" s="382"/>
      <c r="CG474" s="382"/>
      <c r="CH474" s="382"/>
      <c r="CI474" s="382"/>
      <c r="CJ474" s="382"/>
      <c r="CK474" s="382"/>
      <c r="CL474" s="382"/>
      <c r="CM474" s="382"/>
      <c r="CN474" s="382"/>
      <c r="CO474" s="382"/>
      <c r="CP474" s="382"/>
      <c r="CQ474" s="382"/>
      <c r="CR474" s="382"/>
      <c r="CS474" s="382"/>
      <c r="CT474" s="382"/>
      <c r="CU474" s="382"/>
      <c r="CV474" s="382"/>
      <c r="CW474" s="800"/>
      <c r="CX474" s="382"/>
      <c r="CY474" s="382"/>
      <c r="CZ474" s="382"/>
      <c r="DA474" s="382"/>
      <c r="DB474" s="382"/>
      <c r="DC474" s="382"/>
      <c r="DD474" s="382"/>
      <c r="DE474" s="382"/>
      <c r="DF474" s="382"/>
      <c r="DG474" s="382"/>
      <c r="DH474" s="382"/>
      <c r="DI474" s="382"/>
      <c r="DJ474" s="382"/>
      <c r="DK474" s="382"/>
      <c r="DL474" s="382"/>
      <c r="DM474" s="382"/>
      <c r="DN474" s="382"/>
      <c r="DO474" s="382"/>
      <c r="DP474" s="382"/>
      <c r="DQ474" s="382"/>
      <c r="DR474" s="382"/>
      <c r="DS474" s="382"/>
      <c r="DT474" s="382"/>
      <c r="DU474" s="382"/>
      <c r="DV474" s="382"/>
      <c r="DW474" s="382"/>
      <c r="DX474" s="382"/>
      <c r="DY474" s="382"/>
      <c r="DZ474" s="228"/>
    </row>
    <row r="475" spans="2:130" s="180" customFormat="1" x14ac:dyDescent="0.2">
      <c r="B475" s="800"/>
      <c r="C475" s="800"/>
      <c r="D475" s="800"/>
      <c r="E475" s="769"/>
      <c r="F475" s="769"/>
      <c r="G475" s="802"/>
      <c r="H475" s="802"/>
      <c r="I475" s="802"/>
      <c r="J475" s="802"/>
      <c r="K475" s="802"/>
      <c r="L475" s="802"/>
      <c r="M475" s="802"/>
      <c r="N475" s="802"/>
      <c r="O475" s="802"/>
      <c r="P475" s="802"/>
      <c r="Q475" s="802"/>
      <c r="R475" s="802"/>
      <c r="S475" s="802"/>
      <c r="T475" s="802"/>
      <c r="U475" s="802"/>
      <c r="V475" s="802"/>
      <c r="W475" s="802"/>
      <c r="X475" s="802"/>
      <c r="Y475" s="802"/>
      <c r="Z475" s="802"/>
      <c r="AA475" s="802"/>
      <c r="AB475" s="802"/>
      <c r="AC475" s="802"/>
      <c r="AD475" s="802"/>
      <c r="AE475" s="802"/>
      <c r="AF475" s="802"/>
      <c r="AG475" s="802"/>
      <c r="AH475" s="382"/>
      <c r="AI475" s="382"/>
      <c r="AJ475" s="382"/>
      <c r="AK475" s="382"/>
      <c r="AL475" s="382"/>
      <c r="AM475" s="382"/>
      <c r="AN475" s="382"/>
      <c r="AO475" s="382"/>
      <c r="AP475" s="382"/>
      <c r="AQ475" s="382"/>
      <c r="AR475" s="382"/>
      <c r="AS475" s="382"/>
      <c r="AT475" s="382"/>
      <c r="AU475" s="382"/>
      <c r="AV475" s="382"/>
      <c r="AW475" s="382"/>
      <c r="AX475" s="382"/>
      <c r="AY475" s="382"/>
      <c r="AZ475" s="382"/>
      <c r="BA475" s="382"/>
      <c r="BB475" s="382"/>
      <c r="BC475" s="382"/>
      <c r="BD475" s="382"/>
      <c r="BE475" s="382"/>
      <c r="BF475" s="382"/>
      <c r="BG475" s="382"/>
      <c r="BH475" s="382"/>
      <c r="BI475" s="382"/>
      <c r="BJ475" s="382"/>
      <c r="BK475" s="382"/>
      <c r="BL475" s="382"/>
      <c r="BM475" s="382"/>
      <c r="BN475" s="382"/>
      <c r="BO475" s="382"/>
      <c r="BP475" s="382"/>
      <c r="BQ475" s="382"/>
      <c r="BR475" s="382"/>
      <c r="BS475" s="382"/>
      <c r="BT475" s="382"/>
      <c r="BU475" s="496"/>
      <c r="BV475" s="382"/>
      <c r="BW475" s="382"/>
      <c r="BX475" s="382"/>
      <c r="BY475" s="382"/>
      <c r="BZ475" s="382"/>
      <c r="CA475" s="382"/>
      <c r="CB475" s="382"/>
      <c r="CC475" s="382"/>
      <c r="CD475" s="382"/>
      <c r="CE475" s="382"/>
      <c r="CF475" s="382"/>
      <c r="CG475" s="382"/>
      <c r="CH475" s="382"/>
      <c r="CI475" s="382"/>
      <c r="CJ475" s="382"/>
      <c r="CK475" s="382"/>
      <c r="CL475" s="382"/>
      <c r="CM475" s="382"/>
      <c r="CN475" s="382"/>
      <c r="CO475" s="382"/>
      <c r="CP475" s="382"/>
      <c r="CQ475" s="382"/>
      <c r="CR475" s="382"/>
      <c r="CS475" s="382"/>
      <c r="CT475" s="382"/>
      <c r="CU475" s="382"/>
      <c r="CV475" s="382"/>
      <c r="CW475" s="800"/>
      <c r="CX475" s="382"/>
      <c r="CY475" s="382"/>
      <c r="CZ475" s="382"/>
      <c r="DA475" s="382"/>
      <c r="DB475" s="382"/>
      <c r="DC475" s="382"/>
      <c r="DD475" s="382"/>
      <c r="DE475" s="382"/>
      <c r="DF475" s="382"/>
      <c r="DG475" s="382"/>
      <c r="DH475" s="382"/>
      <c r="DI475" s="382"/>
      <c r="DJ475" s="382"/>
      <c r="DK475" s="382"/>
      <c r="DL475" s="382"/>
      <c r="DM475" s="382"/>
      <c r="DN475" s="382"/>
      <c r="DO475" s="382"/>
      <c r="DP475" s="382"/>
      <c r="DQ475" s="382"/>
      <c r="DR475" s="382"/>
      <c r="DS475" s="382"/>
      <c r="DT475" s="382"/>
      <c r="DU475" s="382"/>
      <c r="DV475" s="382"/>
      <c r="DW475" s="382"/>
      <c r="DX475" s="382"/>
      <c r="DY475" s="382"/>
      <c r="DZ475" s="228"/>
    </row>
    <row r="476" spans="2:130" s="180" customFormat="1" x14ac:dyDescent="0.2">
      <c r="B476" s="800"/>
      <c r="C476" s="800"/>
      <c r="D476" s="800"/>
      <c r="E476" s="769"/>
      <c r="F476" s="769"/>
      <c r="G476" s="802"/>
      <c r="H476" s="802"/>
      <c r="I476" s="802"/>
      <c r="J476" s="802"/>
      <c r="K476" s="802"/>
      <c r="L476" s="802"/>
      <c r="M476" s="802"/>
      <c r="N476" s="802"/>
      <c r="O476" s="802"/>
      <c r="P476" s="802"/>
      <c r="Q476" s="802"/>
      <c r="R476" s="802"/>
      <c r="S476" s="802"/>
      <c r="T476" s="802"/>
      <c r="U476" s="802"/>
      <c r="V476" s="802"/>
      <c r="W476" s="802"/>
      <c r="X476" s="802"/>
      <c r="Y476" s="802"/>
      <c r="Z476" s="802"/>
      <c r="AA476" s="802"/>
      <c r="AB476" s="802"/>
      <c r="AC476" s="802"/>
      <c r="AD476" s="802"/>
      <c r="AE476" s="802"/>
      <c r="AF476" s="802"/>
      <c r="AG476" s="802"/>
      <c r="AH476" s="382"/>
      <c r="AI476" s="382"/>
      <c r="AJ476" s="382"/>
      <c r="AK476" s="382"/>
      <c r="AL476" s="382"/>
      <c r="AM476" s="382"/>
      <c r="AN476" s="382"/>
      <c r="AO476" s="382"/>
      <c r="AP476" s="382"/>
      <c r="AQ476" s="382"/>
      <c r="AR476" s="382"/>
      <c r="AS476" s="382"/>
      <c r="AT476" s="382"/>
      <c r="AU476" s="382"/>
      <c r="AV476" s="382"/>
      <c r="AW476" s="382"/>
      <c r="AX476" s="382"/>
      <c r="AY476" s="382"/>
      <c r="AZ476" s="382"/>
      <c r="BA476" s="382"/>
      <c r="BB476" s="382"/>
      <c r="BC476" s="382"/>
      <c r="BD476" s="382"/>
      <c r="BE476" s="382"/>
      <c r="BF476" s="382"/>
      <c r="BG476" s="382"/>
      <c r="BH476" s="382"/>
      <c r="BI476" s="382"/>
      <c r="BJ476" s="382"/>
      <c r="BK476" s="382"/>
      <c r="BL476" s="382"/>
      <c r="BM476" s="382"/>
      <c r="BN476" s="382"/>
      <c r="BO476" s="382"/>
      <c r="BP476" s="382"/>
      <c r="BQ476" s="382"/>
      <c r="BR476" s="382"/>
      <c r="BS476" s="382"/>
      <c r="BT476" s="382"/>
      <c r="BU476" s="496"/>
      <c r="BV476" s="382"/>
      <c r="BW476" s="382"/>
      <c r="BX476" s="382"/>
      <c r="BY476" s="382"/>
      <c r="BZ476" s="382"/>
      <c r="CA476" s="382"/>
      <c r="CB476" s="382"/>
      <c r="CC476" s="382"/>
      <c r="CD476" s="382"/>
      <c r="CE476" s="382"/>
      <c r="CF476" s="382"/>
      <c r="CG476" s="382"/>
      <c r="CH476" s="382"/>
      <c r="CI476" s="382"/>
      <c r="CJ476" s="382"/>
      <c r="CK476" s="382"/>
      <c r="CL476" s="382"/>
      <c r="CM476" s="382"/>
      <c r="CN476" s="382"/>
      <c r="CO476" s="382"/>
      <c r="CP476" s="382"/>
      <c r="CQ476" s="382"/>
      <c r="CR476" s="382"/>
      <c r="CS476" s="382"/>
      <c r="CT476" s="382"/>
      <c r="CU476" s="382"/>
      <c r="CV476" s="382"/>
      <c r="CW476" s="800"/>
      <c r="CX476" s="382"/>
      <c r="CY476" s="382"/>
      <c r="CZ476" s="382"/>
      <c r="DA476" s="382"/>
      <c r="DB476" s="382"/>
      <c r="DC476" s="382"/>
      <c r="DD476" s="382"/>
      <c r="DE476" s="382"/>
      <c r="DF476" s="382"/>
      <c r="DG476" s="382"/>
      <c r="DH476" s="382"/>
      <c r="DI476" s="382"/>
      <c r="DJ476" s="382"/>
      <c r="DK476" s="382"/>
      <c r="DL476" s="382"/>
      <c r="DM476" s="382"/>
      <c r="DN476" s="382"/>
      <c r="DO476" s="382"/>
      <c r="DP476" s="382"/>
      <c r="DQ476" s="382"/>
      <c r="DR476" s="382"/>
      <c r="DS476" s="382"/>
      <c r="DT476" s="382"/>
      <c r="DU476" s="382"/>
      <c r="DV476" s="382"/>
      <c r="DW476" s="382"/>
      <c r="DX476" s="382"/>
      <c r="DY476" s="382"/>
      <c r="DZ476" s="228"/>
    </row>
    <row r="477" spans="2:130" s="180" customFormat="1" x14ac:dyDescent="0.2">
      <c r="B477" s="800"/>
      <c r="C477" s="800"/>
      <c r="D477" s="800"/>
      <c r="E477" s="769"/>
      <c r="F477" s="769"/>
      <c r="G477" s="802"/>
      <c r="H477" s="802"/>
      <c r="I477" s="802"/>
      <c r="J477" s="802"/>
      <c r="K477" s="802"/>
      <c r="L477" s="802"/>
      <c r="M477" s="802"/>
      <c r="N477" s="802"/>
      <c r="O477" s="802"/>
      <c r="P477" s="802"/>
      <c r="Q477" s="802"/>
      <c r="R477" s="802"/>
      <c r="S477" s="802"/>
      <c r="T477" s="802"/>
      <c r="U477" s="802"/>
      <c r="V477" s="802"/>
      <c r="W477" s="802"/>
      <c r="X477" s="802"/>
      <c r="Y477" s="802"/>
      <c r="Z477" s="802"/>
      <c r="AA477" s="802"/>
      <c r="AB477" s="802"/>
      <c r="AC477" s="802"/>
      <c r="AD477" s="802"/>
      <c r="AE477" s="802"/>
      <c r="AF477" s="802"/>
      <c r="AG477" s="802"/>
      <c r="AH477" s="382"/>
      <c r="AI477" s="382"/>
      <c r="AJ477" s="382"/>
      <c r="AK477" s="382"/>
      <c r="AL477" s="382"/>
      <c r="AM477" s="382"/>
      <c r="AN477" s="382"/>
      <c r="AO477" s="382"/>
      <c r="AP477" s="382"/>
      <c r="AQ477" s="382"/>
      <c r="AR477" s="382"/>
      <c r="AS477" s="382"/>
      <c r="AT477" s="382"/>
      <c r="AU477" s="382"/>
      <c r="AV477" s="382"/>
      <c r="AW477" s="382"/>
      <c r="AX477" s="382"/>
      <c r="AY477" s="382"/>
      <c r="AZ477" s="382"/>
      <c r="BA477" s="382"/>
      <c r="BB477" s="382"/>
      <c r="BC477" s="382"/>
      <c r="BD477" s="382"/>
      <c r="BE477" s="382"/>
      <c r="BF477" s="382"/>
      <c r="BG477" s="382"/>
      <c r="BH477" s="382"/>
      <c r="BI477" s="382"/>
      <c r="BJ477" s="382"/>
      <c r="BK477" s="382"/>
      <c r="BL477" s="382"/>
      <c r="BM477" s="382"/>
      <c r="BN477" s="382"/>
      <c r="BO477" s="382"/>
      <c r="BP477" s="382"/>
      <c r="BQ477" s="382"/>
      <c r="BR477" s="382"/>
      <c r="BS477" s="382"/>
      <c r="BT477" s="382"/>
      <c r="BU477" s="496"/>
      <c r="BV477" s="382"/>
      <c r="BW477" s="382"/>
      <c r="BX477" s="382"/>
      <c r="BY477" s="382"/>
      <c r="BZ477" s="382"/>
      <c r="CA477" s="382"/>
      <c r="CB477" s="382"/>
      <c r="CC477" s="382"/>
      <c r="CD477" s="382"/>
      <c r="CE477" s="382"/>
      <c r="CF477" s="382"/>
      <c r="CG477" s="382"/>
      <c r="CH477" s="382"/>
      <c r="CI477" s="382"/>
      <c r="CJ477" s="382"/>
      <c r="CK477" s="382"/>
      <c r="CL477" s="382"/>
      <c r="CM477" s="382"/>
      <c r="CN477" s="382"/>
      <c r="CO477" s="382"/>
      <c r="CP477" s="382"/>
      <c r="CQ477" s="382"/>
      <c r="CR477" s="382"/>
      <c r="CS477" s="382"/>
      <c r="CT477" s="382"/>
      <c r="CU477" s="382"/>
      <c r="CV477" s="382"/>
      <c r="CW477" s="800"/>
      <c r="CX477" s="382"/>
      <c r="CY477" s="382"/>
      <c r="CZ477" s="382"/>
      <c r="DA477" s="382"/>
      <c r="DB477" s="382"/>
      <c r="DC477" s="382"/>
      <c r="DD477" s="382"/>
      <c r="DE477" s="382"/>
      <c r="DF477" s="382"/>
      <c r="DG477" s="382"/>
      <c r="DH477" s="382"/>
      <c r="DI477" s="382"/>
      <c r="DJ477" s="382"/>
      <c r="DK477" s="382"/>
      <c r="DL477" s="382"/>
      <c r="DM477" s="382"/>
      <c r="DN477" s="382"/>
      <c r="DO477" s="382"/>
      <c r="DP477" s="382"/>
      <c r="DQ477" s="382"/>
      <c r="DR477" s="382"/>
      <c r="DS477" s="382"/>
      <c r="DT477" s="382"/>
      <c r="DU477" s="382"/>
      <c r="DV477" s="382"/>
      <c r="DW477" s="382"/>
      <c r="DX477" s="382"/>
      <c r="DY477" s="382"/>
      <c r="DZ477" s="228"/>
    </row>
    <row r="478" spans="2:130" s="180" customFormat="1" x14ac:dyDescent="0.2">
      <c r="D478" s="805"/>
      <c r="E478" s="805"/>
      <c r="F478" s="805"/>
      <c r="G478" s="805"/>
      <c r="H478" s="805"/>
      <c r="I478" s="805"/>
      <c r="J478" s="805"/>
      <c r="K478" s="805"/>
      <c r="L478" s="805"/>
      <c r="M478" s="805"/>
      <c r="N478" s="806"/>
      <c r="O478" s="805"/>
      <c r="P478" s="805"/>
      <c r="Q478" s="807"/>
      <c r="R478" s="807"/>
      <c r="S478" s="825"/>
      <c r="T478" s="805"/>
      <c r="U478" s="805"/>
      <c r="V478" s="805"/>
      <c r="W478" s="805"/>
      <c r="X478" s="805"/>
      <c r="Y478" s="297"/>
      <c r="AB478" s="382"/>
      <c r="AC478" s="382"/>
      <c r="AD478" s="496"/>
      <c r="AE478" s="382"/>
      <c r="AF478" s="382"/>
      <c r="AG478" s="382"/>
      <c r="AH478" s="382"/>
      <c r="AI478" s="382"/>
      <c r="AJ478" s="382"/>
      <c r="AK478" s="382"/>
      <c r="AL478" s="382"/>
      <c r="AM478" s="382"/>
      <c r="AN478" s="382"/>
      <c r="AO478" s="382"/>
      <c r="AP478" s="382"/>
      <c r="AQ478" s="382"/>
      <c r="AR478" s="382"/>
      <c r="AS478" s="382"/>
      <c r="AT478" s="382"/>
      <c r="AU478" s="382"/>
      <c r="AV478" s="382"/>
      <c r="AW478" s="382"/>
      <c r="AX478" s="382"/>
      <c r="AY478" s="382"/>
      <c r="AZ478" s="382"/>
      <c r="BA478" s="382"/>
      <c r="BB478" s="382"/>
      <c r="BC478" s="382"/>
      <c r="BD478" s="382"/>
      <c r="BE478" s="382"/>
      <c r="BF478" s="382"/>
      <c r="BG478" s="382"/>
      <c r="BH478" s="382"/>
      <c r="BI478" s="382"/>
      <c r="BJ478" s="382"/>
      <c r="BK478" s="382"/>
      <c r="BL478" s="382"/>
      <c r="BM478" s="382"/>
      <c r="BN478" s="382"/>
      <c r="BO478" s="382"/>
      <c r="BP478" s="382"/>
      <c r="BQ478" s="382"/>
      <c r="BR478" s="382"/>
      <c r="BS478" s="382"/>
      <c r="BT478" s="382"/>
      <c r="BU478" s="496"/>
      <c r="BV478" s="382"/>
      <c r="BW478" s="382"/>
      <c r="BX478" s="382"/>
      <c r="BY478" s="382"/>
      <c r="BZ478" s="382"/>
      <c r="CA478" s="382"/>
      <c r="CB478" s="382"/>
      <c r="CC478" s="382"/>
      <c r="CD478" s="382"/>
      <c r="CE478" s="382"/>
      <c r="CF478" s="382"/>
      <c r="CG478" s="382"/>
      <c r="CH478" s="382"/>
      <c r="CI478" s="382"/>
      <c r="CJ478" s="382"/>
      <c r="CK478" s="382"/>
      <c r="CL478" s="382"/>
      <c r="CM478" s="382"/>
      <c r="CN478" s="382"/>
      <c r="CO478" s="382"/>
      <c r="CP478" s="382"/>
      <c r="CQ478" s="382"/>
      <c r="CR478" s="382"/>
      <c r="CS478" s="382"/>
      <c r="CT478" s="382"/>
      <c r="CU478" s="382"/>
      <c r="CV478" s="382"/>
      <c r="CW478" s="189"/>
      <c r="CX478" s="382"/>
      <c r="CY478" s="382"/>
      <c r="CZ478" s="382"/>
      <c r="DA478" s="382"/>
      <c r="DB478" s="382"/>
      <c r="DC478" s="382"/>
      <c r="DD478" s="382"/>
      <c r="DE478" s="382"/>
      <c r="DF478" s="382"/>
      <c r="DG478" s="382"/>
      <c r="DH478" s="382"/>
      <c r="DI478" s="382"/>
      <c r="DJ478" s="382"/>
      <c r="DK478" s="382"/>
      <c r="DL478" s="382"/>
      <c r="DM478" s="382"/>
      <c r="DN478" s="382"/>
      <c r="DO478" s="382"/>
      <c r="DP478" s="382"/>
      <c r="DQ478" s="382"/>
      <c r="DR478" s="382"/>
      <c r="DS478" s="382"/>
      <c r="DT478" s="382"/>
      <c r="DU478" s="382"/>
      <c r="DV478" s="382"/>
      <c r="DW478" s="382"/>
      <c r="DX478" s="382"/>
      <c r="DY478" s="382"/>
      <c r="DZ478" s="228"/>
    </row>
    <row r="479" spans="2:130" s="180" customFormat="1" x14ac:dyDescent="0.2">
      <c r="D479" s="805"/>
      <c r="E479" s="805"/>
      <c r="F479" s="805"/>
      <c r="G479" s="805"/>
      <c r="H479" s="805"/>
      <c r="I479" s="805"/>
      <c r="J479" s="805"/>
      <c r="K479" s="805"/>
      <c r="L479" s="805"/>
      <c r="M479" s="805"/>
      <c r="N479" s="806"/>
      <c r="O479" s="805"/>
      <c r="P479" s="805"/>
      <c r="Q479" s="807"/>
      <c r="R479" s="807"/>
      <c r="S479" s="825"/>
      <c r="T479" s="805"/>
      <c r="U479" s="805"/>
      <c r="V479" s="805"/>
      <c r="W479" s="805"/>
      <c r="X479" s="805"/>
      <c r="Y479" s="297"/>
      <c r="AB479" s="382"/>
      <c r="AC479" s="382"/>
      <c r="AD479" s="496"/>
      <c r="AE479" s="382"/>
      <c r="AF479" s="382"/>
      <c r="AG479" s="382"/>
      <c r="AH479" s="382"/>
      <c r="AI479" s="382"/>
      <c r="AJ479" s="382"/>
      <c r="AK479" s="382"/>
      <c r="AL479" s="382"/>
      <c r="AM479" s="382"/>
      <c r="AN479" s="382"/>
      <c r="AO479" s="382"/>
      <c r="AP479" s="382"/>
      <c r="AQ479" s="382"/>
      <c r="AR479" s="382"/>
      <c r="AS479" s="382"/>
      <c r="AT479" s="382"/>
      <c r="AU479" s="382"/>
      <c r="AV479" s="382"/>
      <c r="AW479" s="382"/>
      <c r="AX479" s="382"/>
      <c r="AY479" s="382"/>
      <c r="AZ479" s="382"/>
      <c r="BA479" s="382"/>
      <c r="BB479" s="382"/>
      <c r="BC479" s="382"/>
      <c r="BD479" s="382"/>
      <c r="BE479" s="382"/>
      <c r="BF479" s="382"/>
      <c r="BG479" s="382"/>
      <c r="BH479" s="382"/>
      <c r="BI479" s="382"/>
      <c r="BJ479" s="382"/>
      <c r="BK479" s="382"/>
      <c r="BL479" s="382"/>
      <c r="BM479" s="382"/>
      <c r="BN479" s="382"/>
      <c r="BO479" s="382"/>
      <c r="BP479" s="382"/>
      <c r="BQ479" s="382"/>
      <c r="BR479" s="382"/>
      <c r="BS479" s="382"/>
      <c r="BT479" s="382"/>
      <c r="BU479" s="496"/>
      <c r="BV479" s="382"/>
      <c r="BW479" s="382"/>
      <c r="BX479" s="382"/>
      <c r="BY479" s="382"/>
      <c r="BZ479" s="382"/>
      <c r="CA479" s="382"/>
      <c r="CB479" s="382"/>
      <c r="CC479" s="382"/>
      <c r="CD479" s="382"/>
      <c r="CE479" s="382"/>
      <c r="CF479" s="382"/>
      <c r="CG479" s="382"/>
      <c r="CH479" s="382"/>
      <c r="CI479" s="382"/>
      <c r="CJ479" s="382"/>
      <c r="CK479" s="382"/>
      <c r="CL479" s="382"/>
      <c r="CM479" s="382"/>
      <c r="CN479" s="382"/>
      <c r="CO479" s="382"/>
      <c r="CP479" s="382"/>
      <c r="CQ479" s="382"/>
      <c r="CR479" s="382"/>
      <c r="CS479" s="382"/>
      <c r="CT479" s="382"/>
      <c r="CU479" s="382"/>
      <c r="CV479" s="382"/>
      <c r="CW479" s="189"/>
      <c r="CX479" s="382"/>
      <c r="CY479" s="382"/>
      <c r="CZ479" s="382"/>
      <c r="DA479" s="382"/>
      <c r="DB479" s="382"/>
      <c r="DC479" s="382"/>
      <c r="DD479" s="382"/>
      <c r="DE479" s="382"/>
      <c r="DF479" s="382"/>
      <c r="DG479" s="382"/>
      <c r="DH479" s="382"/>
      <c r="DI479" s="382"/>
      <c r="DJ479" s="382"/>
      <c r="DK479" s="382"/>
      <c r="DL479" s="382"/>
      <c r="DM479" s="382"/>
      <c r="DN479" s="382"/>
      <c r="DO479" s="382"/>
      <c r="DP479" s="382"/>
      <c r="DQ479" s="382"/>
      <c r="DR479" s="382"/>
      <c r="DS479" s="382"/>
      <c r="DT479" s="382"/>
      <c r="DU479" s="382"/>
      <c r="DV479" s="382"/>
      <c r="DW479" s="382"/>
      <c r="DX479" s="382"/>
      <c r="DY479" s="382"/>
      <c r="DZ479" s="228"/>
    </row>
    <row r="480" spans="2:130" s="180" customFormat="1" x14ac:dyDescent="0.2">
      <c r="D480" s="805"/>
      <c r="E480" s="805"/>
      <c r="F480" s="805"/>
      <c r="G480" s="805"/>
      <c r="H480" s="805"/>
      <c r="I480" s="805"/>
      <c r="J480" s="805"/>
      <c r="K480" s="805"/>
      <c r="L480" s="805"/>
      <c r="M480" s="805"/>
      <c r="N480" s="806"/>
      <c r="O480" s="805"/>
      <c r="P480" s="805"/>
      <c r="Q480" s="807"/>
      <c r="R480" s="807"/>
      <c r="S480" s="825"/>
      <c r="T480" s="805"/>
      <c r="U480" s="805"/>
      <c r="V480" s="805"/>
      <c r="W480" s="805"/>
      <c r="X480" s="805"/>
      <c r="Y480" s="297"/>
      <c r="AB480" s="382"/>
      <c r="AC480" s="382"/>
      <c r="AD480" s="496"/>
      <c r="AE480" s="382"/>
      <c r="AF480" s="382"/>
      <c r="AG480" s="382"/>
      <c r="AH480" s="382"/>
      <c r="AI480" s="382"/>
      <c r="AJ480" s="382"/>
      <c r="AK480" s="382"/>
      <c r="AL480" s="382"/>
      <c r="AM480" s="382"/>
      <c r="AN480" s="382"/>
      <c r="AO480" s="382"/>
      <c r="AP480" s="382"/>
      <c r="AQ480" s="382"/>
      <c r="AR480" s="382"/>
      <c r="AS480" s="382"/>
      <c r="AT480" s="382"/>
      <c r="AU480" s="382"/>
      <c r="AV480" s="382"/>
      <c r="AW480" s="382"/>
      <c r="AX480" s="382"/>
      <c r="AY480" s="382"/>
      <c r="AZ480" s="382"/>
      <c r="BA480" s="382"/>
      <c r="BB480" s="382"/>
      <c r="BC480" s="382"/>
      <c r="BD480" s="382"/>
      <c r="BE480" s="382"/>
      <c r="BF480" s="382"/>
      <c r="BG480" s="382"/>
      <c r="BH480" s="382"/>
      <c r="BI480" s="382"/>
      <c r="BJ480" s="382"/>
      <c r="BK480" s="382"/>
      <c r="BL480" s="382"/>
      <c r="BM480" s="382"/>
      <c r="BN480" s="382"/>
      <c r="BO480" s="382"/>
      <c r="BP480" s="382"/>
      <c r="BQ480" s="382"/>
      <c r="BR480" s="382"/>
      <c r="BS480" s="382"/>
      <c r="BT480" s="382"/>
      <c r="BU480" s="496"/>
      <c r="BV480" s="382"/>
      <c r="BW480" s="382"/>
      <c r="BX480" s="382"/>
      <c r="BY480" s="382"/>
      <c r="BZ480" s="382"/>
      <c r="CA480" s="382"/>
      <c r="CB480" s="382"/>
      <c r="CC480" s="382"/>
      <c r="CD480" s="382"/>
      <c r="CE480" s="382"/>
      <c r="CF480" s="382"/>
      <c r="CG480" s="382"/>
      <c r="CH480" s="382"/>
      <c r="CI480" s="382"/>
      <c r="CJ480" s="382"/>
      <c r="CK480" s="382"/>
      <c r="CL480" s="382"/>
      <c r="CM480" s="382"/>
      <c r="CN480" s="382"/>
      <c r="CO480" s="382"/>
      <c r="CP480" s="382"/>
      <c r="CQ480" s="382"/>
      <c r="CR480" s="382"/>
      <c r="CS480" s="382"/>
      <c r="CT480" s="382"/>
      <c r="CU480" s="382"/>
      <c r="CV480" s="382"/>
      <c r="CW480" s="189"/>
      <c r="CX480" s="382"/>
      <c r="CY480" s="382"/>
      <c r="CZ480" s="382"/>
      <c r="DA480" s="382"/>
      <c r="DB480" s="382"/>
      <c r="DC480" s="382"/>
      <c r="DD480" s="382"/>
      <c r="DE480" s="382"/>
      <c r="DF480" s="382"/>
      <c r="DG480" s="382"/>
      <c r="DH480" s="382"/>
      <c r="DI480" s="382"/>
      <c r="DJ480" s="382"/>
      <c r="DK480" s="382"/>
      <c r="DL480" s="382"/>
      <c r="DM480" s="382"/>
      <c r="DN480" s="382"/>
      <c r="DO480" s="382"/>
      <c r="DP480" s="382"/>
      <c r="DQ480" s="382"/>
      <c r="DR480" s="382"/>
      <c r="DS480" s="382"/>
      <c r="DT480" s="382"/>
      <c r="DU480" s="382"/>
      <c r="DV480" s="382"/>
      <c r="DW480" s="382"/>
      <c r="DX480" s="382"/>
      <c r="DY480" s="382"/>
      <c r="DZ480" s="228"/>
    </row>
    <row r="481" spans="4:130" s="180" customFormat="1" x14ac:dyDescent="0.2">
      <c r="D481" s="805"/>
      <c r="E481" s="805"/>
      <c r="F481" s="805"/>
      <c r="G481" s="805"/>
      <c r="H481" s="805"/>
      <c r="I481" s="805"/>
      <c r="J481" s="805"/>
      <c r="K481" s="805"/>
      <c r="L481" s="805"/>
      <c r="M481" s="805"/>
      <c r="N481" s="806"/>
      <c r="O481" s="805"/>
      <c r="P481" s="805"/>
      <c r="Q481" s="807"/>
      <c r="R481" s="807"/>
      <c r="S481" s="825"/>
      <c r="T481" s="805"/>
      <c r="U481" s="805"/>
      <c r="V481" s="805"/>
      <c r="W481" s="805"/>
      <c r="X481" s="805"/>
      <c r="Y481" s="297"/>
      <c r="AB481" s="382"/>
      <c r="AC481" s="382"/>
      <c r="AD481" s="496"/>
      <c r="AE481" s="382"/>
      <c r="AF481" s="382"/>
      <c r="AG481" s="382"/>
      <c r="AH481" s="382"/>
      <c r="AI481" s="382"/>
      <c r="AJ481" s="382"/>
      <c r="AK481" s="382"/>
      <c r="AL481" s="382"/>
      <c r="AM481" s="382"/>
      <c r="AN481" s="382"/>
      <c r="AO481" s="382"/>
      <c r="AP481" s="382"/>
      <c r="AQ481" s="382"/>
      <c r="AR481" s="382"/>
      <c r="AS481" s="382"/>
      <c r="AT481" s="382"/>
      <c r="AU481" s="382"/>
      <c r="AV481" s="382"/>
      <c r="AW481" s="382"/>
      <c r="AX481" s="382"/>
      <c r="AY481" s="382"/>
      <c r="AZ481" s="382"/>
      <c r="BA481" s="382"/>
      <c r="BB481" s="382"/>
      <c r="BC481" s="382"/>
      <c r="BD481" s="382"/>
      <c r="BE481" s="382"/>
      <c r="BF481" s="382"/>
      <c r="BG481" s="382"/>
      <c r="BH481" s="382"/>
      <c r="BI481" s="382"/>
      <c r="BJ481" s="382"/>
      <c r="BK481" s="382"/>
      <c r="BL481" s="382"/>
      <c r="BM481" s="382"/>
      <c r="BN481" s="382"/>
      <c r="BO481" s="382"/>
      <c r="BP481" s="382"/>
      <c r="BQ481" s="382"/>
      <c r="BR481" s="382"/>
      <c r="BS481" s="382"/>
      <c r="BT481" s="382"/>
      <c r="BU481" s="496"/>
      <c r="BV481" s="382"/>
      <c r="BW481" s="382"/>
      <c r="BX481" s="382"/>
      <c r="BY481" s="382"/>
      <c r="BZ481" s="382"/>
      <c r="CA481" s="382"/>
      <c r="CB481" s="382"/>
      <c r="CC481" s="382"/>
      <c r="CD481" s="382"/>
      <c r="CE481" s="382"/>
      <c r="CF481" s="382"/>
      <c r="CG481" s="382"/>
      <c r="CH481" s="382"/>
      <c r="CI481" s="382"/>
      <c r="CJ481" s="382"/>
      <c r="CK481" s="382"/>
      <c r="CL481" s="382"/>
      <c r="CM481" s="382"/>
      <c r="CN481" s="382"/>
      <c r="CO481" s="382"/>
      <c r="CP481" s="382"/>
      <c r="CQ481" s="382"/>
      <c r="CR481" s="382"/>
      <c r="CS481" s="382"/>
      <c r="CT481" s="382"/>
      <c r="CU481" s="382"/>
      <c r="CV481" s="382"/>
      <c r="CW481" s="189"/>
      <c r="CX481" s="382"/>
      <c r="CY481" s="382"/>
      <c r="CZ481" s="382"/>
      <c r="DA481" s="382"/>
      <c r="DB481" s="382"/>
      <c r="DC481" s="382"/>
      <c r="DD481" s="382"/>
      <c r="DE481" s="382"/>
      <c r="DF481" s="382"/>
      <c r="DG481" s="382"/>
      <c r="DH481" s="382"/>
      <c r="DI481" s="382"/>
      <c r="DJ481" s="382"/>
      <c r="DK481" s="382"/>
      <c r="DL481" s="382"/>
      <c r="DM481" s="382"/>
      <c r="DN481" s="382"/>
      <c r="DO481" s="382"/>
      <c r="DP481" s="382"/>
      <c r="DQ481" s="382"/>
      <c r="DR481" s="382"/>
      <c r="DS481" s="382"/>
      <c r="DT481" s="382"/>
      <c r="DU481" s="382"/>
      <c r="DV481" s="382"/>
      <c r="DW481" s="382"/>
      <c r="DX481" s="382"/>
      <c r="DY481" s="382"/>
      <c r="DZ481" s="228"/>
    </row>
    <row r="482" spans="4:130" s="180" customFormat="1" x14ac:dyDescent="0.2">
      <c r="D482" s="805"/>
      <c r="E482" s="805"/>
      <c r="F482" s="805"/>
      <c r="G482" s="805"/>
      <c r="H482" s="805"/>
      <c r="I482" s="805"/>
      <c r="J482" s="805"/>
      <c r="K482" s="805"/>
      <c r="L482" s="805"/>
      <c r="M482" s="805"/>
      <c r="N482" s="806"/>
      <c r="O482" s="805"/>
      <c r="P482" s="805"/>
      <c r="Q482" s="807"/>
      <c r="R482" s="807"/>
      <c r="S482" s="825"/>
      <c r="T482" s="805"/>
      <c r="U482" s="805"/>
      <c r="V482" s="805"/>
      <c r="W482" s="805"/>
      <c r="X482" s="805"/>
      <c r="Y482" s="297"/>
      <c r="AB482" s="382"/>
      <c r="AC482" s="382"/>
      <c r="AD482" s="496"/>
      <c r="AE482" s="382"/>
      <c r="AF482" s="382"/>
      <c r="AG482" s="382"/>
      <c r="AH482" s="382"/>
      <c r="AI482" s="382"/>
      <c r="AJ482" s="382"/>
      <c r="AK482" s="382"/>
      <c r="AL482" s="382"/>
      <c r="AM482" s="382"/>
      <c r="AN482" s="382"/>
      <c r="AO482" s="382"/>
      <c r="AP482" s="382"/>
      <c r="AQ482" s="382"/>
      <c r="AR482" s="382"/>
      <c r="AS482" s="382"/>
      <c r="AT482" s="382"/>
      <c r="AU482" s="382"/>
      <c r="AV482" s="382"/>
      <c r="AW482" s="382"/>
      <c r="AX482" s="382"/>
      <c r="AY482" s="382"/>
      <c r="AZ482" s="382"/>
      <c r="BA482" s="382"/>
      <c r="BB482" s="382"/>
      <c r="BC482" s="382"/>
      <c r="BD482" s="382"/>
      <c r="BE482" s="382"/>
      <c r="BF482" s="382"/>
      <c r="BG482" s="382"/>
      <c r="BH482" s="382"/>
      <c r="BI482" s="382"/>
      <c r="BJ482" s="382"/>
      <c r="BK482" s="382"/>
      <c r="BL482" s="382"/>
      <c r="BM482" s="382"/>
      <c r="BN482" s="382"/>
      <c r="BO482" s="382"/>
      <c r="BP482" s="382"/>
      <c r="BQ482" s="382"/>
      <c r="BR482" s="382"/>
      <c r="BS482" s="382"/>
      <c r="BT482" s="382"/>
      <c r="BU482" s="496"/>
      <c r="BV482" s="382"/>
      <c r="BW482" s="382"/>
      <c r="BX482" s="382"/>
      <c r="BY482" s="382"/>
      <c r="BZ482" s="382"/>
      <c r="CA482" s="382"/>
      <c r="CB482" s="382"/>
      <c r="CC482" s="382"/>
      <c r="CD482" s="382"/>
      <c r="CE482" s="382"/>
      <c r="CF482" s="382"/>
      <c r="CG482" s="382"/>
      <c r="CH482" s="382"/>
      <c r="CI482" s="382"/>
      <c r="CJ482" s="382"/>
      <c r="CK482" s="382"/>
      <c r="CL482" s="382"/>
      <c r="CM482" s="382"/>
      <c r="CN482" s="382"/>
      <c r="CO482" s="382"/>
      <c r="CP482" s="382"/>
      <c r="CQ482" s="382"/>
      <c r="CR482" s="382"/>
      <c r="CS482" s="382"/>
      <c r="CT482" s="382"/>
      <c r="CU482" s="382"/>
      <c r="CV482" s="382"/>
      <c r="CW482" s="189"/>
      <c r="CX482" s="382"/>
      <c r="CY482" s="382"/>
      <c r="CZ482" s="382"/>
      <c r="DA482" s="382"/>
      <c r="DB482" s="382"/>
      <c r="DC482" s="382"/>
      <c r="DD482" s="382"/>
      <c r="DE482" s="382"/>
      <c r="DF482" s="382"/>
      <c r="DG482" s="382"/>
      <c r="DH482" s="382"/>
      <c r="DI482" s="382"/>
      <c r="DJ482" s="382"/>
      <c r="DK482" s="382"/>
      <c r="DL482" s="382"/>
      <c r="DM482" s="382"/>
      <c r="DN482" s="382"/>
      <c r="DO482" s="382"/>
      <c r="DP482" s="382"/>
      <c r="DQ482" s="382"/>
      <c r="DR482" s="382"/>
      <c r="DS482" s="382"/>
      <c r="DT482" s="382"/>
      <c r="DU482" s="382"/>
      <c r="DV482" s="382"/>
      <c r="DW482" s="382"/>
      <c r="DX482" s="382"/>
      <c r="DY482" s="382"/>
      <c r="DZ482" s="228"/>
    </row>
    <row r="483" spans="4:130" s="180" customFormat="1" x14ac:dyDescent="0.2">
      <c r="D483" s="805"/>
      <c r="E483" s="805"/>
      <c r="F483" s="805"/>
      <c r="G483" s="805"/>
      <c r="H483" s="805"/>
      <c r="I483" s="805"/>
      <c r="J483" s="805"/>
      <c r="K483" s="805"/>
      <c r="L483" s="805"/>
      <c r="M483" s="805"/>
      <c r="N483" s="806"/>
      <c r="O483" s="805"/>
      <c r="P483" s="805"/>
      <c r="Q483" s="807"/>
      <c r="R483" s="807"/>
      <c r="S483" s="825"/>
      <c r="T483" s="805"/>
      <c r="U483" s="805"/>
      <c r="V483" s="805"/>
      <c r="W483" s="805"/>
      <c r="X483" s="805"/>
      <c r="Y483" s="297"/>
      <c r="AB483" s="382"/>
      <c r="AC483" s="382"/>
      <c r="AD483" s="496"/>
      <c r="AE483" s="382"/>
      <c r="AF483" s="382"/>
      <c r="AG483" s="382"/>
      <c r="AH483" s="382"/>
      <c r="AI483" s="382"/>
      <c r="AJ483" s="382"/>
      <c r="AK483" s="382"/>
      <c r="AL483" s="382"/>
      <c r="AM483" s="382"/>
      <c r="AN483" s="382"/>
      <c r="AO483" s="382"/>
      <c r="AP483" s="382"/>
      <c r="AQ483" s="382"/>
      <c r="AR483" s="382"/>
      <c r="AS483" s="382"/>
      <c r="AT483" s="382"/>
      <c r="AU483" s="382"/>
      <c r="AV483" s="382"/>
      <c r="AW483" s="382"/>
      <c r="AX483" s="382"/>
      <c r="AY483" s="382"/>
      <c r="AZ483" s="382"/>
      <c r="BA483" s="382"/>
      <c r="BB483" s="382"/>
      <c r="BC483" s="382"/>
      <c r="BD483" s="382"/>
      <c r="BE483" s="382"/>
      <c r="BF483" s="382"/>
      <c r="BG483" s="382"/>
      <c r="BH483" s="382"/>
      <c r="BI483" s="382"/>
      <c r="BJ483" s="382"/>
      <c r="BK483" s="382"/>
      <c r="BL483" s="382"/>
      <c r="BM483" s="382"/>
      <c r="BN483" s="382"/>
      <c r="BO483" s="382"/>
      <c r="BP483" s="382"/>
      <c r="BQ483" s="382"/>
      <c r="BR483" s="382"/>
      <c r="BS483" s="382"/>
      <c r="BT483" s="382"/>
      <c r="BU483" s="496"/>
      <c r="BV483" s="382"/>
      <c r="BW483" s="382"/>
      <c r="BX483" s="382"/>
      <c r="BY483" s="382"/>
      <c r="BZ483" s="382"/>
      <c r="CA483" s="382"/>
      <c r="CB483" s="382"/>
      <c r="CC483" s="382"/>
      <c r="CD483" s="382"/>
      <c r="CE483" s="382"/>
      <c r="CF483" s="382"/>
      <c r="CG483" s="382"/>
      <c r="CH483" s="382"/>
      <c r="CI483" s="382"/>
      <c r="CJ483" s="382"/>
      <c r="CK483" s="382"/>
      <c r="CL483" s="382"/>
      <c r="CM483" s="382"/>
      <c r="CN483" s="382"/>
      <c r="CO483" s="382"/>
      <c r="CP483" s="382"/>
      <c r="CQ483" s="382"/>
      <c r="CR483" s="382"/>
      <c r="CS483" s="382"/>
      <c r="CT483" s="382"/>
      <c r="CU483" s="382"/>
      <c r="CV483" s="382"/>
      <c r="CW483" s="189"/>
      <c r="CX483" s="382"/>
      <c r="CY483" s="382"/>
      <c r="CZ483" s="382"/>
      <c r="DA483" s="382"/>
      <c r="DB483" s="382"/>
      <c r="DC483" s="382"/>
      <c r="DD483" s="382"/>
      <c r="DE483" s="382"/>
      <c r="DF483" s="382"/>
      <c r="DG483" s="382"/>
      <c r="DH483" s="382"/>
      <c r="DI483" s="382"/>
      <c r="DJ483" s="382"/>
      <c r="DK483" s="382"/>
      <c r="DL483" s="382"/>
      <c r="DM483" s="382"/>
      <c r="DN483" s="382"/>
      <c r="DO483" s="382"/>
      <c r="DP483" s="382"/>
      <c r="DQ483" s="382"/>
      <c r="DR483" s="382"/>
      <c r="DS483" s="382"/>
      <c r="DT483" s="382"/>
      <c r="DU483" s="382"/>
      <c r="DV483" s="382"/>
      <c r="DW483" s="382"/>
      <c r="DX483" s="382"/>
      <c r="DY483" s="382"/>
      <c r="DZ483" s="228"/>
    </row>
    <row r="484" spans="4:130" s="180" customFormat="1" x14ac:dyDescent="0.2">
      <c r="D484" s="805"/>
      <c r="E484" s="805"/>
      <c r="F484" s="805"/>
      <c r="G484" s="805"/>
      <c r="H484" s="805"/>
      <c r="I484" s="805"/>
      <c r="J484" s="805"/>
      <c r="K484" s="805"/>
      <c r="L484" s="805"/>
      <c r="M484" s="805"/>
      <c r="N484" s="806"/>
      <c r="O484" s="805"/>
      <c r="P484" s="805"/>
      <c r="Q484" s="807"/>
      <c r="R484" s="807"/>
      <c r="S484" s="825"/>
      <c r="T484" s="805"/>
      <c r="U484" s="805"/>
      <c r="V484" s="805"/>
      <c r="W484" s="805"/>
      <c r="X484" s="805"/>
      <c r="Y484" s="297"/>
      <c r="AB484" s="382"/>
      <c r="AC484" s="382"/>
      <c r="AD484" s="496"/>
      <c r="AE484" s="382"/>
      <c r="AF484" s="382"/>
      <c r="AG484" s="382"/>
      <c r="AH484" s="382"/>
      <c r="AI484" s="382"/>
      <c r="AJ484" s="382"/>
      <c r="AK484" s="382"/>
      <c r="AL484" s="382"/>
      <c r="AM484" s="382"/>
      <c r="AN484" s="382"/>
      <c r="AO484" s="382"/>
      <c r="AP484" s="382"/>
      <c r="AQ484" s="382"/>
      <c r="AR484" s="382"/>
      <c r="AS484" s="382"/>
      <c r="AT484" s="382"/>
      <c r="AU484" s="382"/>
      <c r="AV484" s="382"/>
      <c r="AW484" s="382"/>
      <c r="AX484" s="382"/>
      <c r="AY484" s="382"/>
      <c r="AZ484" s="382"/>
      <c r="BA484" s="382"/>
      <c r="BB484" s="382"/>
      <c r="BC484" s="382"/>
      <c r="BD484" s="382"/>
      <c r="BE484" s="382"/>
      <c r="BF484" s="382"/>
      <c r="BG484" s="382"/>
      <c r="BH484" s="382"/>
      <c r="BI484" s="382"/>
      <c r="BJ484" s="382"/>
      <c r="BK484" s="382"/>
      <c r="BL484" s="382"/>
      <c r="BM484" s="382"/>
      <c r="BN484" s="382"/>
      <c r="BO484" s="382"/>
      <c r="BP484" s="382"/>
      <c r="BQ484" s="382"/>
      <c r="BR484" s="382"/>
      <c r="BS484" s="382"/>
      <c r="BT484" s="382"/>
      <c r="BU484" s="496"/>
      <c r="BV484" s="382"/>
      <c r="BW484" s="382"/>
      <c r="BX484" s="382"/>
      <c r="BY484" s="382"/>
      <c r="BZ484" s="382"/>
      <c r="CA484" s="382"/>
      <c r="CB484" s="382"/>
      <c r="CC484" s="382"/>
      <c r="CD484" s="382"/>
      <c r="CE484" s="382"/>
      <c r="CF484" s="382"/>
      <c r="CG484" s="382"/>
      <c r="CH484" s="382"/>
      <c r="CI484" s="382"/>
      <c r="CJ484" s="382"/>
      <c r="CK484" s="382"/>
      <c r="CL484" s="382"/>
      <c r="CM484" s="382"/>
      <c r="CN484" s="382"/>
      <c r="CO484" s="382"/>
      <c r="CP484" s="382"/>
      <c r="CQ484" s="382"/>
      <c r="CR484" s="382"/>
      <c r="CS484" s="382"/>
      <c r="CT484" s="382"/>
      <c r="CU484" s="382"/>
      <c r="CV484" s="382"/>
      <c r="CW484" s="189"/>
      <c r="CX484" s="382"/>
      <c r="CY484" s="382"/>
      <c r="CZ484" s="382"/>
      <c r="DA484" s="382"/>
      <c r="DB484" s="382"/>
      <c r="DC484" s="382"/>
      <c r="DD484" s="382"/>
      <c r="DE484" s="382"/>
      <c r="DF484" s="382"/>
      <c r="DG484" s="382"/>
      <c r="DH484" s="382"/>
      <c r="DI484" s="382"/>
      <c r="DJ484" s="382"/>
      <c r="DK484" s="382"/>
      <c r="DL484" s="382"/>
      <c r="DM484" s="382"/>
      <c r="DN484" s="382"/>
      <c r="DO484" s="382"/>
      <c r="DP484" s="382"/>
      <c r="DQ484" s="382"/>
      <c r="DR484" s="382"/>
      <c r="DS484" s="382"/>
      <c r="DT484" s="382"/>
      <c r="DU484" s="382"/>
      <c r="DV484" s="382"/>
      <c r="DW484" s="382"/>
      <c r="DX484" s="382"/>
      <c r="DY484" s="382"/>
      <c r="DZ484" s="228"/>
    </row>
    <row r="485" spans="4:130" s="180" customFormat="1" x14ac:dyDescent="0.2">
      <c r="D485" s="805"/>
      <c r="E485" s="805"/>
      <c r="F485" s="805"/>
      <c r="G485" s="805"/>
      <c r="H485" s="805"/>
      <c r="I485" s="805"/>
      <c r="J485" s="805"/>
      <c r="K485" s="805"/>
      <c r="L485" s="805"/>
      <c r="M485" s="805"/>
      <c r="N485" s="806"/>
      <c r="O485" s="805"/>
      <c r="P485" s="805"/>
      <c r="Q485" s="807"/>
      <c r="R485" s="807"/>
      <c r="S485" s="825"/>
      <c r="T485" s="805"/>
      <c r="U485" s="805"/>
      <c r="V485" s="805"/>
      <c r="W485" s="805"/>
      <c r="X485" s="805"/>
      <c r="Y485" s="297"/>
      <c r="AB485" s="382"/>
      <c r="AC485" s="382"/>
      <c r="AD485" s="496"/>
      <c r="AE485" s="382"/>
      <c r="AF485" s="382"/>
      <c r="AG485" s="382"/>
      <c r="AH485" s="382"/>
      <c r="AI485" s="382"/>
      <c r="AJ485" s="382"/>
      <c r="AK485" s="382"/>
      <c r="AL485" s="382"/>
      <c r="AM485" s="382"/>
      <c r="AN485" s="382"/>
      <c r="AO485" s="382"/>
      <c r="AP485" s="382"/>
      <c r="AQ485" s="382"/>
      <c r="AR485" s="382"/>
      <c r="AS485" s="382"/>
      <c r="AT485" s="382"/>
      <c r="AU485" s="382"/>
      <c r="AV485" s="382"/>
      <c r="AW485" s="382"/>
      <c r="AX485" s="382"/>
      <c r="AY485" s="382"/>
      <c r="AZ485" s="382"/>
      <c r="BA485" s="382"/>
      <c r="BB485" s="382"/>
      <c r="BC485" s="382"/>
      <c r="BD485" s="382"/>
      <c r="BE485" s="382"/>
      <c r="BF485" s="382"/>
      <c r="BG485" s="382"/>
      <c r="BH485" s="382"/>
      <c r="BI485" s="382"/>
      <c r="BJ485" s="382"/>
      <c r="BK485" s="382"/>
      <c r="BL485" s="382"/>
      <c r="BM485" s="382"/>
      <c r="BN485" s="382"/>
      <c r="BO485" s="382"/>
      <c r="BP485" s="382"/>
      <c r="BQ485" s="382"/>
      <c r="BR485" s="382"/>
      <c r="BS485" s="382"/>
      <c r="BT485" s="382"/>
      <c r="BU485" s="496"/>
      <c r="BV485" s="382"/>
      <c r="BW485" s="382"/>
      <c r="BX485" s="382"/>
      <c r="BY485" s="382"/>
      <c r="BZ485" s="382"/>
      <c r="CA485" s="382"/>
      <c r="CB485" s="382"/>
      <c r="CC485" s="382"/>
      <c r="CD485" s="382"/>
      <c r="CE485" s="382"/>
      <c r="CF485" s="382"/>
      <c r="CG485" s="382"/>
      <c r="CH485" s="382"/>
      <c r="CI485" s="382"/>
      <c r="CJ485" s="382"/>
      <c r="CK485" s="382"/>
      <c r="CL485" s="382"/>
      <c r="CM485" s="382"/>
      <c r="CN485" s="382"/>
      <c r="CO485" s="382"/>
      <c r="CP485" s="382"/>
      <c r="CQ485" s="382"/>
      <c r="CR485" s="382"/>
      <c r="CS485" s="382"/>
      <c r="CT485" s="382"/>
      <c r="CU485" s="382"/>
      <c r="CV485" s="382"/>
      <c r="CW485" s="189"/>
      <c r="CX485" s="382"/>
      <c r="CY485" s="382"/>
      <c r="CZ485" s="382"/>
      <c r="DA485" s="382"/>
      <c r="DB485" s="382"/>
      <c r="DC485" s="382"/>
      <c r="DD485" s="382"/>
      <c r="DE485" s="382"/>
      <c r="DF485" s="382"/>
      <c r="DG485" s="382"/>
      <c r="DH485" s="382"/>
      <c r="DI485" s="382"/>
      <c r="DJ485" s="382"/>
      <c r="DK485" s="382"/>
      <c r="DL485" s="382"/>
      <c r="DM485" s="382"/>
      <c r="DN485" s="382"/>
      <c r="DO485" s="382"/>
      <c r="DP485" s="382"/>
      <c r="DQ485" s="382"/>
      <c r="DR485" s="382"/>
      <c r="DS485" s="382"/>
      <c r="DT485" s="382"/>
      <c r="DU485" s="382"/>
      <c r="DV485" s="382"/>
      <c r="DW485" s="382"/>
      <c r="DX485" s="382"/>
      <c r="DY485" s="382"/>
      <c r="DZ485" s="228"/>
    </row>
    <row r="486" spans="4:130" s="180" customFormat="1" x14ac:dyDescent="0.2">
      <c r="D486" s="805"/>
      <c r="E486" s="805"/>
      <c r="F486" s="805"/>
      <c r="G486" s="805"/>
      <c r="H486" s="805"/>
      <c r="I486" s="805"/>
      <c r="J486" s="805"/>
      <c r="K486" s="805"/>
      <c r="L486" s="805"/>
      <c r="M486" s="805"/>
      <c r="N486" s="806"/>
      <c r="O486" s="805"/>
      <c r="P486" s="805"/>
      <c r="Q486" s="807"/>
      <c r="R486" s="807"/>
      <c r="S486" s="825"/>
      <c r="T486" s="805"/>
      <c r="U486" s="805"/>
      <c r="V486" s="805"/>
      <c r="W486" s="805"/>
      <c r="X486" s="805"/>
      <c r="Y486" s="297"/>
      <c r="AB486" s="382"/>
      <c r="AC486" s="382"/>
      <c r="AD486" s="496"/>
      <c r="AE486" s="382"/>
      <c r="AF486" s="382"/>
      <c r="AG486" s="382"/>
      <c r="AH486" s="382"/>
      <c r="AI486" s="382"/>
      <c r="AJ486" s="382"/>
      <c r="AK486" s="382"/>
      <c r="AL486" s="382"/>
      <c r="AM486" s="382"/>
      <c r="AN486" s="382"/>
      <c r="AO486" s="382"/>
      <c r="AP486" s="382"/>
      <c r="AQ486" s="382"/>
      <c r="AR486" s="382"/>
      <c r="AS486" s="382"/>
      <c r="AT486" s="382"/>
      <c r="AU486" s="382"/>
      <c r="AV486" s="382"/>
      <c r="AW486" s="382"/>
      <c r="AX486" s="382"/>
      <c r="AY486" s="382"/>
      <c r="AZ486" s="382"/>
      <c r="BA486" s="382"/>
      <c r="BB486" s="382"/>
      <c r="BC486" s="382"/>
      <c r="BD486" s="382"/>
      <c r="BE486" s="382"/>
      <c r="BF486" s="382"/>
      <c r="BG486" s="382"/>
      <c r="BH486" s="382"/>
      <c r="BI486" s="382"/>
      <c r="BJ486" s="382"/>
      <c r="BK486" s="382"/>
      <c r="BL486" s="382"/>
      <c r="BM486" s="382"/>
      <c r="BN486" s="382"/>
      <c r="BO486" s="382"/>
      <c r="BP486" s="382"/>
      <c r="BQ486" s="382"/>
      <c r="BR486" s="382"/>
      <c r="BS486" s="382"/>
      <c r="BT486" s="382"/>
      <c r="BU486" s="496"/>
      <c r="BV486" s="382"/>
      <c r="BW486" s="382"/>
      <c r="BX486" s="382"/>
      <c r="BY486" s="382"/>
      <c r="BZ486" s="382"/>
      <c r="CA486" s="382"/>
      <c r="CB486" s="382"/>
      <c r="CC486" s="382"/>
      <c r="CD486" s="382"/>
      <c r="CE486" s="382"/>
      <c r="CF486" s="382"/>
      <c r="CG486" s="382"/>
      <c r="CH486" s="382"/>
      <c r="CI486" s="382"/>
      <c r="CJ486" s="382"/>
      <c r="CK486" s="382"/>
      <c r="CL486" s="382"/>
      <c r="CM486" s="382"/>
      <c r="CN486" s="382"/>
      <c r="CO486" s="382"/>
      <c r="CP486" s="382"/>
      <c r="CQ486" s="382"/>
      <c r="CR486" s="382"/>
      <c r="CS486" s="382"/>
      <c r="CT486" s="382"/>
      <c r="CU486" s="382"/>
      <c r="CV486" s="382"/>
      <c r="CW486" s="189"/>
      <c r="CX486" s="382"/>
      <c r="CY486" s="382"/>
      <c r="CZ486" s="382"/>
      <c r="DA486" s="382"/>
      <c r="DB486" s="382"/>
      <c r="DC486" s="382"/>
      <c r="DD486" s="382"/>
      <c r="DE486" s="382"/>
      <c r="DF486" s="382"/>
      <c r="DG486" s="382"/>
      <c r="DH486" s="382"/>
      <c r="DI486" s="382"/>
      <c r="DJ486" s="382"/>
      <c r="DK486" s="382"/>
      <c r="DL486" s="382"/>
      <c r="DM486" s="382"/>
      <c r="DN486" s="382"/>
      <c r="DO486" s="382"/>
      <c r="DP486" s="382"/>
      <c r="DQ486" s="382"/>
      <c r="DR486" s="382"/>
      <c r="DS486" s="382"/>
      <c r="DT486" s="382"/>
      <c r="DU486" s="382"/>
      <c r="DV486" s="382"/>
      <c r="DW486" s="382"/>
      <c r="DX486" s="382"/>
      <c r="DY486" s="382"/>
      <c r="DZ486" s="228"/>
    </row>
    <row r="487" spans="4:130" s="180" customFormat="1" x14ac:dyDescent="0.2">
      <c r="D487" s="805"/>
      <c r="E487" s="805"/>
      <c r="F487" s="805"/>
      <c r="G487" s="805"/>
      <c r="H487" s="805"/>
      <c r="I487" s="805"/>
      <c r="J487" s="805"/>
      <c r="K487" s="805"/>
      <c r="L487" s="805"/>
      <c r="M487" s="805"/>
      <c r="N487" s="806"/>
      <c r="O487" s="805"/>
      <c r="P487" s="805"/>
      <c r="Q487" s="807"/>
      <c r="R487" s="807"/>
      <c r="S487" s="825"/>
      <c r="T487" s="805"/>
      <c r="U487" s="805"/>
      <c r="V487" s="805"/>
      <c r="W487" s="805"/>
      <c r="X487" s="805"/>
      <c r="Y487" s="297"/>
      <c r="AB487" s="382"/>
      <c r="AC487" s="382"/>
      <c r="AD487" s="496"/>
      <c r="AE487" s="382"/>
      <c r="AF487" s="382"/>
      <c r="AG487" s="382"/>
      <c r="AH487" s="382"/>
      <c r="AI487" s="382"/>
      <c r="AJ487" s="382"/>
      <c r="AK487" s="382"/>
      <c r="AL487" s="382"/>
      <c r="AM487" s="382"/>
      <c r="AN487" s="382"/>
      <c r="AO487" s="382"/>
      <c r="AP487" s="382"/>
      <c r="AQ487" s="382"/>
      <c r="AR487" s="382"/>
      <c r="AS487" s="382"/>
      <c r="AT487" s="382"/>
      <c r="AU487" s="382"/>
      <c r="AV487" s="382"/>
      <c r="AW487" s="382"/>
      <c r="AX487" s="382"/>
      <c r="AY487" s="382"/>
      <c r="AZ487" s="382"/>
      <c r="BA487" s="382"/>
      <c r="BB487" s="382"/>
      <c r="BC487" s="382"/>
      <c r="BD487" s="382"/>
      <c r="BE487" s="382"/>
      <c r="BF487" s="382"/>
      <c r="BG487" s="382"/>
      <c r="BH487" s="382"/>
      <c r="BI487" s="382"/>
      <c r="BJ487" s="382"/>
      <c r="BK487" s="382"/>
      <c r="BL487" s="382"/>
      <c r="BM487" s="382"/>
      <c r="BN487" s="382"/>
      <c r="BO487" s="382"/>
      <c r="BP487" s="382"/>
      <c r="BQ487" s="382"/>
      <c r="BR487" s="382"/>
      <c r="BS487" s="382"/>
      <c r="BT487" s="382"/>
      <c r="BU487" s="496"/>
      <c r="BV487" s="382"/>
      <c r="BW487" s="382"/>
      <c r="BX487" s="382"/>
      <c r="BY487" s="382"/>
      <c r="BZ487" s="382"/>
      <c r="CA487" s="382"/>
      <c r="CB487" s="382"/>
      <c r="CC487" s="382"/>
      <c r="CD487" s="382"/>
      <c r="CE487" s="382"/>
      <c r="CF487" s="382"/>
      <c r="CG487" s="382"/>
      <c r="CH487" s="382"/>
      <c r="CI487" s="382"/>
      <c r="CJ487" s="382"/>
      <c r="CK487" s="382"/>
      <c r="CL487" s="382"/>
      <c r="CM487" s="382"/>
      <c r="CN487" s="382"/>
      <c r="CO487" s="382"/>
      <c r="CP487" s="382"/>
      <c r="CQ487" s="382"/>
      <c r="CR487" s="382"/>
      <c r="CS487" s="382"/>
      <c r="CT487" s="382"/>
      <c r="CU487" s="382"/>
      <c r="CV487" s="382"/>
      <c r="CW487" s="189"/>
      <c r="CX487" s="382"/>
      <c r="CY487" s="382"/>
      <c r="CZ487" s="382"/>
      <c r="DA487" s="382"/>
      <c r="DB487" s="382"/>
      <c r="DC487" s="382"/>
      <c r="DD487" s="382"/>
      <c r="DE487" s="382"/>
      <c r="DF487" s="382"/>
      <c r="DG487" s="382"/>
      <c r="DH487" s="382"/>
      <c r="DI487" s="382"/>
      <c r="DJ487" s="382"/>
      <c r="DK487" s="382"/>
      <c r="DL487" s="382"/>
      <c r="DM487" s="382"/>
      <c r="DN487" s="382"/>
      <c r="DO487" s="382"/>
      <c r="DP487" s="382"/>
      <c r="DQ487" s="382"/>
      <c r="DR487" s="382"/>
      <c r="DS487" s="382"/>
      <c r="DT487" s="382"/>
      <c r="DU487" s="382"/>
      <c r="DV487" s="382"/>
      <c r="DW487" s="382"/>
      <c r="DX487" s="382"/>
      <c r="DY487" s="382"/>
      <c r="DZ487" s="228"/>
    </row>
    <row r="488" spans="4:130" s="180" customFormat="1" x14ac:dyDescent="0.2">
      <c r="D488" s="805"/>
      <c r="E488" s="805"/>
      <c r="F488" s="805"/>
      <c r="G488" s="805"/>
      <c r="H488" s="805"/>
      <c r="I488" s="805"/>
      <c r="J488" s="805"/>
      <c r="K488" s="805"/>
      <c r="L488" s="805"/>
      <c r="M488" s="805"/>
      <c r="N488" s="806"/>
      <c r="O488" s="805"/>
      <c r="P488" s="805"/>
      <c r="Q488" s="807"/>
      <c r="R488" s="807"/>
      <c r="S488" s="825"/>
      <c r="T488" s="805"/>
      <c r="U488" s="805"/>
      <c r="V488" s="805"/>
      <c r="W488" s="805"/>
      <c r="X488" s="805"/>
      <c r="Y488" s="297"/>
      <c r="AB488" s="382"/>
      <c r="AC488" s="382"/>
      <c r="AD488" s="496"/>
      <c r="AE488" s="382"/>
      <c r="AF488" s="382"/>
      <c r="AG488" s="382"/>
      <c r="AH488" s="382"/>
      <c r="AI488" s="382"/>
      <c r="AJ488" s="382"/>
      <c r="AK488" s="382"/>
      <c r="AL488" s="382"/>
      <c r="AM488" s="382"/>
      <c r="AN488" s="382"/>
      <c r="AO488" s="382"/>
      <c r="AP488" s="382"/>
      <c r="AQ488" s="382"/>
      <c r="AR488" s="382"/>
      <c r="AS488" s="382"/>
      <c r="AT488" s="382"/>
      <c r="AU488" s="382"/>
      <c r="AV488" s="382"/>
      <c r="AW488" s="382"/>
      <c r="AX488" s="382"/>
      <c r="AY488" s="382"/>
      <c r="AZ488" s="382"/>
      <c r="BA488" s="382"/>
      <c r="BB488" s="382"/>
      <c r="BC488" s="382"/>
      <c r="BD488" s="382"/>
      <c r="BE488" s="382"/>
      <c r="BF488" s="382"/>
      <c r="BG488" s="382"/>
      <c r="BH488" s="382"/>
      <c r="BI488" s="382"/>
      <c r="BJ488" s="382"/>
      <c r="BK488" s="382"/>
      <c r="BL488" s="382"/>
      <c r="BM488" s="382"/>
      <c r="BN488" s="382"/>
      <c r="BO488" s="382"/>
      <c r="BP488" s="382"/>
      <c r="BQ488" s="382"/>
      <c r="BR488" s="382"/>
      <c r="BS488" s="382"/>
      <c r="BT488" s="382"/>
      <c r="BU488" s="496"/>
      <c r="BV488" s="382"/>
      <c r="BW488" s="382"/>
      <c r="BX488" s="382"/>
      <c r="BY488" s="382"/>
      <c r="BZ488" s="382"/>
      <c r="CA488" s="382"/>
      <c r="CB488" s="382"/>
      <c r="CC488" s="382"/>
      <c r="CD488" s="382"/>
      <c r="CE488" s="382"/>
      <c r="CF488" s="382"/>
      <c r="CG488" s="382"/>
      <c r="CH488" s="382"/>
      <c r="CI488" s="382"/>
      <c r="CJ488" s="382"/>
      <c r="CK488" s="382"/>
      <c r="CL488" s="382"/>
      <c r="CM488" s="382"/>
      <c r="CN488" s="382"/>
      <c r="CO488" s="382"/>
      <c r="CP488" s="382"/>
      <c r="CQ488" s="382"/>
      <c r="CR488" s="382"/>
      <c r="CS488" s="382"/>
      <c r="CT488" s="382"/>
      <c r="CU488" s="382"/>
      <c r="CV488" s="382"/>
      <c r="CW488" s="189"/>
      <c r="CX488" s="382"/>
      <c r="CY488" s="382"/>
      <c r="CZ488" s="382"/>
      <c r="DA488" s="382"/>
      <c r="DB488" s="382"/>
      <c r="DC488" s="382"/>
      <c r="DD488" s="382"/>
      <c r="DE488" s="382"/>
      <c r="DF488" s="382"/>
      <c r="DG488" s="382"/>
      <c r="DH488" s="382"/>
      <c r="DI488" s="382"/>
      <c r="DJ488" s="382"/>
      <c r="DK488" s="382"/>
      <c r="DL488" s="382"/>
      <c r="DM488" s="382"/>
      <c r="DN488" s="382"/>
      <c r="DO488" s="382"/>
      <c r="DP488" s="382"/>
      <c r="DQ488" s="382"/>
      <c r="DR488" s="382"/>
      <c r="DS488" s="382"/>
      <c r="DT488" s="382"/>
      <c r="DU488" s="382"/>
      <c r="DV488" s="382"/>
      <c r="DW488" s="382"/>
      <c r="DX488" s="382"/>
      <c r="DY488" s="382"/>
      <c r="DZ488" s="228"/>
    </row>
    <row r="489" spans="4:130" s="180" customFormat="1" x14ac:dyDescent="0.2">
      <c r="D489" s="805"/>
      <c r="E489" s="805"/>
      <c r="F489" s="805"/>
      <c r="G489" s="805"/>
      <c r="H489" s="805"/>
      <c r="I489" s="805"/>
      <c r="J489" s="805"/>
      <c r="K489" s="805"/>
      <c r="L489" s="805"/>
      <c r="M489" s="805"/>
      <c r="N489" s="806"/>
      <c r="O489" s="805"/>
      <c r="P489" s="805"/>
      <c r="Q489" s="807"/>
      <c r="R489" s="807"/>
      <c r="S489" s="825"/>
      <c r="T489" s="805"/>
      <c r="U489" s="805"/>
      <c r="V489" s="805"/>
      <c r="W489" s="805"/>
      <c r="X489" s="805"/>
      <c r="Y489" s="297"/>
      <c r="AB489" s="382"/>
      <c r="AC489" s="382"/>
      <c r="AD489" s="496"/>
      <c r="AE489" s="382"/>
      <c r="AF489" s="382"/>
      <c r="AG489" s="382"/>
      <c r="AH489" s="382"/>
      <c r="AI489" s="382"/>
      <c r="AJ489" s="382"/>
      <c r="AK489" s="382"/>
      <c r="AL489" s="382"/>
      <c r="AM489" s="382"/>
      <c r="AN489" s="382"/>
      <c r="AO489" s="382"/>
      <c r="AP489" s="382"/>
      <c r="AQ489" s="382"/>
      <c r="AR489" s="382"/>
      <c r="AS489" s="382"/>
      <c r="AT489" s="382"/>
      <c r="AU489" s="382"/>
      <c r="AV489" s="382"/>
      <c r="AW489" s="382"/>
      <c r="AX489" s="382"/>
      <c r="AY489" s="382"/>
      <c r="AZ489" s="382"/>
      <c r="BA489" s="382"/>
      <c r="BB489" s="382"/>
      <c r="BC489" s="382"/>
      <c r="BD489" s="382"/>
      <c r="BE489" s="382"/>
      <c r="BF489" s="382"/>
      <c r="BG489" s="382"/>
      <c r="BH489" s="382"/>
      <c r="BI489" s="382"/>
      <c r="BJ489" s="382"/>
      <c r="BK489" s="382"/>
      <c r="BL489" s="382"/>
      <c r="BM489" s="382"/>
      <c r="BN489" s="382"/>
      <c r="BO489" s="382"/>
      <c r="BP489" s="382"/>
      <c r="BQ489" s="382"/>
      <c r="BR489" s="382"/>
      <c r="BS489" s="382"/>
      <c r="BT489" s="382"/>
      <c r="BU489" s="496"/>
      <c r="BV489" s="382"/>
      <c r="BW489" s="382"/>
      <c r="BX489" s="382"/>
      <c r="BY489" s="382"/>
      <c r="BZ489" s="382"/>
      <c r="CA489" s="382"/>
      <c r="CB489" s="382"/>
      <c r="CC489" s="382"/>
      <c r="CD489" s="382"/>
      <c r="CE489" s="382"/>
      <c r="CF489" s="382"/>
      <c r="CG489" s="382"/>
      <c r="CH489" s="382"/>
      <c r="CI489" s="382"/>
      <c r="CJ489" s="382"/>
      <c r="CK489" s="382"/>
      <c r="CL489" s="382"/>
      <c r="CM489" s="382"/>
      <c r="CN489" s="382"/>
      <c r="CO489" s="382"/>
      <c r="CP489" s="382"/>
      <c r="CQ489" s="382"/>
      <c r="CR489" s="382"/>
      <c r="CS489" s="382"/>
      <c r="CT489" s="382"/>
      <c r="CU489" s="382"/>
      <c r="CV489" s="382"/>
      <c r="CW489" s="189"/>
      <c r="CX489" s="382"/>
      <c r="CY489" s="382"/>
      <c r="CZ489" s="382"/>
      <c r="DA489" s="382"/>
      <c r="DB489" s="382"/>
      <c r="DC489" s="382"/>
      <c r="DD489" s="382"/>
      <c r="DE489" s="382"/>
      <c r="DF489" s="382"/>
      <c r="DG489" s="382"/>
      <c r="DH489" s="382"/>
      <c r="DI489" s="382"/>
      <c r="DJ489" s="382"/>
      <c r="DK489" s="382"/>
      <c r="DL489" s="382"/>
      <c r="DM489" s="382"/>
      <c r="DN489" s="382"/>
      <c r="DO489" s="382"/>
      <c r="DP489" s="382"/>
      <c r="DQ489" s="382"/>
      <c r="DR489" s="382"/>
      <c r="DS489" s="382"/>
      <c r="DT489" s="382"/>
      <c r="DU489" s="382"/>
      <c r="DV489" s="382"/>
      <c r="DW489" s="382"/>
      <c r="DX489" s="382"/>
      <c r="DY489" s="382"/>
      <c r="DZ489" s="228"/>
    </row>
    <row r="490" spans="4:130" s="180" customFormat="1" x14ac:dyDescent="0.2">
      <c r="D490" s="805"/>
      <c r="E490" s="805"/>
      <c r="F490" s="805"/>
      <c r="G490" s="805"/>
      <c r="H490" s="805"/>
      <c r="I490" s="805"/>
      <c r="J490" s="805"/>
      <c r="K490" s="805"/>
      <c r="L490" s="805"/>
      <c r="M490" s="805"/>
      <c r="N490" s="806"/>
      <c r="O490" s="805"/>
      <c r="P490" s="805"/>
      <c r="Q490" s="807"/>
      <c r="R490" s="807"/>
      <c r="S490" s="825"/>
      <c r="T490" s="805"/>
      <c r="U490" s="805"/>
      <c r="V490" s="805"/>
      <c r="W490" s="805"/>
      <c r="X490" s="805"/>
      <c r="Y490" s="297"/>
      <c r="AB490" s="382"/>
      <c r="AC490" s="382"/>
      <c r="AD490" s="496"/>
      <c r="AE490" s="382"/>
      <c r="AF490" s="382"/>
      <c r="AG490" s="382"/>
      <c r="AH490" s="382"/>
      <c r="AI490" s="382"/>
      <c r="AJ490" s="382"/>
      <c r="AK490" s="382"/>
      <c r="AL490" s="382"/>
      <c r="AM490" s="382"/>
      <c r="AN490" s="382"/>
      <c r="AO490" s="382"/>
      <c r="AP490" s="382"/>
      <c r="AQ490" s="382"/>
      <c r="AR490" s="382"/>
      <c r="AS490" s="382"/>
      <c r="AT490" s="382"/>
      <c r="AU490" s="382"/>
      <c r="AV490" s="382"/>
      <c r="AW490" s="382"/>
      <c r="AX490" s="382"/>
      <c r="AY490" s="382"/>
      <c r="AZ490" s="382"/>
      <c r="BA490" s="382"/>
      <c r="BB490" s="382"/>
      <c r="BC490" s="382"/>
      <c r="BD490" s="382"/>
      <c r="BE490" s="382"/>
      <c r="BF490" s="382"/>
      <c r="BG490" s="382"/>
      <c r="BH490" s="382"/>
      <c r="BI490" s="382"/>
      <c r="BJ490" s="382"/>
      <c r="BK490" s="382"/>
      <c r="BL490" s="382"/>
      <c r="BM490" s="382"/>
      <c r="BN490" s="382"/>
      <c r="BO490" s="382"/>
      <c r="BP490" s="382"/>
      <c r="BQ490" s="382"/>
      <c r="BR490" s="382"/>
      <c r="BS490" s="382"/>
      <c r="BT490" s="382"/>
      <c r="BU490" s="496"/>
      <c r="BV490" s="382"/>
      <c r="BW490" s="382"/>
      <c r="BX490" s="382"/>
      <c r="BY490" s="382"/>
      <c r="BZ490" s="382"/>
      <c r="CA490" s="382"/>
      <c r="CB490" s="382"/>
      <c r="CC490" s="382"/>
      <c r="CD490" s="382"/>
      <c r="CE490" s="382"/>
      <c r="CF490" s="382"/>
      <c r="CG490" s="382"/>
      <c r="CH490" s="382"/>
      <c r="CI490" s="382"/>
      <c r="CJ490" s="382"/>
      <c r="CK490" s="382"/>
      <c r="CL490" s="382"/>
      <c r="CM490" s="382"/>
      <c r="CN490" s="382"/>
      <c r="CO490" s="382"/>
      <c r="CP490" s="382"/>
      <c r="CQ490" s="382"/>
      <c r="CR490" s="382"/>
      <c r="CS490" s="382"/>
      <c r="CT490" s="382"/>
      <c r="CU490" s="382"/>
      <c r="CV490" s="382"/>
      <c r="CW490" s="189"/>
      <c r="CX490" s="382"/>
      <c r="CY490" s="382"/>
      <c r="CZ490" s="382"/>
      <c r="DA490" s="382"/>
      <c r="DB490" s="382"/>
      <c r="DC490" s="382"/>
      <c r="DD490" s="382"/>
      <c r="DE490" s="382"/>
      <c r="DF490" s="382"/>
      <c r="DG490" s="382"/>
      <c r="DH490" s="382"/>
      <c r="DI490" s="382"/>
      <c r="DJ490" s="382"/>
      <c r="DK490" s="382"/>
      <c r="DL490" s="382"/>
      <c r="DM490" s="382"/>
      <c r="DN490" s="382"/>
      <c r="DO490" s="382"/>
      <c r="DP490" s="382"/>
      <c r="DQ490" s="382"/>
      <c r="DR490" s="382"/>
      <c r="DS490" s="382"/>
      <c r="DT490" s="382"/>
      <c r="DU490" s="382"/>
      <c r="DV490" s="382"/>
      <c r="DW490" s="382"/>
      <c r="DX490" s="382"/>
      <c r="DY490" s="382"/>
      <c r="DZ490" s="228"/>
    </row>
    <row r="491" spans="4:130" s="180" customFormat="1" x14ac:dyDescent="0.2">
      <c r="D491" s="805"/>
      <c r="E491" s="805"/>
      <c r="F491" s="805"/>
      <c r="G491" s="805"/>
      <c r="H491" s="805"/>
      <c r="I491" s="805"/>
      <c r="J491" s="805"/>
      <c r="K491" s="805"/>
      <c r="L491" s="805"/>
      <c r="M491" s="805"/>
      <c r="N491" s="806"/>
      <c r="O491" s="805"/>
      <c r="P491" s="805"/>
      <c r="Q491" s="807"/>
      <c r="R491" s="807"/>
      <c r="S491" s="825"/>
      <c r="T491" s="805"/>
      <c r="U491" s="805"/>
      <c r="V491" s="805"/>
      <c r="W491" s="805"/>
      <c r="X491" s="805"/>
      <c r="Y491" s="297"/>
      <c r="AB491" s="382"/>
      <c r="AC491" s="382"/>
      <c r="AD491" s="496"/>
      <c r="AE491" s="382"/>
      <c r="AF491" s="382"/>
      <c r="AG491" s="382"/>
      <c r="AH491" s="382"/>
      <c r="AI491" s="382"/>
      <c r="AJ491" s="382"/>
      <c r="AK491" s="382"/>
      <c r="AL491" s="382"/>
      <c r="AM491" s="382"/>
      <c r="AN491" s="382"/>
      <c r="AO491" s="382"/>
      <c r="AP491" s="382"/>
      <c r="AQ491" s="382"/>
      <c r="AR491" s="382"/>
      <c r="AS491" s="382"/>
      <c r="AT491" s="382"/>
      <c r="AU491" s="382"/>
      <c r="AV491" s="382"/>
      <c r="AW491" s="382"/>
      <c r="AX491" s="382"/>
      <c r="AY491" s="382"/>
      <c r="AZ491" s="382"/>
      <c r="BA491" s="382"/>
      <c r="BB491" s="382"/>
      <c r="BC491" s="382"/>
      <c r="BD491" s="382"/>
      <c r="BE491" s="382"/>
      <c r="BF491" s="382"/>
      <c r="BG491" s="382"/>
      <c r="BH491" s="382"/>
      <c r="BI491" s="382"/>
      <c r="BJ491" s="382"/>
      <c r="BK491" s="382"/>
      <c r="BL491" s="382"/>
      <c r="BM491" s="382"/>
      <c r="BN491" s="382"/>
      <c r="BO491" s="382"/>
      <c r="BP491" s="382"/>
      <c r="BQ491" s="382"/>
      <c r="BR491" s="382"/>
      <c r="BS491" s="382"/>
      <c r="BT491" s="382"/>
      <c r="BU491" s="496"/>
      <c r="BV491" s="382"/>
      <c r="BW491" s="382"/>
      <c r="BX491" s="382"/>
      <c r="BY491" s="382"/>
      <c r="BZ491" s="382"/>
      <c r="CA491" s="382"/>
      <c r="CB491" s="382"/>
      <c r="CC491" s="382"/>
      <c r="CD491" s="382"/>
      <c r="CE491" s="382"/>
      <c r="CF491" s="382"/>
      <c r="CG491" s="382"/>
      <c r="CH491" s="382"/>
      <c r="CI491" s="382"/>
      <c r="CJ491" s="382"/>
      <c r="CK491" s="382"/>
      <c r="CL491" s="382"/>
      <c r="CM491" s="382"/>
      <c r="CN491" s="382"/>
      <c r="CO491" s="382"/>
      <c r="CP491" s="382"/>
      <c r="CQ491" s="382"/>
      <c r="CR491" s="382"/>
      <c r="CS491" s="382"/>
      <c r="CT491" s="382"/>
      <c r="CU491" s="382"/>
      <c r="CV491" s="382"/>
      <c r="CW491" s="189"/>
      <c r="CX491" s="382"/>
      <c r="CY491" s="382"/>
      <c r="CZ491" s="382"/>
      <c r="DA491" s="382"/>
      <c r="DB491" s="382"/>
      <c r="DC491" s="382"/>
      <c r="DD491" s="382"/>
      <c r="DE491" s="382"/>
      <c r="DF491" s="382"/>
      <c r="DG491" s="382"/>
      <c r="DH491" s="382"/>
      <c r="DI491" s="382"/>
      <c r="DJ491" s="382"/>
      <c r="DK491" s="382"/>
      <c r="DL491" s="382"/>
      <c r="DM491" s="382"/>
      <c r="DN491" s="382"/>
      <c r="DO491" s="382"/>
      <c r="DP491" s="382"/>
      <c r="DQ491" s="382"/>
      <c r="DR491" s="382"/>
      <c r="DS491" s="382"/>
      <c r="DT491" s="382"/>
      <c r="DU491" s="382"/>
      <c r="DV491" s="382"/>
      <c r="DW491" s="382"/>
      <c r="DX491" s="382"/>
      <c r="DY491" s="382"/>
      <c r="DZ491" s="228"/>
    </row>
    <row r="492" spans="4:130" s="180" customFormat="1" x14ac:dyDescent="0.2">
      <c r="D492" s="805"/>
      <c r="E492" s="805"/>
      <c r="F492" s="805"/>
      <c r="G492" s="805"/>
      <c r="H492" s="805"/>
      <c r="I492" s="805"/>
      <c r="J492" s="805"/>
      <c r="K492" s="805"/>
      <c r="L492" s="805"/>
      <c r="M492" s="805"/>
      <c r="N492" s="806"/>
      <c r="O492" s="805"/>
      <c r="P492" s="805"/>
      <c r="Q492" s="807"/>
      <c r="R492" s="807"/>
      <c r="S492" s="825"/>
      <c r="T492" s="805"/>
      <c r="U492" s="805"/>
      <c r="V492" s="805"/>
      <c r="W492" s="805"/>
      <c r="X492" s="805"/>
      <c r="Y492" s="297"/>
      <c r="AB492" s="382"/>
      <c r="AC492" s="382"/>
      <c r="AD492" s="496"/>
      <c r="AE492" s="382"/>
      <c r="AF492" s="382"/>
      <c r="AG492" s="382"/>
      <c r="AH492" s="382"/>
      <c r="AI492" s="382"/>
      <c r="AJ492" s="382"/>
      <c r="AK492" s="382"/>
      <c r="AL492" s="382"/>
      <c r="AM492" s="382"/>
      <c r="AN492" s="382"/>
      <c r="AO492" s="382"/>
      <c r="AP492" s="382"/>
      <c r="AQ492" s="382"/>
      <c r="AR492" s="382"/>
      <c r="AS492" s="382"/>
      <c r="AT492" s="382"/>
      <c r="AU492" s="382"/>
      <c r="AV492" s="382"/>
      <c r="AW492" s="382"/>
      <c r="AX492" s="382"/>
      <c r="AY492" s="382"/>
      <c r="AZ492" s="382"/>
      <c r="BA492" s="382"/>
      <c r="BB492" s="382"/>
      <c r="BC492" s="382"/>
      <c r="BD492" s="382"/>
      <c r="BE492" s="382"/>
      <c r="BF492" s="382"/>
      <c r="BG492" s="382"/>
      <c r="BH492" s="382"/>
      <c r="BI492" s="382"/>
      <c r="BJ492" s="382"/>
      <c r="BK492" s="382"/>
      <c r="BL492" s="382"/>
      <c r="BM492" s="382"/>
      <c r="BN492" s="382"/>
      <c r="BO492" s="382"/>
      <c r="BP492" s="382"/>
      <c r="BQ492" s="382"/>
      <c r="BR492" s="382"/>
      <c r="BS492" s="382"/>
      <c r="BT492" s="382"/>
      <c r="BU492" s="496"/>
      <c r="BV492" s="382"/>
      <c r="BW492" s="382"/>
      <c r="BX492" s="382"/>
      <c r="BY492" s="382"/>
      <c r="BZ492" s="382"/>
      <c r="CA492" s="382"/>
      <c r="CB492" s="382"/>
      <c r="CC492" s="382"/>
      <c r="CD492" s="382"/>
      <c r="CE492" s="382"/>
      <c r="CF492" s="382"/>
      <c r="CG492" s="382"/>
      <c r="CH492" s="382"/>
      <c r="CI492" s="382"/>
      <c r="CJ492" s="382"/>
      <c r="CK492" s="382"/>
      <c r="CL492" s="382"/>
      <c r="CM492" s="382"/>
      <c r="CN492" s="382"/>
      <c r="CO492" s="382"/>
      <c r="CP492" s="382"/>
      <c r="CQ492" s="382"/>
      <c r="CR492" s="382"/>
      <c r="CS492" s="382"/>
      <c r="CT492" s="382"/>
      <c r="CU492" s="382"/>
      <c r="CV492" s="382"/>
      <c r="CW492" s="189"/>
      <c r="CX492" s="382"/>
      <c r="CY492" s="382"/>
      <c r="CZ492" s="382"/>
      <c r="DA492" s="382"/>
      <c r="DB492" s="382"/>
      <c r="DC492" s="382"/>
      <c r="DD492" s="382"/>
      <c r="DE492" s="382"/>
      <c r="DF492" s="382"/>
      <c r="DG492" s="382"/>
      <c r="DH492" s="382"/>
      <c r="DI492" s="382"/>
      <c r="DJ492" s="382"/>
      <c r="DK492" s="382"/>
      <c r="DL492" s="382"/>
      <c r="DM492" s="382"/>
      <c r="DN492" s="382"/>
      <c r="DO492" s="382"/>
      <c r="DP492" s="382"/>
      <c r="DQ492" s="382"/>
      <c r="DR492" s="382"/>
      <c r="DS492" s="382"/>
      <c r="DT492" s="382"/>
      <c r="DU492" s="382"/>
      <c r="DV492" s="382"/>
      <c r="DW492" s="382"/>
      <c r="DX492" s="382"/>
      <c r="DY492" s="382"/>
      <c r="DZ492" s="228"/>
    </row>
    <row r="493" spans="4:130" s="180" customFormat="1" x14ac:dyDescent="0.2">
      <c r="D493" s="805"/>
      <c r="E493" s="805"/>
      <c r="F493" s="805"/>
      <c r="G493" s="805"/>
      <c r="H493" s="805"/>
      <c r="I493" s="805"/>
      <c r="J493" s="805"/>
      <c r="K493" s="805"/>
      <c r="L493" s="805"/>
      <c r="M493" s="805"/>
      <c r="N493" s="806"/>
      <c r="O493" s="805"/>
      <c r="P493" s="805"/>
      <c r="Q493" s="807"/>
      <c r="R493" s="807"/>
      <c r="S493" s="825"/>
      <c r="T493" s="805"/>
      <c r="U493" s="805"/>
      <c r="V493" s="805"/>
      <c r="W493" s="805"/>
      <c r="X493" s="805"/>
      <c r="Y493" s="297"/>
      <c r="AB493" s="382"/>
      <c r="AC493" s="382"/>
      <c r="AD493" s="496"/>
      <c r="AE493" s="382"/>
      <c r="AF493" s="382"/>
      <c r="AG493" s="382"/>
      <c r="AH493" s="382"/>
      <c r="AI493" s="382"/>
      <c r="AJ493" s="382"/>
      <c r="AK493" s="382"/>
      <c r="AL493" s="382"/>
      <c r="AM493" s="382"/>
      <c r="AN493" s="382"/>
      <c r="AO493" s="382"/>
      <c r="AP493" s="382"/>
      <c r="AQ493" s="382"/>
      <c r="AR493" s="382"/>
      <c r="AS493" s="382"/>
      <c r="AT493" s="382"/>
      <c r="AU493" s="382"/>
      <c r="AV493" s="382"/>
      <c r="AW493" s="382"/>
      <c r="AX493" s="382"/>
      <c r="AY493" s="382"/>
      <c r="AZ493" s="382"/>
      <c r="BA493" s="382"/>
      <c r="BB493" s="382"/>
      <c r="BC493" s="382"/>
      <c r="BD493" s="382"/>
      <c r="BE493" s="382"/>
      <c r="BF493" s="382"/>
      <c r="BG493" s="382"/>
      <c r="BH493" s="382"/>
      <c r="BI493" s="382"/>
      <c r="BJ493" s="382"/>
      <c r="BK493" s="382"/>
      <c r="BL493" s="382"/>
      <c r="BM493" s="382"/>
      <c r="BN493" s="382"/>
      <c r="BO493" s="382"/>
      <c r="BP493" s="382"/>
      <c r="BQ493" s="382"/>
      <c r="BR493" s="382"/>
      <c r="BS493" s="382"/>
      <c r="BT493" s="382"/>
      <c r="BU493" s="496"/>
      <c r="BV493" s="382"/>
      <c r="BW493" s="382"/>
      <c r="BX493" s="382"/>
      <c r="BY493" s="382"/>
      <c r="BZ493" s="382"/>
      <c r="CA493" s="382"/>
      <c r="CB493" s="382"/>
      <c r="CC493" s="382"/>
      <c r="CD493" s="382"/>
      <c r="CE493" s="382"/>
      <c r="CF493" s="382"/>
      <c r="CG493" s="382"/>
      <c r="CH493" s="382"/>
      <c r="CI493" s="382"/>
      <c r="CJ493" s="382"/>
      <c r="CK493" s="382"/>
      <c r="CL493" s="382"/>
      <c r="CM493" s="382"/>
      <c r="CN493" s="382"/>
      <c r="CO493" s="382"/>
      <c r="CP493" s="382"/>
      <c r="CQ493" s="382"/>
      <c r="CR493" s="382"/>
      <c r="CS493" s="382"/>
      <c r="CT493" s="382"/>
      <c r="CU493" s="382"/>
      <c r="CV493" s="382"/>
      <c r="CW493" s="189"/>
      <c r="CX493" s="382"/>
      <c r="CY493" s="382"/>
      <c r="CZ493" s="382"/>
      <c r="DA493" s="382"/>
      <c r="DB493" s="382"/>
      <c r="DC493" s="382"/>
      <c r="DD493" s="382"/>
      <c r="DE493" s="382"/>
      <c r="DF493" s="382"/>
      <c r="DG493" s="382"/>
      <c r="DH493" s="382"/>
      <c r="DI493" s="382"/>
      <c r="DJ493" s="382"/>
      <c r="DK493" s="382"/>
      <c r="DL493" s="382"/>
      <c r="DM493" s="382"/>
      <c r="DN493" s="382"/>
      <c r="DO493" s="382"/>
      <c r="DP493" s="382"/>
      <c r="DQ493" s="382"/>
      <c r="DR493" s="382"/>
      <c r="DS493" s="382"/>
      <c r="DT493" s="382"/>
      <c r="DU493" s="382"/>
      <c r="DV493" s="382"/>
      <c r="DW493" s="382"/>
      <c r="DX493" s="382"/>
      <c r="DY493" s="382"/>
      <c r="DZ493" s="228"/>
    </row>
    <row r="494" spans="4:130" s="180" customFormat="1" x14ac:dyDescent="0.2">
      <c r="D494" s="805"/>
      <c r="E494" s="805"/>
      <c r="F494" s="805"/>
      <c r="G494" s="805"/>
      <c r="H494" s="805"/>
      <c r="I494" s="805"/>
      <c r="J494" s="805"/>
      <c r="K494" s="805"/>
      <c r="L494" s="805"/>
      <c r="M494" s="805"/>
      <c r="N494" s="806"/>
      <c r="O494" s="805"/>
      <c r="P494" s="805"/>
      <c r="Q494" s="807"/>
      <c r="R494" s="807"/>
      <c r="S494" s="825"/>
      <c r="T494" s="805"/>
      <c r="U494" s="805"/>
      <c r="V494" s="805"/>
      <c r="W494" s="805"/>
      <c r="X494" s="805"/>
      <c r="Y494" s="297"/>
      <c r="AB494" s="382"/>
      <c r="AC494" s="382"/>
      <c r="AD494" s="496"/>
      <c r="AE494" s="382"/>
      <c r="AF494" s="382"/>
      <c r="AG494" s="382"/>
      <c r="AH494" s="382"/>
      <c r="AI494" s="382"/>
      <c r="AJ494" s="382"/>
      <c r="AK494" s="382"/>
      <c r="AL494" s="382"/>
      <c r="AM494" s="382"/>
      <c r="AN494" s="382"/>
      <c r="AO494" s="382"/>
      <c r="AP494" s="382"/>
      <c r="AQ494" s="382"/>
      <c r="AR494" s="382"/>
      <c r="AS494" s="382"/>
      <c r="AT494" s="382"/>
      <c r="AU494" s="382"/>
      <c r="AV494" s="382"/>
      <c r="AW494" s="382"/>
      <c r="AX494" s="382"/>
      <c r="AY494" s="382"/>
      <c r="AZ494" s="382"/>
      <c r="BA494" s="382"/>
      <c r="BB494" s="382"/>
      <c r="BC494" s="382"/>
      <c r="BD494" s="382"/>
      <c r="BE494" s="382"/>
      <c r="BF494" s="382"/>
      <c r="BG494" s="382"/>
      <c r="BH494" s="382"/>
      <c r="BI494" s="382"/>
      <c r="BJ494" s="382"/>
      <c r="BK494" s="382"/>
      <c r="BL494" s="382"/>
      <c r="BM494" s="382"/>
      <c r="BN494" s="382"/>
      <c r="BO494" s="382"/>
      <c r="BP494" s="382"/>
      <c r="BQ494" s="382"/>
      <c r="BR494" s="382"/>
      <c r="BS494" s="382"/>
      <c r="BT494" s="382"/>
      <c r="BU494" s="496"/>
      <c r="BV494" s="382"/>
      <c r="BW494" s="382"/>
      <c r="BX494" s="382"/>
      <c r="BY494" s="382"/>
      <c r="BZ494" s="382"/>
      <c r="CA494" s="382"/>
      <c r="CB494" s="382"/>
      <c r="CC494" s="382"/>
      <c r="CD494" s="382"/>
      <c r="CE494" s="382"/>
      <c r="CF494" s="382"/>
      <c r="CG494" s="382"/>
      <c r="CH494" s="382"/>
      <c r="CI494" s="382"/>
      <c r="CJ494" s="382"/>
      <c r="CK494" s="382"/>
      <c r="CL494" s="382"/>
      <c r="CM494" s="382"/>
      <c r="CN494" s="382"/>
      <c r="CO494" s="382"/>
      <c r="CP494" s="382"/>
      <c r="CQ494" s="382"/>
      <c r="CR494" s="382"/>
      <c r="CS494" s="382"/>
      <c r="CT494" s="382"/>
      <c r="CU494" s="382"/>
      <c r="CV494" s="382"/>
      <c r="CW494" s="189"/>
      <c r="CX494" s="382"/>
      <c r="CY494" s="382"/>
      <c r="CZ494" s="382"/>
      <c r="DA494" s="382"/>
      <c r="DB494" s="382"/>
      <c r="DC494" s="382"/>
      <c r="DD494" s="382"/>
      <c r="DE494" s="382"/>
      <c r="DF494" s="382"/>
      <c r="DG494" s="382"/>
      <c r="DH494" s="382"/>
      <c r="DI494" s="382"/>
      <c r="DJ494" s="382"/>
      <c r="DK494" s="382"/>
      <c r="DL494" s="382"/>
      <c r="DM494" s="382"/>
      <c r="DN494" s="382"/>
      <c r="DO494" s="382"/>
      <c r="DP494" s="382"/>
      <c r="DQ494" s="382"/>
      <c r="DR494" s="382"/>
      <c r="DS494" s="382"/>
      <c r="DT494" s="382"/>
      <c r="DU494" s="382"/>
      <c r="DV494" s="382"/>
      <c r="DW494" s="382"/>
      <c r="DX494" s="382"/>
      <c r="DY494" s="382"/>
      <c r="DZ494" s="228"/>
    </row>
    <row r="495" spans="4:130" s="180" customFormat="1" x14ac:dyDescent="0.2">
      <c r="D495" s="805"/>
      <c r="E495" s="805"/>
      <c r="F495" s="805"/>
      <c r="G495" s="805"/>
      <c r="H495" s="805"/>
      <c r="I495" s="805"/>
      <c r="J495" s="805"/>
      <c r="K495" s="805"/>
      <c r="L495" s="805"/>
      <c r="M495" s="805"/>
      <c r="N495" s="806"/>
      <c r="O495" s="805"/>
      <c r="P495" s="805"/>
      <c r="Q495" s="807"/>
      <c r="R495" s="807"/>
      <c r="S495" s="825"/>
      <c r="T495" s="805"/>
      <c r="U495" s="805"/>
      <c r="V495" s="805"/>
      <c r="W495" s="805"/>
      <c r="X495" s="805"/>
      <c r="Y495" s="297"/>
      <c r="AB495" s="382"/>
      <c r="AC495" s="382"/>
      <c r="AD495" s="496"/>
      <c r="AE495" s="382"/>
      <c r="AF495" s="382"/>
      <c r="AG495" s="382"/>
      <c r="AH495" s="382"/>
      <c r="AI495" s="382"/>
      <c r="AJ495" s="382"/>
      <c r="AK495" s="382"/>
      <c r="AL495" s="382"/>
      <c r="AM495" s="382"/>
      <c r="AN495" s="382"/>
      <c r="AO495" s="382"/>
      <c r="AP495" s="382"/>
      <c r="AQ495" s="382"/>
      <c r="AR495" s="382"/>
      <c r="AS495" s="382"/>
      <c r="AT495" s="382"/>
      <c r="AU495" s="382"/>
      <c r="AV495" s="382"/>
      <c r="AW495" s="382"/>
      <c r="AX495" s="382"/>
      <c r="AY495" s="382"/>
      <c r="AZ495" s="382"/>
      <c r="BA495" s="382"/>
      <c r="BB495" s="382"/>
      <c r="BC495" s="382"/>
      <c r="BD495" s="382"/>
      <c r="BE495" s="382"/>
      <c r="BF495" s="382"/>
      <c r="BG495" s="382"/>
      <c r="BH495" s="382"/>
      <c r="BI495" s="382"/>
      <c r="BJ495" s="382"/>
      <c r="BK495" s="382"/>
      <c r="BL495" s="382"/>
      <c r="BM495" s="382"/>
      <c r="BN495" s="382"/>
      <c r="BO495" s="382"/>
      <c r="BP495" s="382"/>
      <c r="BQ495" s="382"/>
      <c r="BR495" s="382"/>
      <c r="BS495" s="382"/>
      <c r="BT495" s="382"/>
      <c r="BU495" s="496"/>
      <c r="BV495" s="382"/>
      <c r="BW495" s="382"/>
      <c r="BX495" s="382"/>
      <c r="BY495" s="382"/>
      <c r="BZ495" s="382"/>
      <c r="CA495" s="382"/>
      <c r="CB495" s="382"/>
      <c r="CC495" s="382"/>
      <c r="CD495" s="382"/>
      <c r="CE495" s="382"/>
      <c r="CF495" s="382"/>
      <c r="CG495" s="382"/>
      <c r="CH495" s="382"/>
      <c r="CI495" s="382"/>
      <c r="CJ495" s="382"/>
      <c r="CK495" s="382"/>
      <c r="CL495" s="382"/>
      <c r="CM495" s="382"/>
      <c r="CN495" s="382"/>
      <c r="CO495" s="382"/>
      <c r="CP495" s="382"/>
      <c r="CQ495" s="382"/>
      <c r="CR495" s="382"/>
      <c r="CS495" s="382"/>
      <c r="CT495" s="382"/>
      <c r="CU495" s="382"/>
      <c r="CV495" s="382"/>
      <c r="CW495" s="189"/>
      <c r="CX495" s="382"/>
      <c r="CY495" s="382"/>
      <c r="CZ495" s="382"/>
      <c r="DA495" s="382"/>
      <c r="DB495" s="382"/>
      <c r="DC495" s="382"/>
      <c r="DD495" s="382"/>
      <c r="DE495" s="382"/>
      <c r="DF495" s="382"/>
      <c r="DG495" s="382"/>
      <c r="DH495" s="382"/>
      <c r="DI495" s="382"/>
      <c r="DJ495" s="382"/>
      <c r="DK495" s="382"/>
      <c r="DL495" s="382"/>
      <c r="DM495" s="382"/>
      <c r="DN495" s="382"/>
      <c r="DO495" s="382"/>
      <c r="DP495" s="382"/>
      <c r="DQ495" s="382"/>
      <c r="DR495" s="382"/>
      <c r="DS495" s="382"/>
      <c r="DT495" s="382"/>
      <c r="DU495" s="382"/>
      <c r="DV495" s="382"/>
      <c r="DW495" s="382"/>
      <c r="DX495" s="382"/>
      <c r="DY495" s="382"/>
      <c r="DZ495" s="228"/>
    </row>
    <row r="496" spans="4:130" s="180" customFormat="1" x14ac:dyDescent="0.2">
      <c r="D496" s="805"/>
      <c r="E496" s="805"/>
      <c r="F496" s="805"/>
      <c r="G496" s="805"/>
      <c r="H496" s="805"/>
      <c r="I496" s="805"/>
      <c r="J496" s="805"/>
      <c r="K496" s="805"/>
      <c r="L496" s="805"/>
      <c r="M496" s="805"/>
      <c r="N496" s="806"/>
      <c r="O496" s="805"/>
      <c r="P496" s="805"/>
      <c r="Q496" s="807"/>
      <c r="R496" s="807"/>
      <c r="S496" s="825"/>
      <c r="T496" s="805"/>
      <c r="U496" s="805"/>
      <c r="V496" s="805"/>
      <c r="W496" s="805"/>
      <c r="X496" s="805"/>
      <c r="Y496" s="297"/>
      <c r="AB496" s="382"/>
      <c r="AC496" s="382"/>
      <c r="AD496" s="496"/>
      <c r="AE496" s="382"/>
      <c r="AF496" s="382"/>
      <c r="AG496" s="382"/>
      <c r="AH496" s="382"/>
      <c r="AI496" s="382"/>
      <c r="AJ496" s="382"/>
      <c r="AK496" s="382"/>
      <c r="AL496" s="382"/>
      <c r="AM496" s="382"/>
      <c r="AN496" s="382"/>
      <c r="AO496" s="382"/>
      <c r="AP496" s="382"/>
      <c r="AQ496" s="382"/>
      <c r="AR496" s="382"/>
      <c r="AS496" s="382"/>
      <c r="AT496" s="382"/>
      <c r="AU496" s="382"/>
      <c r="AV496" s="382"/>
      <c r="AW496" s="382"/>
      <c r="AX496" s="382"/>
      <c r="AY496" s="382"/>
      <c r="AZ496" s="382"/>
      <c r="BA496" s="382"/>
      <c r="BB496" s="382"/>
      <c r="BC496" s="382"/>
      <c r="BD496" s="382"/>
      <c r="BE496" s="382"/>
      <c r="BF496" s="382"/>
      <c r="BG496" s="382"/>
      <c r="BH496" s="382"/>
      <c r="BI496" s="382"/>
      <c r="BJ496" s="382"/>
      <c r="BK496" s="382"/>
      <c r="BL496" s="382"/>
      <c r="BM496" s="382"/>
      <c r="BN496" s="382"/>
      <c r="BO496" s="382"/>
      <c r="BP496" s="382"/>
      <c r="BQ496" s="382"/>
      <c r="BR496" s="382"/>
      <c r="BS496" s="382"/>
      <c r="BT496" s="382"/>
      <c r="BU496" s="496"/>
      <c r="BV496" s="382"/>
      <c r="BW496" s="382"/>
      <c r="BX496" s="382"/>
      <c r="BY496" s="382"/>
      <c r="BZ496" s="382"/>
      <c r="CA496" s="382"/>
      <c r="CB496" s="382"/>
      <c r="CC496" s="382"/>
      <c r="CD496" s="382"/>
      <c r="CE496" s="382"/>
      <c r="CF496" s="382"/>
      <c r="CG496" s="382"/>
      <c r="CH496" s="382"/>
      <c r="CI496" s="382"/>
      <c r="CJ496" s="382"/>
      <c r="CK496" s="382"/>
      <c r="CL496" s="382"/>
      <c r="CM496" s="382"/>
      <c r="CN496" s="382"/>
      <c r="CO496" s="382"/>
      <c r="CP496" s="382"/>
      <c r="CQ496" s="382"/>
      <c r="CR496" s="382"/>
      <c r="CS496" s="382"/>
      <c r="CT496" s="382"/>
      <c r="CU496" s="382"/>
      <c r="CV496" s="382"/>
      <c r="CW496" s="189"/>
      <c r="CX496" s="382"/>
      <c r="CY496" s="382"/>
      <c r="CZ496" s="382"/>
      <c r="DA496" s="382"/>
      <c r="DB496" s="382"/>
      <c r="DC496" s="382"/>
      <c r="DD496" s="382"/>
      <c r="DE496" s="382"/>
      <c r="DF496" s="382"/>
      <c r="DG496" s="382"/>
      <c r="DH496" s="382"/>
      <c r="DI496" s="382"/>
      <c r="DJ496" s="382"/>
      <c r="DK496" s="382"/>
      <c r="DL496" s="382"/>
      <c r="DM496" s="382"/>
      <c r="DN496" s="382"/>
      <c r="DO496" s="382"/>
      <c r="DP496" s="382"/>
      <c r="DQ496" s="382"/>
      <c r="DR496" s="382"/>
      <c r="DS496" s="382"/>
      <c r="DT496" s="382"/>
      <c r="DU496" s="382"/>
      <c r="DV496" s="382"/>
      <c r="DW496" s="382"/>
      <c r="DX496" s="382"/>
      <c r="DY496" s="382"/>
      <c r="DZ496" s="228"/>
    </row>
    <row r="497" spans="4:130" s="180" customFormat="1" x14ac:dyDescent="0.2">
      <c r="D497" s="805"/>
      <c r="E497" s="805"/>
      <c r="F497" s="805"/>
      <c r="G497" s="805"/>
      <c r="H497" s="805"/>
      <c r="I497" s="805"/>
      <c r="J497" s="805"/>
      <c r="K497" s="805"/>
      <c r="L497" s="805"/>
      <c r="M497" s="805"/>
      <c r="N497" s="806"/>
      <c r="O497" s="805"/>
      <c r="P497" s="805"/>
      <c r="Q497" s="807"/>
      <c r="R497" s="807"/>
      <c r="S497" s="825"/>
      <c r="T497" s="805"/>
      <c r="U497" s="805"/>
      <c r="V497" s="805"/>
      <c r="W497" s="805"/>
      <c r="X497" s="805"/>
      <c r="Y497" s="297"/>
      <c r="AB497" s="382"/>
      <c r="AC497" s="382"/>
      <c r="AD497" s="496"/>
      <c r="AE497" s="382"/>
      <c r="AF497" s="382"/>
      <c r="AG497" s="382"/>
      <c r="AH497" s="382"/>
      <c r="AI497" s="382"/>
      <c r="AJ497" s="382"/>
      <c r="AK497" s="382"/>
      <c r="AL497" s="382"/>
      <c r="AM497" s="382"/>
      <c r="AN497" s="382"/>
      <c r="AO497" s="382"/>
      <c r="AP497" s="382"/>
      <c r="AQ497" s="382"/>
      <c r="AR497" s="382"/>
      <c r="AS497" s="382"/>
      <c r="AT497" s="382"/>
      <c r="AU497" s="382"/>
      <c r="AV497" s="382"/>
      <c r="AW497" s="382"/>
      <c r="AX497" s="382"/>
      <c r="AY497" s="382"/>
      <c r="AZ497" s="382"/>
      <c r="BA497" s="382"/>
      <c r="BB497" s="382"/>
      <c r="BC497" s="382"/>
      <c r="BD497" s="382"/>
      <c r="BE497" s="382"/>
      <c r="BF497" s="382"/>
      <c r="BG497" s="382"/>
      <c r="BH497" s="382"/>
      <c r="BI497" s="382"/>
      <c r="BJ497" s="382"/>
      <c r="BK497" s="382"/>
      <c r="BL497" s="382"/>
      <c r="BM497" s="382"/>
      <c r="BN497" s="382"/>
      <c r="BO497" s="382"/>
      <c r="BP497" s="382"/>
      <c r="BQ497" s="382"/>
      <c r="BR497" s="382"/>
      <c r="BS497" s="382"/>
      <c r="BT497" s="382"/>
      <c r="BU497" s="496"/>
      <c r="BV497" s="382"/>
      <c r="BW497" s="382"/>
      <c r="BX497" s="382"/>
      <c r="BY497" s="382"/>
      <c r="BZ497" s="382"/>
      <c r="CA497" s="382"/>
      <c r="CB497" s="382"/>
      <c r="CC497" s="382"/>
      <c r="CD497" s="382"/>
      <c r="CE497" s="382"/>
      <c r="CF497" s="382"/>
      <c r="CG497" s="382"/>
      <c r="CH497" s="382"/>
      <c r="CI497" s="382"/>
      <c r="CJ497" s="382"/>
      <c r="CK497" s="382"/>
      <c r="CL497" s="382"/>
      <c r="CM497" s="382"/>
      <c r="CN497" s="382"/>
      <c r="CO497" s="382"/>
      <c r="CP497" s="382"/>
      <c r="CQ497" s="382"/>
      <c r="CR497" s="382"/>
      <c r="CS497" s="382"/>
      <c r="CT497" s="382"/>
      <c r="CU497" s="382"/>
      <c r="CV497" s="382"/>
      <c r="CW497" s="189"/>
      <c r="CX497" s="382"/>
      <c r="CY497" s="382"/>
      <c r="CZ497" s="382"/>
      <c r="DA497" s="382"/>
      <c r="DB497" s="382"/>
      <c r="DC497" s="382"/>
      <c r="DD497" s="382"/>
      <c r="DE497" s="382"/>
      <c r="DF497" s="382"/>
      <c r="DG497" s="382"/>
      <c r="DH497" s="382"/>
      <c r="DI497" s="382"/>
      <c r="DJ497" s="382"/>
      <c r="DK497" s="382"/>
      <c r="DL497" s="382"/>
      <c r="DM497" s="382"/>
      <c r="DN497" s="382"/>
      <c r="DO497" s="382"/>
      <c r="DP497" s="382"/>
      <c r="DQ497" s="382"/>
      <c r="DR497" s="382"/>
      <c r="DS497" s="382"/>
      <c r="DT497" s="382"/>
      <c r="DU497" s="382"/>
      <c r="DV497" s="382"/>
      <c r="DW497" s="382"/>
      <c r="DX497" s="382"/>
      <c r="DY497" s="382"/>
      <c r="DZ497" s="228"/>
    </row>
    <row r="498" spans="4:130" s="180" customFormat="1" x14ac:dyDescent="0.2">
      <c r="D498" s="805"/>
      <c r="E498" s="805"/>
      <c r="F498" s="805"/>
      <c r="G498" s="805"/>
      <c r="H498" s="805"/>
      <c r="I498" s="805"/>
      <c r="J498" s="805"/>
      <c r="K498" s="805"/>
      <c r="L498" s="805"/>
      <c r="M498" s="805"/>
      <c r="N498" s="806"/>
      <c r="O498" s="805"/>
      <c r="P498" s="805"/>
      <c r="Q498" s="807"/>
      <c r="R498" s="807"/>
      <c r="S498" s="825"/>
      <c r="T498" s="805"/>
      <c r="U498" s="805"/>
      <c r="V498" s="805"/>
      <c r="W498" s="805"/>
      <c r="X498" s="805"/>
      <c r="Y498" s="297"/>
      <c r="AB498" s="382"/>
      <c r="AC498" s="382"/>
      <c r="AD498" s="496"/>
      <c r="AE498" s="382"/>
      <c r="AF498" s="382"/>
      <c r="AG498" s="382"/>
      <c r="AH498" s="382"/>
      <c r="AI498" s="382"/>
      <c r="AJ498" s="382"/>
      <c r="AK498" s="382"/>
      <c r="AL498" s="382"/>
      <c r="AM498" s="382"/>
      <c r="AN498" s="382"/>
      <c r="AO498" s="382"/>
      <c r="AP498" s="382"/>
      <c r="AQ498" s="382"/>
      <c r="AR498" s="382"/>
      <c r="AS498" s="382"/>
      <c r="AT498" s="382"/>
      <c r="AU498" s="382"/>
      <c r="AV498" s="382"/>
      <c r="AW498" s="382"/>
      <c r="AX498" s="382"/>
      <c r="AY498" s="382"/>
      <c r="AZ498" s="382"/>
      <c r="BA498" s="382"/>
      <c r="BB498" s="382"/>
      <c r="BC498" s="382"/>
      <c r="BD498" s="382"/>
      <c r="BE498" s="382"/>
      <c r="BF498" s="382"/>
      <c r="BG498" s="382"/>
      <c r="BH498" s="382"/>
      <c r="BI498" s="382"/>
      <c r="BJ498" s="382"/>
      <c r="BK498" s="382"/>
      <c r="BL498" s="382"/>
      <c r="BM498" s="382"/>
      <c r="BN498" s="382"/>
      <c r="BO498" s="382"/>
      <c r="BP498" s="382"/>
      <c r="BQ498" s="382"/>
      <c r="BR498" s="382"/>
      <c r="BS498" s="382"/>
      <c r="BT498" s="382"/>
      <c r="BU498" s="496"/>
      <c r="BV498" s="382"/>
      <c r="BW498" s="382"/>
      <c r="BX498" s="382"/>
      <c r="BY498" s="382"/>
      <c r="BZ498" s="382"/>
      <c r="CA498" s="382"/>
      <c r="CB498" s="382"/>
      <c r="CC498" s="382"/>
      <c r="CD498" s="382"/>
      <c r="CE498" s="382"/>
      <c r="CF498" s="382"/>
      <c r="CG498" s="382"/>
      <c r="CH498" s="382"/>
      <c r="CI498" s="382"/>
      <c r="CJ498" s="382"/>
      <c r="CK498" s="382"/>
      <c r="CL498" s="382"/>
      <c r="CM498" s="382"/>
      <c r="CN498" s="382"/>
      <c r="CO498" s="382"/>
      <c r="CP498" s="382"/>
      <c r="CQ498" s="382"/>
      <c r="CR498" s="382"/>
      <c r="CS498" s="382"/>
      <c r="CT498" s="382"/>
      <c r="CU498" s="382"/>
      <c r="CV498" s="382"/>
      <c r="CW498" s="189"/>
      <c r="CX498" s="382"/>
      <c r="CY498" s="382"/>
      <c r="CZ498" s="382"/>
      <c r="DA498" s="382"/>
      <c r="DB498" s="382"/>
      <c r="DC498" s="382"/>
      <c r="DD498" s="382"/>
      <c r="DE498" s="382"/>
      <c r="DF498" s="382"/>
      <c r="DG498" s="382"/>
      <c r="DH498" s="382"/>
      <c r="DI498" s="382"/>
      <c r="DJ498" s="382"/>
      <c r="DK498" s="382"/>
      <c r="DL498" s="382"/>
      <c r="DM498" s="382"/>
      <c r="DN498" s="382"/>
      <c r="DO498" s="382"/>
      <c r="DP498" s="382"/>
      <c r="DQ498" s="382"/>
      <c r="DR498" s="382"/>
      <c r="DS498" s="382"/>
      <c r="DT498" s="382"/>
      <c r="DU498" s="382"/>
      <c r="DV498" s="382"/>
      <c r="DW498" s="382"/>
      <c r="DX498" s="382"/>
      <c r="DY498" s="382"/>
      <c r="DZ498" s="228"/>
    </row>
    <row r="499" spans="4:130" s="180" customFormat="1" x14ac:dyDescent="0.2">
      <c r="D499" s="805"/>
      <c r="E499" s="805"/>
      <c r="F499" s="805"/>
      <c r="G499" s="805"/>
      <c r="H499" s="805"/>
      <c r="I499" s="805"/>
      <c r="J499" s="805"/>
      <c r="K499" s="805"/>
      <c r="L499" s="805"/>
      <c r="M499" s="805"/>
      <c r="N499" s="806"/>
      <c r="O499" s="805"/>
      <c r="P499" s="805"/>
      <c r="Q499" s="807"/>
      <c r="R499" s="807"/>
      <c r="S499" s="825"/>
      <c r="T499" s="805"/>
      <c r="U499" s="805"/>
      <c r="V499" s="805"/>
      <c r="W499" s="805"/>
      <c r="X499" s="805"/>
      <c r="Y499" s="297"/>
      <c r="AB499" s="382"/>
      <c r="AC499" s="382"/>
      <c r="AD499" s="496"/>
      <c r="AE499" s="382"/>
      <c r="AF499" s="382"/>
      <c r="AG499" s="382"/>
      <c r="AH499" s="382"/>
      <c r="AI499" s="382"/>
      <c r="AJ499" s="382"/>
      <c r="AK499" s="382"/>
      <c r="AL499" s="382"/>
      <c r="AM499" s="382"/>
      <c r="AN499" s="382"/>
      <c r="AO499" s="382"/>
      <c r="AP499" s="382"/>
      <c r="AQ499" s="382"/>
      <c r="AR499" s="382"/>
      <c r="AS499" s="382"/>
      <c r="AT499" s="382"/>
      <c r="AU499" s="382"/>
      <c r="AV499" s="382"/>
      <c r="AW499" s="382"/>
      <c r="AX499" s="382"/>
      <c r="AY499" s="382"/>
      <c r="AZ499" s="382"/>
      <c r="BA499" s="382"/>
      <c r="BB499" s="382"/>
      <c r="BC499" s="382"/>
      <c r="BD499" s="382"/>
      <c r="BE499" s="382"/>
      <c r="BF499" s="382"/>
      <c r="BG499" s="382"/>
      <c r="BH499" s="382"/>
      <c r="BI499" s="382"/>
      <c r="BJ499" s="382"/>
      <c r="BK499" s="382"/>
      <c r="BL499" s="382"/>
      <c r="BM499" s="382"/>
      <c r="BN499" s="382"/>
      <c r="BO499" s="382"/>
      <c r="BP499" s="382"/>
      <c r="BQ499" s="382"/>
      <c r="BR499" s="382"/>
      <c r="BS499" s="382"/>
      <c r="BT499" s="382"/>
      <c r="BU499" s="496"/>
      <c r="BV499" s="382"/>
      <c r="BW499" s="382"/>
      <c r="BX499" s="382"/>
      <c r="BY499" s="382"/>
      <c r="BZ499" s="382"/>
      <c r="CA499" s="382"/>
      <c r="CB499" s="382"/>
      <c r="CC499" s="382"/>
      <c r="CD499" s="382"/>
      <c r="CE499" s="382"/>
      <c r="CF499" s="382"/>
      <c r="CG499" s="382"/>
      <c r="CH499" s="382"/>
      <c r="CI499" s="382"/>
      <c r="CJ499" s="382"/>
      <c r="CK499" s="382"/>
      <c r="CL499" s="382"/>
      <c r="CM499" s="382"/>
      <c r="CN499" s="382"/>
      <c r="CO499" s="382"/>
      <c r="CP499" s="382"/>
      <c r="CQ499" s="382"/>
      <c r="CR499" s="382"/>
      <c r="CS499" s="382"/>
      <c r="CT499" s="382"/>
      <c r="CU499" s="382"/>
      <c r="CV499" s="382"/>
      <c r="CW499" s="189"/>
      <c r="CX499" s="382"/>
      <c r="CY499" s="382"/>
      <c r="CZ499" s="382"/>
      <c r="DA499" s="382"/>
      <c r="DB499" s="382"/>
      <c r="DC499" s="382"/>
      <c r="DD499" s="382"/>
      <c r="DE499" s="382"/>
      <c r="DF499" s="382"/>
      <c r="DG499" s="382"/>
      <c r="DH499" s="382"/>
      <c r="DI499" s="382"/>
      <c r="DJ499" s="382"/>
      <c r="DK499" s="382"/>
      <c r="DL499" s="382"/>
      <c r="DM499" s="382"/>
      <c r="DN499" s="382"/>
      <c r="DO499" s="382"/>
      <c r="DP499" s="382"/>
      <c r="DQ499" s="382"/>
      <c r="DR499" s="382"/>
      <c r="DS499" s="382"/>
      <c r="DT499" s="382"/>
      <c r="DU499" s="382"/>
      <c r="DV499" s="382"/>
      <c r="DW499" s="382"/>
      <c r="DX499" s="382"/>
      <c r="DY499" s="382"/>
      <c r="DZ499" s="228"/>
    </row>
    <row r="500" spans="4:130" s="180" customFormat="1" x14ac:dyDescent="0.2">
      <c r="D500" s="805"/>
      <c r="E500" s="805"/>
      <c r="F500" s="805"/>
      <c r="G500" s="805"/>
      <c r="H500" s="805"/>
      <c r="I500" s="805"/>
      <c r="J500" s="805"/>
      <c r="K500" s="805"/>
      <c r="L500" s="805"/>
      <c r="M500" s="805"/>
      <c r="N500" s="806"/>
      <c r="O500" s="805"/>
      <c r="P500" s="805"/>
      <c r="Q500" s="807"/>
      <c r="R500" s="807"/>
      <c r="S500" s="825"/>
      <c r="T500" s="805"/>
      <c r="U500" s="805"/>
      <c r="V500" s="805"/>
      <c r="W500" s="805"/>
      <c r="X500" s="805"/>
      <c r="Y500" s="297"/>
      <c r="AB500" s="382"/>
      <c r="AC500" s="382"/>
      <c r="AD500" s="496"/>
      <c r="AE500" s="382"/>
      <c r="AF500" s="382"/>
      <c r="AG500" s="382"/>
      <c r="AH500" s="382"/>
      <c r="AI500" s="382"/>
      <c r="AJ500" s="382"/>
      <c r="AK500" s="382"/>
      <c r="AL500" s="382"/>
      <c r="AM500" s="382"/>
      <c r="AN500" s="382"/>
      <c r="AO500" s="382"/>
      <c r="AP500" s="382"/>
      <c r="AQ500" s="382"/>
      <c r="AR500" s="382"/>
      <c r="AS500" s="382"/>
      <c r="AT500" s="382"/>
      <c r="AU500" s="382"/>
      <c r="AV500" s="382"/>
      <c r="AW500" s="382"/>
      <c r="AX500" s="382"/>
      <c r="AY500" s="382"/>
      <c r="AZ500" s="382"/>
      <c r="BA500" s="382"/>
      <c r="BB500" s="382"/>
      <c r="BC500" s="382"/>
      <c r="BD500" s="382"/>
      <c r="BE500" s="382"/>
      <c r="BF500" s="382"/>
      <c r="BG500" s="382"/>
      <c r="BH500" s="382"/>
      <c r="BI500" s="382"/>
      <c r="BJ500" s="382"/>
      <c r="BK500" s="382"/>
      <c r="BL500" s="382"/>
      <c r="BM500" s="382"/>
      <c r="BN500" s="382"/>
      <c r="BO500" s="382"/>
      <c r="BP500" s="382"/>
      <c r="BQ500" s="382"/>
      <c r="BR500" s="382"/>
      <c r="BS500" s="382"/>
      <c r="BT500" s="382"/>
      <c r="BU500" s="496"/>
      <c r="BV500" s="382"/>
      <c r="BW500" s="382"/>
      <c r="BX500" s="382"/>
      <c r="BY500" s="382"/>
      <c r="BZ500" s="382"/>
      <c r="CA500" s="382"/>
      <c r="CB500" s="382"/>
      <c r="CC500" s="382"/>
      <c r="CD500" s="382"/>
      <c r="CE500" s="382"/>
      <c r="CF500" s="382"/>
      <c r="CG500" s="382"/>
      <c r="CH500" s="382"/>
      <c r="CI500" s="382"/>
      <c r="CJ500" s="382"/>
      <c r="CK500" s="382"/>
      <c r="CL500" s="382"/>
      <c r="CM500" s="382"/>
      <c r="CN500" s="382"/>
      <c r="CO500" s="382"/>
      <c r="CP500" s="382"/>
      <c r="CQ500" s="382"/>
      <c r="CR500" s="382"/>
      <c r="CS500" s="382"/>
      <c r="CT500" s="382"/>
      <c r="CU500" s="382"/>
      <c r="CV500" s="382"/>
      <c r="CW500" s="189"/>
      <c r="CX500" s="382"/>
      <c r="CY500" s="382"/>
      <c r="CZ500" s="382"/>
      <c r="DA500" s="382"/>
      <c r="DB500" s="382"/>
      <c r="DC500" s="382"/>
      <c r="DD500" s="382"/>
      <c r="DE500" s="382"/>
      <c r="DF500" s="382"/>
      <c r="DG500" s="382"/>
      <c r="DH500" s="382"/>
      <c r="DI500" s="382"/>
      <c r="DJ500" s="382"/>
      <c r="DK500" s="382"/>
      <c r="DL500" s="382"/>
      <c r="DM500" s="382"/>
      <c r="DN500" s="382"/>
      <c r="DO500" s="382"/>
      <c r="DP500" s="382"/>
      <c r="DQ500" s="382"/>
      <c r="DR500" s="382"/>
      <c r="DS500" s="382"/>
      <c r="DT500" s="382"/>
      <c r="DU500" s="382"/>
      <c r="DV500" s="382"/>
      <c r="DW500" s="382"/>
      <c r="DX500" s="382"/>
      <c r="DY500" s="382"/>
      <c r="DZ500" s="228"/>
    </row>
    <row r="501" spans="4:130" s="180" customFormat="1" x14ac:dyDescent="0.2">
      <c r="D501" s="805"/>
      <c r="E501" s="805"/>
      <c r="F501" s="805"/>
      <c r="G501" s="805"/>
      <c r="H501" s="805"/>
      <c r="I501" s="805"/>
      <c r="J501" s="805"/>
      <c r="K501" s="805"/>
      <c r="L501" s="805"/>
      <c r="M501" s="805"/>
      <c r="N501" s="806"/>
      <c r="O501" s="805"/>
      <c r="P501" s="805"/>
      <c r="Q501" s="807"/>
      <c r="R501" s="807"/>
      <c r="S501" s="825"/>
      <c r="T501" s="805"/>
      <c r="U501" s="805"/>
      <c r="V501" s="805"/>
      <c r="W501" s="805"/>
      <c r="X501" s="805"/>
      <c r="Y501" s="297"/>
      <c r="AB501" s="382"/>
      <c r="AC501" s="382"/>
      <c r="AD501" s="496"/>
      <c r="AE501" s="382"/>
      <c r="AF501" s="382"/>
      <c r="AG501" s="382"/>
      <c r="AH501" s="382"/>
      <c r="AI501" s="382"/>
      <c r="AJ501" s="382"/>
      <c r="AK501" s="382"/>
      <c r="AL501" s="382"/>
      <c r="AM501" s="382"/>
      <c r="AN501" s="382"/>
      <c r="AO501" s="382"/>
      <c r="AP501" s="382"/>
      <c r="AQ501" s="382"/>
      <c r="AR501" s="382"/>
      <c r="AS501" s="382"/>
      <c r="AT501" s="382"/>
      <c r="AU501" s="382"/>
      <c r="AV501" s="382"/>
      <c r="AW501" s="382"/>
      <c r="AX501" s="382"/>
      <c r="AY501" s="382"/>
      <c r="AZ501" s="382"/>
      <c r="BA501" s="382"/>
      <c r="BB501" s="382"/>
      <c r="BC501" s="382"/>
      <c r="BD501" s="382"/>
      <c r="BE501" s="382"/>
      <c r="BF501" s="382"/>
      <c r="BG501" s="382"/>
      <c r="BH501" s="382"/>
      <c r="BI501" s="382"/>
      <c r="BJ501" s="382"/>
      <c r="BK501" s="382"/>
      <c r="BL501" s="382"/>
      <c r="BM501" s="382"/>
      <c r="BN501" s="382"/>
      <c r="BO501" s="382"/>
      <c r="BP501" s="382"/>
      <c r="BQ501" s="382"/>
      <c r="BR501" s="382"/>
      <c r="BS501" s="382"/>
      <c r="BT501" s="382"/>
      <c r="BU501" s="496"/>
      <c r="BV501" s="382"/>
      <c r="BW501" s="382"/>
      <c r="BX501" s="382"/>
      <c r="BY501" s="382"/>
      <c r="BZ501" s="382"/>
      <c r="CA501" s="382"/>
      <c r="CB501" s="382"/>
      <c r="CC501" s="382"/>
      <c r="CD501" s="382"/>
      <c r="CE501" s="382"/>
      <c r="CF501" s="382"/>
      <c r="CG501" s="382"/>
      <c r="CH501" s="382"/>
      <c r="CI501" s="382"/>
      <c r="CJ501" s="382"/>
      <c r="CK501" s="382"/>
      <c r="CL501" s="382"/>
      <c r="CM501" s="382"/>
      <c r="CN501" s="382"/>
      <c r="CO501" s="382"/>
      <c r="CP501" s="382"/>
      <c r="CQ501" s="382"/>
      <c r="CR501" s="382"/>
      <c r="CS501" s="382"/>
      <c r="CT501" s="382"/>
      <c r="CU501" s="382"/>
      <c r="CV501" s="382"/>
      <c r="CW501" s="189"/>
      <c r="CX501" s="382"/>
      <c r="CY501" s="382"/>
      <c r="CZ501" s="382"/>
      <c r="DA501" s="382"/>
      <c r="DB501" s="382"/>
      <c r="DC501" s="382"/>
      <c r="DD501" s="382"/>
      <c r="DE501" s="382"/>
      <c r="DF501" s="382"/>
      <c r="DG501" s="382"/>
      <c r="DH501" s="382"/>
      <c r="DI501" s="382"/>
      <c r="DJ501" s="382"/>
      <c r="DK501" s="382"/>
      <c r="DL501" s="382"/>
      <c r="DM501" s="382"/>
      <c r="DN501" s="382"/>
      <c r="DO501" s="382"/>
      <c r="DP501" s="382"/>
      <c r="DQ501" s="382"/>
      <c r="DR501" s="382"/>
      <c r="DS501" s="382"/>
      <c r="DT501" s="382"/>
      <c r="DU501" s="382"/>
      <c r="DV501" s="382"/>
      <c r="DW501" s="382"/>
      <c r="DX501" s="382"/>
      <c r="DY501" s="382"/>
      <c r="DZ501" s="228"/>
    </row>
    <row r="502" spans="4:130" s="180" customFormat="1" x14ac:dyDescent="0.2">
      <c r="D502" s="805"/>
      <c r="E502" s="805"/>
      <c r="F502" s="805"/>
      <c r="G502" s="805"/>
      <c r="H502" s="805"/>
      <c r="I502" s="805"/>
      <c r="J502" s="805"/>
      <c r="K502" s="805"/>
      <c r="L502" s="805"/>
      <c r="M502" s="805"/>
      <c r="N502" s="806"/>
      <c r="O502" s="805"/>
      <c r="P502" s="805"/>
      <c r="Q502" s="807"/>
      <c r="R502" s="807"/>
      <c r="S502" s="825"/>
      <c r="T502" s="805"/>
      <c r="U502" s="805"/>
      <c r="V502" s="805"/>
      <c r="W502" s="805"/>
      <c r="X502" s="805"/>
      <c r="Y502" s="297"/>
      <c r="AB502" s="382"/>
      <c r="AC502" s="382"/>
      <c r="AD502" s="496"/>
      <c r="AE502" s="382"/>
      <c r="AF502" s="382"/>
      <c r="AG502" s="382"/>
      <c r="AH502" s="382"/>
      <c r="AI502" s="382"/>
      <c r="AJ502" s="382"/>
      <c r="AK502" s="382"/>
      <c r="AL502" s="382"/>
      <c r="AM502" s="382"/>
      <c r="AN502" s="382"/>
      <c r="AO502" s="382"/>
      <c r="AP502" s="382"/>
      <c r="AQ502" s="382"/>
      <c r="AR502" s="382"/>
      <c r="AS502" s="382"/>
      <c r="AT502" s="382"/>
      <c r="AU502" s="382"/>
      <c r="AV502" s="382"/>
      <c r="AW502" s="382"/>
      <c r="AX502" s="382"/>
      <c r="AY502" s="382"/>
      <c r="AZ502" s="382"/>
      <c r="BA502" s="382"/>
      <c r="BB502" s="382"/>
      <c r="BC502" s="382"/>
      <c r="BD502" s="382"/>
      <c r="BE502" s="382"/>
      <c r="BF502" s="382"/>
      <c r="BG502" s="382"/>
      <c r="BH502" s="382"/>
      <c r="BI502" s="382"/>
      <c r="BJ502" s="382"/>
      <c r="BK502" s="382"/>
      <c r="BL502" s="382"/>
      <c r="BM502" s="382"/>
      <c r="BN502" s="382"/>
      <c r="BO502" s="382"/>
      <c r="BP502" s="382"/>
      <c r="BQ502" s="382"/>
      <c r="BR502" s="382"/>
      <c r="BS502" s="382"/>
      <c r="BT502" s="382"/>
      <c r="BU502" s="496"/>
      <c r="BV502" s="382"/>
      <c r="BW502" s="382"/>
      <c r="BX502" s="382"/>
      <c r="BY502" s="382"/>
      <c r="BZ502" s="382"/>
      <c r="CA502" s="382"/>
      <c r="CB502" s="382"/>
      <c r="CC502" s="382"/>
      <c r="CD502" s="382"/>
      <c r="CE502" s="382"/>
      <c r="CF502" s="382"/>
      <c r="CG502" s="382"/>
      <c r="CH502" s="382"/>
      <c r="CI502" s="382"/>
      <c r="CJ502" s="382"/>
      <c r="CK502" s="382"/>
      <c r="CL502" s="382"/>
      <c r="CM502" s="382"/>
      <c r="CN502" s="382"/>
      <c r="CO502" s="382"/>
      <c r="CP502" s="382"/>
      <c r="CQ502" s="382"/>
      <c r="CR502" s="382"/>
      <c r="CS502" s="382"/>
      <c r="CT502" s="382"/>
      <c r="CU502" s="382"/>
      <c r="CV502" s="382"/>
      <c r="CW502" s="189"/>
      <c r="CX502" s="382"/>
      <c r="CY502" s="382"/>
      <c r="CZ502" s="382"/>
      <c r="DA502" s="382"/>
      <c r="DB502" s="382"/>
      <c r="DC502" s="382"/>
      <c r="DD502" s="382"/>
      <c r="DE502" s="382"/>
      <c r="DF502" s="382"/>
      <c r="DG502" s="382"/>
      <c r="DH502" s="382"/>
      <c r="DI502" s="382"/>
      <c r="DJ502" s="382"/>
      <c r="DK502" s="382"/>
      <c r="DL502" s="382"/>
      <c r="DM502" s="382"/>
      <c r="DN502" s="382"/>
      <c r="DO502" s="382"/>
      <c r="DP502" s="382"/>
      <c r="DQ502" s="382"/>
      <c r="DR502" s="382"/>
      <c r="DS502" s="382"/>
      <c r="DT502" s="382"/>
      <c r="DU502" s="382"/>
      <c r="DV502" s="382"/>
      <c r="DW502" s="382"/>
      <c r="DX502" s="382"/>
      <c r="DY502" s="382"/>
      <c r="DZ502" s="228"/>
    </row>
    <row r="503" spans="4:130" s="180" customFormat="1" x14ac:dyDescent="0.2">
      <c r="D503" s="805"/>
      <c r="E503" s="805"/>
      <c r="F503" s="805"/>
      <c r="G503" s="805"/>
      <c r="H503" s="805"/>
      <c r="I503" s="805"/>
      <c r="J503" s="805"/>
      <c r="K503" s="805"/>
      <c r="L503" s="805"/>
      <c r="M503" s="805"/>
      <c r="N503" s="806"/>
      <c r="O503" s="805"/>
      <c r="P503" s="805"/>
      <c r="Q503" s="807"/>
      <c r="R503" s="807"/>
      <c r="S503" s="825"/>
      <c r="T503" s="805"/>
      <c r="U503" s="805"/>
      <c r="V503" s="805"/>
      <c r="W503" s="805"/>
      <c r="X503" s="805"/>
      <c r="Y503" s="297"/>
      <c r="AB503" s="382"/>
      <c r="AC503" s="382"/>
      <c r="AD503" s="496"/>
      <c r="AE503" s="382"/>
      <c r="AF503" s="382"/>
      <c r="AG503" s="382"/>
      <c r="AH503" s="382"/>
      <c r="AI503" s="382"/>
      <c r="AJ503" s="382"/>
      <c r="AK503" s="382"/>
      <c r="AL503" s="382"/>
      <c r="AM503" s="382"/>
      <c r="AN503" s="382"/>
      <c r="AO503" s="382"/>
      <c r="AP503" s="382"/>
      <c r="AQ503" s="382"/>
      <c r="AR503" s="382"/>
      <c r="AS503" s="382"/>
      <c r="AT503" s="382"/>
      <c r="AU503" s="382"/>
      <c r="AV503" s="382"/>
      <c r="AW503" s="382"/>
      <c r="AX503" s="382"/>
      <c r="AY503" s="382"/>
      <c r="AZ503" s="382"/>
      <c r="BA503" s="382"/>
      <c r="BB503" s="382"/>
      <c r="BC503" s="382"/>
      <c r="BD503" s="382"/>
      <c r="BE503" s="382"/>
      <c r="BF503" s="382"/>
      <c r="BG503" s="382"/>
      <c r="BH503" s="382"/>
      <c r="BI503" s="382"/>
      <c r="BJ503" s="382"/>
      <c r="BK503" s="382"/>
      <c r="BL503" s="382"/>
      <c r="BM503" s="382"/>
      <c r="BN503" s="382"/>
      <c r="BO503" s="382"/>
      <c r="BP503" s="382"/>
      <c r="BQ503" s="382"/>
      <c r="BR503" s="382"/>
      <c r="BS503" s="382"/>
      <c r="BT503" s="382"/>
      <c r="BU503" s="496"/>
      <c r="BV503" s="382"/>
      <c r="BW503" s="382"/>
      <c r="BX503" s="382"/>
      <c r="BY503" s="382"/>
      <c r="BZ503" s="382"/>
      <c r="CA503" s="382"/>
      <c r="CB503" s="382"/>
      <c r="CC503" s="382"/>
      <c r="CD503" s="382"/>
      <c r="CE503" s="382"/>
      <c r="CF503" s="382"/>
      <c r="CG503" s="382"/>
      <c r="CH503" s="382"/>
      <c r="CI503" s="382"/>
      <c r="CJ503" s="382"/>
      <c r="CK503" s="382"/>
      <c r="CL503" s="382"/>
      <c r="CM503" s="382"/>
      <c r="CN503" s="382"/>
      <c r="CO503" s="382"/>
      <c r="CP503" s="382"/>
      <c r="CQ503" s="382"/>
      <c r="CR503" s="382"/>
      <c r="CS503" s="382"/>
      <c r="CT503" s="382"/>
      <c r="CU503" s="382"/>
      <c r="CV503" s="382"/>
      <c r="CW503" s="189"/>
      <c r="CX503" s="382"/>
      <c r="CY503" s="382"/>
      <c r="CZ503" s="382"/>
      <c r="DA503" s="382"/>
      <c r="DB503" s="382"/>
      <c r="DC503" s="382"/>
      <c r="DD503" s="382"/>
      <c r="DE503" s="382"/>
      <c r="DF503" s="382"/>
      <c r="DG503" s="382"/>
      <c r="DH503" s="382"/>
      <c r="DI503" s="382"/>
      <c r="DJ503" s="382"/>
      <c r="DK503" s="382"/>
      <c r="DL503" s="382"/>
      <c r="DM503" s="382"/>
      <c r="DN503" s="382"/>
      <c r="DO503" s="382"/>
      <c r="DP503" s="382"/>
      <c r="DQ503" s="382"/>
      <c r="DR503" s="382"/>
      <c r="DS503" s="382"/>
      <c r="DT503" s="382"/>
      <c r="DU503" s="382"/>
      <c r="DV503" s="382"/>
      <c r="DW503" s="382"/>
      <c r="DX503" s="382"/>
      <c r="DY503" s="382"/>
      <c r="DZ503" s="228"/>
    </row>
    <row r="504" spans="4:130" s="180" customFormat="1" ht="13.7" customHeight="1" x14ac:dyDescent="0.2">
      <c r="D504" s="800"/>
      <c r="E504" s="800"/>
      <c r="F504" s="800"/>
      <c r="G504" s="800"/>
      <c r="H504" s="800"/>
      <c r="I504" s="800"/>
      <c r="J504" s="800"/>
      <c r="K504" s="800"/>
      <c r="L504" s="800"/>
      <c r="M504" s="800"/>
      <c r="N504" s="800"/>
      <c r="O504" s="800"/>
      <c r="P504" s="800"/>
      <c r="Q504" s="800"/>
      <c r="R504" s="800"/>
      <c r="S504" s="809"/>
      <c r="T504" s="800"/>
      <c r="U504" s="800"/>
      <c r="V504" s="800"/>
      <c r="W504" s="800"/>
      <c r="X504" s="800"/>
      <c r="Y504" s="800"/>
      <c r="Z504" s="800"/>
      <c r="AA504" s="800"/>
      <c r="AB504" s="800"/>
      <c r="AC504" s="800"/>
      <c r="AD504" s="800"/>
      <c r="AE504" s="382"/>
      <c r="AF504" s="382"/>
      <c r="AG504" s="382"/>
      <c r="AH504" s="382"/>
      <c r="AI504" s="382"/>
      <c r="AJ504" s="382"/>
      <c r="AK504" s="382"/>
      <c r="AL504" s="382"/>
      <c r="AM504" s="382"/>
      <c r="AN504" s="382"/>
      <c r="AO504" s="382"/>
      <c r="AP504" s="382"/>
      <c r="AQ504" s="382"/>
      <c r="AR504" s="382"/>
      <c r="AS504" s="382"/>
      <c r="AT504" s="382"/>
      <c r="AU504" s="382"/>
      <c r="AV504" s="382"/>
      <c r="AW504" s="382"/>
      <c r="AX504" s="382"/>
      <c r="AY504" s="382"/>
      <c r="AZ504" s="382"/>
      <c r="BA504" s="382"/>
      <c r="BB504" s="382"/>
      <c r="BC504" s="382"/>
      <c r="BD504" s="382"/>
      <c r="BE504" s="382"/>
      <c r="BF504" s="382"/>
      <c r="BG504" s="382"/>
      <c r="BH504" s="382"/>
      <c r="BI504" s="382"/>
      <c r="BJ504" s="382"/>
      <c r="BK504" s="382"/>
      <c r="BL504" s="382"/>
      <c r="BM504" s="382"/>
      <c r="BN504" s="382"/>
      <c r="BO504" s="382"/>
      <c r="BP504" s="382"/>
      <c r="BQ504" s="382"/>
      <c r="BR504" s="382"/>
      <c r="BS504" s="382"/>
      <c r="BT504" s="382"/>
      <c r="BU504" s="496"/>
      <c r="BV504" s="382"/>
      <c r="BW504" s="382"/>
      <c r="BX504" s="382"/>
      <c r="BY504" s="382"/>
      <c r="BZ504" s="382"/>
      <c r="CA504" s="382"/>
      <c r="CB504" s="382"/>
      <c r="CC504" s="382"/>
      <c r="CD504" s="382"/>
      <c r="CE504" s="382"/>
      <c r="CF504" s="382"/>
      <c r="CG504" s="382"/>
      <c r="CH504" s="382"/>
      <c r="CI504" s="382"/>
      <c r="CJ504" s="382"/>
      <c r="CK504" s="382"/>
      <c r="CL504" s="382"/>
      <c r="CM504" s="382"/>
      <c r="CN504" s="382"/>
      <c r="CO504" s="382"/>
      <c r="CP504" s="382"/>
      <c r="CQ504" s="382"/>
      <c r="CR504" s="382"/>
      <c r="CS504" s="382"/>
      <c r="CT504" s="382"/>
      <c r="CU504" s="382"/>
      <c r="CV504" s="382"/>
      <c r="CW504" s="189"/>
      <c r="CX504" s="382"/>
      <c r="CY504" s="382"/>
      <c r="CZ504" s="382"/>
      <c r="DA504" s="382"/>
      <c r="DB504" s="382"/>
      <c r="DC504" s="382"/>
      <c r="DD504" s="382"/>
      <c r="DE504" s="382"/>
      <c r="DF504" s="382"/>
      <c r="DG504" s="382"/>
      <c r="DH504" s="382"/>
      <c r="DI504" s="382"/>
      <c r="DJ504" s="382"/>
      <c r="DK504" s="382"/>
      <c r="DL504" s="382"/>
      <c r="DM504" s="382"/>
      <c r="DN504" s="382"/>
      <c r="DO504" s="382"/>
      <c r="DP504" s="382"/>
      <c r="DQ504" s="382"/>
      <c r="DR504" s="382"/>
      <c r="DS504" s="382"/>
      <c r="DT504" s="382"/>
      <c r="DU504" s="382"/>
      <c r="DV504" s="382"/>
      <c r="DW504" s="382"/>
      <c r="DX504" s="382"/>
      <c r="DY504" s="382"/>
      <c r="DZ504" s="228"/>
    </row>
    <row r="505" spans="4:130" s="180" customFormat="1" x14ac:dyDescent="0.2">
      <c r="D505" s="769"/>
      <c r="E505" s="810"/>
      <c r="F505" s="769"/>
      <c r="G505" s="769"/>
      <c r="H505" s="769"/>
      <c r="I505" s="769"/>
      <c r="J505" s="769"/>
      <c r="K505" s="769"/>
      <c r="L505" s="769"/>
      <c r="M505" s="769"/>
      <c r="N505" s="769"/>
      <c r="O505" s="769"/>
      <c r="P505" s="769"/>
      <c r="Q505" s="769"/>
      <c r="R505" s="769"/>
      <c r="S505" s="404"/>
      <c r="T505" s="769"/>
      <c r="U505" s="769"/>
      <c r="V505" s="769"/>
      <c r="W505" s="769"/>
      <c r="X505" s="769"/>
      <c r="Y505" s="769"/>
      <c r="Z505" s="769"/>
      <c r="AA505" s="769"/>
      <c r="AB505" s="769"/>
      <c r="AC505" s="769"/>
      <c r="AD505" s="769"/>
      <c r="AE505" s="382"/>
      <c r="AF505" s="382"/>
      <c r="AG505" s="382"/>
      <c r="AH505" s="382"/>
      <c r="AI505" s="382"/>
      <c r="AJ505" s="382"/>
      <c r="AK505" s="382"/>
      <c r="AL505" s="382"/>
      <c r="AM505" s="382"/>
      <c r="AN505" s="382"/>
      <c r="AO505" s="382"/>
      <c r="AP505" s="382"/>
      <c r="AQ505" s="382"/>
      <c r="AR505" s="382"/>
      <c r="AS505" s="382"/>
      <c r="AT505" s="382"/>
      <c r="AU505" s="382"/>
      <c r="AV505" s="382"/>
      <c r="AW505" s="382"/>
      <c r="AX505" s="382"/>
      <c r="AY505" s="382"/>
      <c r="AZ505" s="382"/>
      <c r="BA505" s="382"/>
      <c r="BB505" s="382"/>
      <c r="BC505" s="382"/>
      <c r="BD505" s="382"/>
      <c r="BE505" s="382"/>
      <c r="BF505" s="382"/>
      <c r="BG505" s="382"/>
      <c r="BH505" s="382"/>
      <c r="BI505" s="382"/>
      <c r="BJ505" s="382"/>
      <c r="BK505" s="382"/>
      <c r="BL505" s="382"/>
      <c r="BM505" s="382"/>
      <c r="BN505" s="382"/>
      <c r="BO505" s="382"/>
      <c r="BP505" s="382"/>
      <c r="BQ505" s="382"/>
      <c r="BR505" s="382"/>
      <c r="BS505" s="382"/>
      <c r="BT505" s="382"/>
      <c r="BU505" s="496"/>
      <c r="BV505" s="382"/>
      <c r="BW505" s="382"/>
      <c r="BX505" s="382"/>
      <c r="BY505" s="382"/>
      <c r="BZ505" s="382"/>
      <c r="CA505" s="382"/>
      <c r="CB505" s="382"/>
      <c r="CC505" s="382"/>
      <c r="CD505" s="382"/>
      <c r="CE505" s="382"/>
      <c r="CF505" s="382"/>
      <c r="CG505" s="382"/>
      <c r="CH505" s="382"/>
      <c r="CI505" s="382"/>
      <c r="CJ505" s="382"/>
      <c r="CK505" s="382"/>
      <c r="CL505" s="382"/>
      <c r="CM505" s="382"/>
      <c r="CN505" s="382"/>
      <c r="CO505" s="382"/>
      <c r="CP505" s="382"/>
      <c r="CQ505" s="382"/>
      <c r="CR505" s="382"/>
      <c r="CS505" s="382"/>
      <c r="CT505" s="382"/>
      <c r="CU505" s="382"/>
      <c r="CV505" s="382"/>
      <c r="CW505" s="189"/>
      <c r="CX505" s="382"/>
      <c r="CY505" s="382"/>
      <c r="CZ505" s="382"/>
      <c r="DA505" s="382"/>
      <c r="DB505" s="382"/>
      <c r="DC505" s="382"/>
      <c r="DD505" s="382"/>
      <c r="DE505" s="382"/>
      <c r="DF505" s="382"/>
      <c r="DG505" s="382"/>
      <c r="DH505" s="382"/>
      <c r="DI505" s="382"/>
      <c r="DJ505" s="382"/>
      <c r="DK505" s="382"/>
      <c r="DL505" s="382"/>
      <c r="DM505" s="382"/>
      <c r="DN505" s="382"/>
      <c r="DO505" s="382"/>
      <c r="DP505" s="382"/>
      <c r="DQ505" s="382"/>
      <c r="DR505" s="382"/>
      <c r="DS505" s="382"/>
      <c r="DT505" s="382"/>
      <c r="DU505" s="382"/>
      <c r="DV505" s="382"/>
      <c r="DW505" s="382"/>
      <c r="DX505" s="382"/>
      <c r="DY505" s="382"/>
      <c r="DZ505" s="228"/>
    </row>
    <row r="506" spans="4:130" s="180" customFormat="1" x14ac:dyDescent="0.2"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  <c r="N506" s="769"/>
      <c r="O506" s="769"/>
      <c r="P506" s="769"/>
      <c r="Q506" s="769"/>
      <c r="R506" s="769"/>
      <c r="S506" s="404"/>
      <c r="T506" s="769"/>
      <c r="U506" s="769"/>
      <c r="V506" s="769"/>
      <c r="W506" s="769"/>
      <c r="X506" s="769"/>
      <c r="Y506" s="769"/>
      <c r="Z506" s="769"/>
      <c r="AA506" s="769"/>
      <c r="AB506" s="769"/>
      <c r="AC506" s="769"/>
      <c r="AD506" s="769"/>
      <c r="AE506" s="382"/>
      <c r="AF506" s="382"/>
      <c r="AG506" s="382"/>
      <c r="AH506" s="382"/>
      <c r="AI506" s="382"/>
      <c r="AJ506" s="382"/>
      <c r="AK506" s="382"/>
      <c r="AL506" s="382"/>
      <c r="AM506" s="382"/>
      <c r="AN506" s="382"/>
      <c r="AO506" s="382"/>
      <c r="AP506" s="382"/>
      <c r="AQ506" s="382"/>
      <c r="AR506" s="382"/>
      <c r="AS506" s="382"/>
      <c r="AT506" s="382"/>
      <c r="AU506" s="382"/>
      <c r="AV506" s="382"/>
      <c r="AW506" s="382"/>
      <c r="AX506" s="382"/>
      <c r="AY506" s="382"/>
      <c r="AZ506" s="382"/>
      <c r="BA506" s="382"/>
      <c r="BB506" s="382"/>
      <c r="BC506" s="382"/>
      <c r="BD506" s="382"/>
      <c r="BE506" s="382"/>
      <c r="BF506" s="382"/>
      <c r="BG506" s="382"/>
      <c r="BH506" s="382"/>
      <c r="BI506" s="382"/>
      <c r="BJ506" s="382"/>
      <c r="BK506" s="382"/>
      <c r="BL506" s="382"/>
      <c r="BM506" s="382"/>
      <c r="BN506" s="382"/>
      <c r="BO506" s="382"/>
      <c r="BP506" s="382"/>
      <c r="BQ506" s="382"/>
      <c r="BR506" s="382"/>
      <c r="BS506" s="382"/>
      <c r="BT506" s="382"/>
      <c r="BU506" s="496"/>
      <c r="BV506" s="382"/>
      <c r="BW506" s="382"/>
      <c r="BX506" s="382"/>
      <c r="BY506" s="382"/>
      <c r="BZ506" s="382"/>
      <c r="CA506" s="382"/>
      <c r="CB506" s="382"/>
      <c r="CC506" s="382"/>
      <c r="CD506" s="382"/>
      <c r="CE506" s="382"/>
      <c r="CF506" s="382"/>
      <c r="CG506" s="382"/>
      <c r="CH506" s="382"/>
      <c r="CI506" s="382"/>
      <c r="CJ506" s="382"/>
      <c r="CK506" s="382"/>
      <c r="CL506" s="382"/>
      <c r="CM506" s="382"/>
      <c r="CN506" s="382"/>
      <c r="CO506" s="382"/>
      <c r="CP506" s="382"/>
      <c r="CQ506" s="382"/>
      <c r="CR506" s="382"/>
      <c r="CS506" s="382"/>
      <c r="CT506" s="382"/>
      <c r="CU506" s="382"/>
      <c r="CV506" s="382"/>
      <c r="CW506" s="189"/>
      <c r="CX506" s="382"/>
      <c r="CY506" s="382"/>
      <c r="CZ506" s="382"/>
      <c r="DA506" s="382"/>
      <c r="DB506" s="382"/>
      <c r="DC506" s="382"/>
      <c r="DD506" s="382"/>
      <c r="DE506" s="382"/>
      <c r="DF506" s="382"/>
      <c r="DG506" s="382"/>
      <c r="DH506" s="382"/>
      <c r="DI506" s="382"/>
      <c r="DJ506" s="382"/>
      <c r="DK506" s="382"/>
      <c r="DL506" s="382"/>
      <c r="DM506" s="382"/>
      <c r="DN506" s="382"/>
      <c r="DO506" s="382"/>
      <c r="DP506" s="382"/>
      <c r="DQ506" s="382"/>
      <c r="DR506" s="382"/>
      <c r="DS506" s="382"/>
      <c r="DT506" s="382"/>
      <c r="DU506" s="382"/>
      <c r="DV506" s="382"/>
      <c r="DW506" s="382"/>
      <c r="DX506" s="382"/>
      <c r="DY506" s="382"/>
      <c r="DZ506" s="228"/>
    </row>
    <row r="507" spans="4:130" s="180" customFormat="1" x14ac:dyDescent="0.2">
      <c r="D507" s="805"/>
      <c r="E507" s="805"/>
      <c r="F507" s="805"/>
      <c r="G507" s="805"/>
      <c r="H507" s="805"/>
      <c r="I507" s="811"/>
      <c r="J507" s="812"/>
      <c r="K507" s="811"/>
      <c r="L507" s="812"/>
      <c r="M507" s="811"/>
      <c r="N507" s="812"/>
      <c r="O507" s="811"/>
      <c r="P507" s="813"/>
      <c r="Q507" s="811"/>
      <c r="R507" s="811"/>
      <c r="S507" s="813"/>
      <c r="T507" s="811"/>
      <c r="U507" s="813"/>
      <c r="V507" s="811"/>
      <c r="W507" s="813"/>
      <c r="X507" s="811"/>
      <c r="Y507" s="813"/>
      <c r="Z507" s="811"/>
      <c r="AA507" s="813"/>
      <c r="AB507" s="811"/>
      <c r="AC507" s="813"/>
      <c r="AD507" s="811"/>
      <c r="AE507" s="815"/>
      <c r="AF507" s="811"/>
      <c r="AG507" s="815"/>
      <c r="AH507" s="382"/>
      <c r="AI507" s="382"/>
      <c r="AJ507" s="382"/>
      <c r="AK507" s="382"/>
      <c r="AL507" s="382"/>
      <c r="AM507" s="382"/>
      <c r="AN507" s="382"/>
      <c r="AO507" s="382"/>
      <c r="AP507" s="382"/>
      <c r="AQ507" s="382"/>
      <c r="AR507" s="382"/>
      <c r="AS507" s="382"/>
      <c r="AT507" s="382"/>
      <c r="AU507" s="382"/>
      <c r="AV507" s="382"/>
      <c r="AW507" s="382"/>
      <c r="AX507" s="382"/>
      <c r="AY507" s="382"/>
      <c r="AZ507" s="382"/>
      <c r="BA507" s="382"/>
      <c r="BB507" s="382"/>
      <c r="BC507" s="382"/>
      <c r="BD507" s="382"/>
      <c r="BE507" s="382"/>
      <c r="BF507" s="382"/>
      <c r="BG507" s="382"/>
      <c r="BH507" s="382"/>
      <c r="BI507" s="382"/>
      <c r="BJ507" s="382"/>
      <c r="BK507" s="382"/>
      <c r="BL507" s="382"/>
      <c r="BM507" s="382"/>
      <c r="BN507" s="382"/>
      <c r="BO507" s="382"/>
      <c r="BP507" s="382"/>
      <c r="BQ507" s="382"/>
      <c r="BR507" s="382"/>
      <c r="BS507" s="382"/>
      <c r="BT507" s="382"/>
      <c r="BU507" s="496"/>
      <c r="BV507" s="382"/>
      <c r="BW507" s="382"/>
      <c r="BX507" s="382"/>
      <c r="BY507" s="382"/>
      <c r="BZ507" s="382"/>
      <c r="CA507" s="382"/>
      <c r="CB507" s="382"/>
      <c r="CC507" s="382"/>
      <c r="CD507" s="382"/>
      <c r="CE507" s="382"/>
      <c r="CF507" s="382"/>
      <c r="CG507" s="382"/>
      <c r="CH507" s="382"/>
      <c r="CI507" s="382"/>
      <c r="CJ507" s="382"/>
      <c r="CK507" s="382"/>
      <c r="CL507" s="382"/>
      <c r="CM507" s="382"/>
      <c r="CN507" s="382"/>
      <c r="CO507" s="382"/>
      <c r="CP507" s="382"/>
      <c r="CQ507" s="382"/>
      <c r="CR507" s="382"/>
      <c r="CS507" s="382"/>
      <c r="CT507" s="382"/>
      <c r="CU507" s="382"/>
      <c r="CV507" s="382"/>
      <c r="CW507" s="189"/>
      <c r="CX507" s="382"/>
      <c r="CY507" s="382"/>
      <c r="CZ507" s="382"/>
      <c r="DA507" s="382"/>
      <c r="DB507" s="382"/>
      <c r="DC507" s="382"/>
      <c r="DD507" s="382"/>
      <c r="DE507" s="382"/>
      <c r="DF507" s="382"/>
      <c r="DG507" s="382"/>
      <c r="DH507" s="382"/>
      <c r="DI507" s="382"/>
      <c r="DJ507" s="382"/>
      <c r="DK507" s="382"/>
      <c r="DL507" s="382"/>
      <c r="DM507" s="382"/>
      <c r="DN507" s="382"/>
      <c r="DO507" s="382"/>
      <c r="DP507" s="382"/>
      <c r="DQ507" s="382"/>
      <c r="DR507" s="382"/>
      <c r="DS507" s="382"/>
      <c r="DT507" s="382"/>
      <c r="DU507" s="382"/>
      <c r="DV507" s="382"/>
      <c r="DW507" s="382"/>
      <c r="DX507" s="382"/>
      <c r="DY507" s="382"/>
      <c r="DZ507" s="228"/>
    </row>
    <row r="508" spans="4:130" s="180" customFormat="1" x14ac:dyDescent="0.2">
      <c r="D508" s="805"/>
      <c r="E508" s="805"/>
      <c r="F508" s="805"/>
      <c r="G508" s="805"/>
      <c r="H508" s="805"/>
      <c r="I508" s="816"/>
      <c r="J508" s="817"/>
      <c r="K508" s="816"/>
      <c r="L508" s="818"/>
      <c r="M508" s="816"/>
      <c r="N508" s="818"/>
      <c r="O508" s="816"/>
      <c r="P508" s="817"/>
      <c r="Q508" s="816"/>
      <c r="R508" s="816"/>
      <c r="S508" s="817"/>
      <c r="T508" s="816"/>
      <c r="U508" s="817"/>
      <c r="V508" s="816"/>
      <c r="W508" s="817"/>
      <c r="X508" s="816"/>
      <c r="Y508" s="817"/>
      <c r="Z508" s="816"/>
      <c r="AA508" s="817"/>
      <c r="AB508" s="816"/>
      <c r="AC508" s="817"/>
      <c r="AD508" s="816"/>
      <c r="AE508" s="817"/>
      <c r="AF508" s="816"/>
      <c r="AG508" s="817"/>
      <c r="AH508" s="382"/>
      <c r="AI508" s="382"/>
      <c r="AJ508" s="382"/>
      <c r="AK508" s="382"/>
      <c r="AL508" s="382"/>
      <c r="AM508" s="382"/>
      <c r="AN508" s="382"/>
      <c r="AO508" s="382"/>
      <c r="AP508" s="382"/>
      <c r="AQ508" s="382"/>
      <c r="AR508" s="382"/>
      <c r="AS508" s="382"/>
      <c r="AT508" s="382"/>
      <c r="AU508" s="382"/>
      <c r="AV508" s="382"/>
      <c r="AW508" s="382"/>
      <c r="AX508" s="382"/>
      <c r="AY508" s="382"/>
      <c r="AZ508" s="382"/>
      <c r="BA508" s="382"/>
      <c r="BB508" s="382"/>
      <c r="BC508" s="382"/>
      <c r="BD508" s="382"/>
      <c r="BE508" s="382"/>
      <c r="BF508" s="382"/>
      <c r="BG508" s="382"/>
      <c r="BH508" s="382"/>
      <c r="BI508" s="382"/>
      <c r="BJ508" s="382"/>
      <c r="BK508" s="382"/>
      <c r="BL508" s="382"/>
      <c r="BM508" s="382"/>
      <c r="BN508" s="382"/>
      <c r="BO508" s="382"/>
      <c r="BP508" s="382"/>
      <c r="BQ508" s="382"/>
      <c r="BR508" s="382"/>
      <c r="BS508" s="382"/>
      <c r="BT508" s="382"/>
      <c r="BU508" s="496"/>
      <c r="BV508" s="382"/>
      <c r="BW508" s="382"/>
      <c r="BX508" s="382"/>
      <c r="BY508" s="382"/>
      <c r="BZ508" s="382"/>
      <c r="CA508" s="382"/>
      <c r="CB508" s="382"/>
      <c r="CC508" s="382"/>
      <c r="CD508" s="382"/>
      <c r="CE508" s="382"/>
      <c r="CF508" s="382"/>
      <c r="CG508" s="382"/>
      <c r="CH508" s="382"/>
      <c r="CI508" s="382"/>
      <c r="CJ508" s="382"/>
      <c r="CK508" s="382"/>
      <c r="CL508" s="382"/>
      <c r="CM508" s="382"/>
      <c r="CN508" s="382"/>
      <c r="CO508" s="382"/>
      <c r="CP508" s="382"/>
      <c r="CQ508" s="382"/>
      <c r="CR508" s="382"/>
      <c r="CS508" s="382"/>
      <c r="CT508" s="382"/>
      <c r="CU508" s="382"/>
      <c r="CV508" s="382"/>
      <c r="CW508" s="189"/>
      <c r="CX508" s="382"/>
      <c r="CY508" s="382"/>
      <c r="CZ508" s="382"/>
      <c r="DA508" s="382"/>
      <c r="DB508" s="382"/>
      <c r="DC508" s="382"/>
      <c r="DD508" s="382"/>
      <c r="DE508" s="382"/>
      <c r="DF508" s="382"/>
      <c r="DG508" s="382"/>
      <c r="DH508" s="382"/>
      <c r="DI508" s="382"/>
      <c r="DJ508" s="382"/>
      <c r="DK508" s="382"/>
      <c r="DL508" s="382"/>
      <c r="DM508" s="382"/>
      <c r="DN508" s="382"/>
      <c r="DO508" s="382"/>
      <c r="DP508" s="382"/>
      <c r="DQ508" s="382"/>
      <c r="DR508" s="382"/>
      <c r="DS508" s="382"/>
      <c r="DT508" s="382"/>
      <c r="DU508" s="382"/>
      <c r="DV508" s="382"/>
      <c r="DW508" s="382"/>
      <c r="DX508" s="382"/>
      <c r="DY508" s="382"/>
      <c r="DZ508" s="228"/>
    </row>
    <row r="509" spans="4:130" s="180" customFormat="1" x14ac:dyDescent="0.2">
      <c r="D509" s="805"/>
      <c r="E509" s="805"/>
      <c r="F509" s="805"/>
      <c r="G509" s="805"/>
      <c r="H509" s="805"/>
      <c r="I509" s="816"/>
      <c r="J509" s="817"/>
      <c r="K509" s="816"/>
      <c r="L509" s="817"/>
      <c r="M509" s="816"/>
      <c r="N509" s="817"/>
      <c r="O509" s="816"/>
      <c r="P509" s="817"/>
      <c r="Q509" s="816"/>
      <c r="R509" s="816"/>
      <c r="S509" s="817"/>
      <c r="T509" s="816"/>
      <c r="U509" s="817"/>
      <c r="V509" s="816"/>
      <c r="W509" s="817"/>
      <c r="X509" s="816"/>
      <c r="Y509" s="817"/>
      <c r="Z509" s="816"/>
      <c r="AA509" s="817"/>
      <c r="AB509" s="816"/>
      <c r="AC509" s="817"/>
      <c r="AD509" s="816"/>
      <c r="AE509" s="817"/>
      <c r="AF509" s="816"/>
      <c r="AG509" s="817"/>
      <c r="AH509" s="382"/>
      <c r="AI509" s="382"/>
      <c r="AJ509" s="382"/>
      <c r="AK509" s="382"/>
      <c r="AL509" s="382"/>
      <c r="AM509" s="382"/>
      <c r="AN509" s="382"/>
      <c r="AO509" s="382"/>
      <c r="AP509" s="382"/>
      <c r="AQ509" s="382"/>
      <c r="AR509" s="382"/>
      <c r="AS509" s="382"/>
      <c r="AT509" s="382"/>
      <c r="AU509" s="382"/>
      <c r="AV509" s="382"/>
      <c r="AW509" s="382"/>
      <c r="AX509" s="382"/>
      <c r="AY509" s="382"/>
      <c r="AZ509" s="382"/>
      <c r="BA509" s="382"/>
      <c r="BB509" s="382"/>
      <c r="BC509" s="382"/>
      <c r="BD509" s="382"/>
      <c r="BE509" s="382"/>
      <c r="BF509" s="382"/>
      <c r="BG509" s="382"/>
      <c r="BH509" s="382"/>
      <c r="BI509" s="382"/>
      <c r="BJ509" s="382"/>
      <c r="BK509" s="382"/>
      <c r="BL509" s="382"/>
      <c r="BM509" s="382"/>
      <c r="BN509" s="382"/>
      <c r="BO509" s="382"/>
      <c r="BP509" s="382"/>
      <c r="BQ509" s="382"/>
      <c r="BR509" s="382"/>
      <c r="BS509" s="382"/>
      <c r="BT509" s="382"/>
      <c r="BU509" s="496"/>
      <c r="BV509" s="382"/>
      <c r="BW509" s="382"/>
      <c r="BX509" s="382"/>
      <c r="BY509" s="382"/>
      <c r="BZ509" s="382"/>
      <c r="CA509" s="382"/>
      <c r="CB509" s="382"/>
      <c r="CC509" s="382"/>
      <c r="CD509" s="382"/>
      <c r="CE509" s="382"/>
      <c r="CF509" s="382"/>
      <c r="CG509" s="382"/>
      <c r="CH509" s="382"/>
      <c r="CI509" s="382"/>
      <c r="CJ509" s="382"/>
      <c r="CK509" s="382"/>
      <c r="CL509" s="382"/>
      <c r="CM509" s="382"/>
      <c r="CN509" s="382"/>
      <c r="CO509" s="382"/>
      <c r="CP509" s="382"/>
      <c r="CQ509" s="382"/>
      <c r="CR509" s="382"/>
      <c r="CS509" s="382"/>
      <c r="CT509" s="382"/>
      <c r="CU509" s="382"/>
      <c r="CV509" s="382"/>
      <c r="CW509" s="189"/>
      <c r="CX509" s="382"/>
      <c r="CY509" s="382"/>
      <c r="CZ509" s="382"/>
      <c r="DA509" s="382"/>
      <c r="DB509" s="382"/>
      <c r="DC509" s="382"/>
      <c r="DD509" s="382"/>
      <c r="DE509" s="382"/>
      <c r="DF509" s="382"/>
      <c r="DG509" s="382"/>
      <c r="DH509" s="382"/>
      <c r="DI509" s="382"/>
      <c r="DJ509" s="382"/>
      <c r="DK509" s="382"/>
      <c r="DL509" s="382"/>
      <c r="DM509" s="382"/>
      <c r="DN509" s="382"/>
      <c r="DO509" s="382"/>
      <c r="DP509" s="382"/>
      <c r="DQ509" s="382"/>
      <c r="DR509" s="382"/>
      <c r="DS509" s="382"/>
      <c r="DT509" s="382"/>
      <c r="DU509" s="382"/>
      <c r="DV509" s="382"/>
      <c r="DW509" s="382"/>
      <c r="DX509" s="382"/>
      <c r="DY509" s="382"/>
      <c r="DZ509" s="228"/>
    </row>
    <row r="510" spans="4:130" s="180" customFormat="1" x14ac:dyDescent="0.2">
      <c r="D510" s="805"/>
      <c r="E510" s="805"/>
      <c r="F510" s="805"/>
      <c r="G510" s="805"/>
      <c r="H510" s="805"/>
      <c r="I510" s="819"/>
      <c r="J510" s="817"/>
      <c r="K510" s="819"/>
      <c r="L510" s="817"/>
      <c r="M510" s="819"/>
      <c r="N510" s="817"/>
      <c r="O510" s="819"/>
      <c r="P510" s="817"/>
      <c r="Q510" s="819"/>
      <c r="R510" s="819"/>
      <c r="S510" s="817"/>
      <c r="T510" s="819"/>
      <c r="U510" s="817"/>
      <c r="V510" s="819"/>
      <c r="W510" s="817"/>
      <c r="X510" s="819"/>
      <c r="Y510" s="817"/>
      <c r="Z510" s="819"/>
      <c r="AA510" s="817"/>
      <c r="AB510" s="819"/>
      <c r="AC510" s="817"/>
      <c r="AD510" s="819"/>
      <c r="AE510" s="817"/>
      <c r="AF510" s="819"/>
      <c r="AG510" s="817"/>
      <c r="AH510" s="382"/>
      <c r="AI510" s="382"/>
      <c r="AJ510" s="382"/>
      <c r="AK510" s="382"/>
      <c r="AL510" s="382"/>
      <c r="AM510" s="382"/>
      <c r="AN510" s="382"/>
      <c r="AO510" s="382"/>
      <c r="AP510" s="382"/>
      <c r="AQ510" s="382"/>
      <c r="AR510" s="382"/>
      <c r="AS510" s="382"/>
      <c r="AT510" s="382"/>
      <c r="AU510" s="382"/>
      <c r="AV510" s="382"/>
      <c r="AW510" s="382"/>
      <c r="AX510" s="382"/>
      <c r="AY510" s="382"/>
      <c r="AZ510" s="382"/>
      <c r="BA510" s="382"/>
      <c r="BB510" s="382"/>
      <c r="BC510" s="382"/>
      <c r="BD510" s="382"/>
      <c r="BE510" s="382"/>
      <c r="BF510" s="382"/>
      <c r="BG510" s="382"/>
      <c r="BH510" s="382"/>
      <c r="BI510" s="382"/>
      <c r="BJ510" s="382"/>
      <c r="BK510" s="382"/>
      <c r="BL510" s="382"/>
      <c r="BM510" s="382"/>
      <c r="BN510" s="382"/>
      <c r="BO510" s="382"/>
      <c r="BP510" s="382"/>
      <c r="BQ510" s="382"/>
      <c r="BR510" s="382"/>
      <c r="BS510" s="382"/>
      <c r="BT510" s="382"/>
      <c r="BU510" s="496"/>
      <c r="BV510" s="382"/>
      <c r="BW510" s="382"/>
      <c r="BX510" s="382"/>
      <c r="BY510" s="382"/>
      <c r="BZ510" s="382"/>
      <c r="CA510" s="382"/>
      <c r="CB510" s="382"/>
      <c r="CC510" s="382"/>
      <c r="CD510" s="382"/>
      <c r="CE510" s="382"/>
      <c r="CF510" s="382"/>
      <c r="CG510" s="382"/>
      <c r="CH510" s="382"/>
      <c r="CI510" s="382"/>
      <c r="CJ510" s="382"/>
      <c r="CK510" s="382"/>
      <c r="CL510" s="382"/>
      <c r="CM510" s="382"/>
      <c r="CN510" s="382"/>
      <c r="CO510" s="382"/>
      <c r="CP510" s="382"/>
      <c r="CQ510" s="382"/>
      <c r="CR510" s="382"/>
      <c r="CS510" s="382"/>
      <c r="CT510" s="382"/>
      <c r="CU510" s="382"/>
      <c r="CV510" s="382"/>
      <c r="CW510" s="189"/>
      <c r="CX510" s="382"/>
      <c r="CY510" s="382"/>
      <c r="CZ510" s="382"/>
      <c r="DA510" s="382"/>
      <c r="DB510" s="382"/>
      <c r="DC510" s="382"/>
      <c r="DD510" s="382"/>
      <c r="DE510" s="382"/>
      <c r="DF510" s="382"/>
      <c r="DG510" s="382"/>
      <c r="DH510" s="382"/>
      <c r="DI510" s="382"/>
      <c r="DJ510" s="382"/>
      <c r="DK510" s="382"/>
      <c r="DL510" s="382"/>
      <c r="DM510" s="382"/>
      <c r="DN510" s="382"/>
      <c r="DO510" s="382"/>
      <c r="DP510" s="382"/>
      <c r="DQ510" s="382"/>
      <c r="DR510" s="382"/>
      <c r="DS510" s="382"/>
      <c r="DT510" s="382"/>
      <c r="DU510" s="382"/>
      <c r="DV510" s="382"/>
      <c r="DW510" s="382"/>
      <c r="DX510" s="382"/>
      <c r="DY510" s="382"/>
      <c r="DZ510" s="228"/>
    </row>
    <row r="511" spans="4:130" s="180" customFormat="1" x14ac:dyDescent="0.2">
      <c r="D511" s="805"/>
      <c r="E511" s="805"/>
      <c r="F511" s="805"/>
      <c r="G511" s="805"/>
      <c r="H511" s="805"/>
      <c r="I511" s="816"/>
      <c r="J511" s="817"/>
      <c r="K511" s="816"/>
      <c r="L511" s="817"/>
      <c r="M511" s="816"/>
      <c r="N511" s="817"/>
      <c r="O511" s="816"/>
      <c r="P511" s="817"/>
      <c r="Q511" s="816"/>
      <c r="R511" s="816"/>
      <c r="S511" s="817"/>
      <c r="T511" s="816"/>
      <c r="U511" s="817"/>
      <c r="V511" s="816"/>
      <c r="W511" s="817"/>
      <c r="X511" s="816"/>
      <c r="Y511" s="817"/>
      <c r="Z511" s="816"/>
      <c r="AA511" s="817"/>
      <c r="AB511" s="816"/>
      <c r="AC511" s="817"/>
      <c r="AD511" s="816"/>
      <c r="AE511" s="817"/>
      <c r="AF511" s="816"/>
      <c r="AG511" s="817"/>
      <c r="AH511" s="382"/>
      <c r="AI511" s="382"/>
      <c r="AJ511" s="382"/>
      <c r="AK511" s="382"/>
      <c r="AL511" s="382"/>
      <c r="AM511" s="382"/>
      <c r="AN511" s="382"/>
      <c r="AO511" s="382"/>
      <c r="AP511" s="382"/>
      <c r="AQ511" s="382"/>
      <c r="AR511" s="382"/>
      <c r="AS511" s="382"/>
      <c r="AT511" s="382"/>
      <c r="AU511" s="382"/>
      <c r="AV511" s="382"/>
      <c r="AW511" s="382"/>
      <c r="AX511" s="382"/>
      <c r="AY511" s="382"/>
      <c r="AZ511" s="382"/>
      <c r="BA511" s="382"/>
      <c r="BB511" s="382"/>
      <c r="BC511" s="382"/>
      <c r="BD511" s="382"/>
      <c r="BE511" s="382"/>
      <c r="BF511" s="382"/>
      <c r="BG511" s="382"/>
      <c r="BH511" s="382"/>
      <c r="BI511" s="382"/>
      <c r="BJ511" s="382"/>
      <c r="BK511" s="382"/>
      <c r="BL511" s="382"/>
      <c r="BM511" s="382"/>
      <c r="BN511" s="382"/>
      <c r="BO511" s="382"/>
      <c r="BP511" s="382"/>
      <c r="BQ511" s="382"/>
      <c r="BR511" s="382"/>
      <c r="BS511" s="382"/>
      <c r="BT511" s="382"/>
      <c r="BU511" s="496"/>
      <c r="BV511" s="382"/>
      <c r="BW511" s="382"/>
      <c r="BX511" s="382"/>
      <c r="BY511" s="382"/>
      <c r="BZ511" s="382"/>
      <c r="CA511" s="382"/>
      <c r="CB511" s="382"/>
      <c r="CC511" s="382"/>
      <c r="CD511" s="382"/>
      <c r="CE511" s="382"/>
      <c r="CF511" s="382"/>
      <c r="CG511" s="382"/>
      <c r="CH511" s="382"/>
      <c r="CI511" s="382"/>
      <c r="CJ511" s="382"/>
      <c r="CK511" s="382"/>
      <c r="CL511" s="382"/>
      <c r="CM511" s="382"/>
      <c r="CN511" s="382"/>
      <c r="CO511" s="382"/>
      <c r="CP511" s="382"/>
      <c r="CQ511" s="382"/>
      <c r="CR511" s="382"/>
      <c r="CS511" s="382"/>
      <c r="CT511" s="382"/>
      <c r="CU511" s="382"/>
      <c r="CV511" s="382"/>
      <c r="CW511" s="189"/>
      <c r="CX511" s="382"/>
      <c r="CY511" s="382"/>
      <c r="CZ511" s="382"/>
      <c r="DA511" s="382"/>
      <c r="DB511" s="382"/>
      <c r="DC511" s="382"/>
      <c r="DD511" s="382"/>
      <c r="DE511" s="382"/>
      <c r="DF511" s="382"/>
      <c r="DG511" s="382"/>
      <c r="DH511" s="382"/>
      <c r="DI511" s="382"/>
      <c r="DJ511" s="382"/>
      <c r="DK511" s="382"/>
      <c r="DL511" s="382"/>
      <c r="DM511" s="382"/>
      <c r="DN511" s="382"/>
      <c r="DO511" s="382"/>
      <c r="DP511" s="382"/>
      <c r="DQ511" s="382"/>
      <c r="DR511" s="382"/>
      <c r="DS511" s="382"/>
      <c r="DT511" s="382"/>
      <c r="DU511" s="382"/>
      <c r="DV511" s="382"/>
      <c r="DW511" s="382"/>
      <c r="DX511" s="382"/>
      <c r="DY511" s="382"/>
      <c r="DZ511" s="228"/>
    </row>
    <row r="512" spans="4:130" s="180" customFormat="1" x14ac:dyDescent="0.2">
      <c r="D512" s="805"/>
      <c r="E512" s="769"/>
      <c r="F512" s="820"/>
      <c r="G512" s="821"/>
      <c r="H512" s="769"/>
      <c r="I512" s="769"/>
      <c r="J512" s="817"/>
      <c r="K512" s="769"/>
      <c r="L512" s="817"/>
      <c r="M512" s="769"/>
      <c r="N512" s="817"/>
      <c r="O512" s="769"/>
      <c r="P512" s="817"/>
      <c r="Q512" s="769"/>
      <c r="R512" s="769"/>
      <c r="S512" s="817"/>
      <c r="T512" s="769"/>
      <c r="U512" s="817"/>
      <c r="V512" s="769"/>
      <c r="W512" s="817"/>
      <c r="X512" s="769"/>
      <c r="Y512" s="817"/>
      <c r="Z512" s="769"/>
      <c r="AA512" s="817"/>
      <c r="AB512" s="769"/>
      <c r="AC512" s="817"/>
      <c r="AD512" s="810"/>
      <c r="AE512" s="817"/>
      <c r="AF512" s="810"/>
      <c r="AG512" s="817"/>
      <c r="AH512" s="382"/>
      <c r="AI512" s="382"/>
      <c r="AJ512" s="382"/>
      <c r="AK512" s="382"/>
      <c r="AL512" s="382"/>
      <c r="AM512" s="382"/>
      <c r="AN512" s="382"/>
      <c r="AO512" s="382"/>
      <c r="AP512" s="382"/>
      <c r="AQ512" s="382"/>
      <c r="AR512" s="382"/>
      <c r="AS512" s="382"/>
      <c r="AT512" s="382"/>
      <c r="AU512" s="382"/>
      <c r="AV512" s="382"/>
      <c r="AW512" s="382"/>
      <c r="AX512" s="382"/>
      <c r="AY512" s="382"/>
      <c r="AZ512" s="382"/>
      <c r="BA512" s="382"/>
      <c r="BB512" s="382"/>
      <c r="BC512" s="382"/>
      <c r="BD512" s="382"/>
      <c r="BE512" s="382"/>
      <c r="BF512" s="382"/>
      <c r="BG512" s="382"/>
      <c r="BH512" s="382"/>
      <c r="BI512" s="382"/>
      <c r="BJ512" s="382"/>
      <c r="BK512" s="382"/>
      <c r="BL512" s="382"/>
      <c r="BM512" s="382"/>
      <c r="BN512" s="382"/>
      <c r="BO512" s="382"/>
      <c r="BP512" s="382"/>
      <c r="BQ512" s="382"/>
      <c r="BR512" s="382"/>
      <c r="BS512" s="382"/>
      <c r="BT512" s="382"/>
      <c r="BU512" s="496"/>
      <c r="BV512" s="382"/>
      <c r="BW512" s="382"/>
      <c r="BX512" s="382"/>
      <c r="BY512" s="382"/>
      <c r="BZ512" s="382"/>
      <c r="CA512" s="382"/>
      <c r="CB512" s="382"/>
      <c r="CC512" s="382"/>
      <c r="CD512" s="382"/>
      <c r="CE512" s="382"/>
      <c r="CF512" s="382"/>
      <c r="CG512" s="382"/>
      <c r="CH512" s="382"/>
      <c r="CI512" s="382"/>
      <c r="CJ512" s="382"/>
      <c r="CK512" s="382"/>
      <c r="CL512" s="382"/>
      <c r="CM512" s="382"/>
      <c r="CN512" s="382"/>
      <c r="CO512" s="382"/>
      <c r="CP512" s="382"/>
      <c r="CQ512" s="382"/>
      <c r="CR512" s="382"/>
      <c r="CS512" s="382"/>
      <c r="CT512" s="382"/>
      <c r="CU512" s="382"/>
      <c r="CV512" s="382"/>
      <c r="CW512" s="189"/>
      <c r="CX512" s="382"/>
      <c r="CY512" s="382"/>
      <c r="CZ512" s="382"/>
      <c r="DA512" s="382"/>
      <c r="DB512" s="382"/>
      <c r="DC512" s="382"/>
      <c r="DD512" s="382"/>
      <c r="DE512" s="382"/>
      <c r="DF512" s="382"/>
      <c r="DG512" s="382"/>
      <c r="DH512" s="382"/>
      <c r="DI512" s="382"/>
      <c r="DJ512" s="382"/>
      <c r="DK512" s="382"/>
      <c r="DL512" s="382"/>
      <c r="DM512" s="382"/>
      <c r="DN512" s="382"/>
      <c r="DO512" s="382"/>
      <c r="DP512" s="382"/>
      <c r="DQ512" s="382"/>
      <c r="DR512" s="382"/>
      <c r="DS512" s="382"/>
      <c r="DT512" s="382"/>
      <c r="DU512" s="382"/>
      <c r="DV512" s="382"/>
      <c r="DW512" s="382"/>
      <c r="DX512" s="382"/>
      <c r="DY512" s="382"/>
      <c r="DZ512" s="228"/>
    </row>
    <row r="513" spans="2:130" s="180" customFormat="1" x14ac:dyDescent="0.2">
      <c r="D513" s="805"/>
      <c r="E513" s="228"/>
      <c r="F513" s="820"/>
      <c r="G513" s="805"/>
      <c r="H513" s="769"/>
      <c r="I513" s="769"/>
      <c r="J513" s="817"/>
      <c r="K513" s="769"/>
      <c r="L513" s="817"/>
      <c r="M513" s="769"/>
      <c r="N513" s="817"/>
      <c r="O513" s="769"/>
      <c r="P513" s="817"/>
      <c r="Q513" s="769"/>
      <c r="R513" s="769"/>
      <c r="S513" s="817"/>
      <c r="T513" s="769"/>
      <c r="U513" s="817"/>
      <c r="V513" s="769"/>
      <c r="W513" s="817"/>
      <c r="X513" s="769"/>
      <c r="Y513" s="817"/>
      <c r="Z513" s="769"/>
      <c r="AA513" s="817"/>
      <c r="AB513" s="769"/>
      <c r="AC513" s="817"/>
      <c r="AD513" s="769"/>
      <c r="AE513" s="817"/>
      <c r="AF513" s="769"/>
      <c r="AG513" s="817"/>
      <c r="AH513" s="382"/>
      <c r="AI513" s="382"/>
      <c r="AJ513" s="382"/>
      <c r="AK513" s="382"/>
      <c r="AL513" s="382"/>
      <c r="AM513" s="382"/>
      <c r="AN513" s="382"/>
      <c r="AO513" s="382"/>
      <c r="AP513" s="382"/>
      <c r="AQ513" s="382"/>
      <c r="AR513" s="382"/>
      <c r="AS513" s="382"/>
      <c r="AT513" s="382"/>
      <c r="AU513" s="382"/>
      <c r="AV513" s="382"/>
      <c r="AW513" s="382"/>
      <c r="AX513" s="382"/>
      <c r="AY513" s="382"/>
      <c r="AZ513" s="382"/>
      <c r="BA513" s="382"/>
      <c r="BB513" s="382"/>
      <c r="BC513" s="382"/>
      <c r="BD513" s="382"/>
      <c r="BE513" s="382"/>
      <c r="BF513" s="382"/>
      <c r="BG513" s="382"/>
      <c r="BH513" s="382"/>
      <c r="BI513" s="382"/>
      <c r="BJ513" s="382"/>
      <c r="BK513" s="382"/>
      <c r="BL513" s="382"/>
      <c r="BM513" s="382"/>
      <c r="BN513" s="382"/>
      <c r="BO513" s="382"/>
      <c r="BP513" s="382"/>
      <c r="BQ513" s="382"/>
      <c r="BR513" s="382"/>
      <c r="BS513" s="382"/>
      <c r="BT513" s="382"/>
      <c r="BU513" s="496"/>
      <c r="BV513" s="382"/>
      <c r="BW513" s="382"/>
      <c r="BX513" s="382"/>
      <c r="BY513" s="382"/>
      <c r="BZ513" s="382"/>
      <c r="CA513" s="382"/>
      <c r="CB513" s="382"/>
      <c r="CC513" s="382"/>
      <c r="CD513" s="382"/>
      <c r="CE513" s="382"/>
      <c r="CF513" s="382"/>
      <c r="CG513" s="382"/>
      <c r="CH513" s="382"/>
      <c r="CI513" s="382"/>
      <c r="CJ513" s="382"/>
      <c r="CK513" s="382"/>
      <c r="CL513" s="382"/>
      <c r="CM513" s="382"/>
      <c r="CN513" s="382"/>
      <c r="CO513" s="382"/>
      <c r="CP513" s="382"/>
      <c r="CQ513" s="382"/>
      <c r="CR513" s="382"/>
      <c r="CS513" s="382"/>
      <c r="CT513" s="382"/>
      <c r="CU513" s="382"/>
      <c r="CV513" s="382"/>
      <c r="CW513" s="189"/>
      <c r="CX513" s="382"/>
      <c r="CY513" s="382"/>
      <c r="CZ513" s="382"/>
      <c r="DA513" s="382"/>
      <c r="DB513" s="382"/>
      <c r="DC513" s="382"/>
      <c r="DD513" s="382"/>
      <c r="DE513" s="382"/>
      <c r="DF513" s="382"/>
      <c r="DG513" s="382"/>
      <c r="DH513" s="382"/>
      <c r="DI513" s="382"/>
      <c r="DJ513" s="382"/>
      <c r="DK513" s="382"/>
      <c r="DL513" s="382"/>
      <c r="DM513" s="382"/>
      <c r="DN513" s="382"/>
      <c r="DO513" s="382"/>
      <c r="DP513" s="382"/>
      <c r="DQ513" s="382"/>
      <c r="DR513" s="382"/>
      <c r="DS513" s="382"/>
      <c r="DT513" s="382"/>
      <c r="DU513" s="382"/>
      <c r="DV513" s="382"/>
      <c r="DW513" s="382"/>
      <c r="DX513" s="382"/>
      <c r="DY513" s="382"/>
      <c r="DZ513" s="228"/>
    </row>
    <row r="514" spans="2:130" s="180" customFormat="1" x14ac:dyDescent="0.2">
      <c r="D514" s="805"/>
      <c r="E514" s="228"/>
      <c r="F514" s="820"/>
      <c r="G514" s="821"/>
      <c r="H514" s="769"/>
      <c r="I514" s="769"/>
      <c r="J514" s="817"/>
      <c r="K514" s="769"/>
      <c r="L514" s="817"/>
      <c r="M514" s="769"/>
      <c r="N514" s="817"/>
      <c r="O514" s="769"/>
      <c r="P514" s="817"/>
      <c r="Q514" s="769"/>
      <c r="R514" s="769"/>
      <c r="S514" s="817"/>
      <c r="T514" s="769"/>
      <c r="U514" s="817"/>
      <c r="V514" s="769"/>
      <c r="W514" s="817"/>
      <c r="X514" s="769"/>
      <c r="Y514" s="817"/>
      <c r="Z514" s="769"/>
      <c r="AA514" s="817"/>
      <c r="AB514" s="769"/>
      <c r="AC514" s="817"/>
      <c r="AD514" s="769"/>
      <c r="AE514" s="817"/>
      <c r="AF514" s="769"/>
      <c r="AG514" s="817"/>
      <c r="AH514" s="382"/>
      <c r="AI514" s="382"/>
      <c r="AJ514" s="382"/>
      <c r="AK514" s="382"/>
      <c r="AL514" s="382"/>
      <c r="AM514" s="382"/>
      <c r="AN514" s="382"/>
      <c r="AO514" s="382"/>
      <c r="AP514" s="382"/>
      <c r="AQ514" s="382"/>
      <c r="AR514" s="382"/>
      <c r="AS514" s="382"/>
      <c r="AT514" s="382"/>
      <c r="AU514" s="382"/>
      <c r="AV514" s="382"/>
      <c r="AW514" s="382"/>
      <c r="AX514" s="382"/>
      <c r="AY514" s="382"/>
      <c r="AZ514" s="382"/>
      <c r="BA514" s="382"/>
      <c r="BB514" s="382"/>
      <c r="BC514" s="382"/>
      <c r="BD514" s="382"/>
      <c r="BE514" s="382"/>
      <c r="BF514" s="382"/>
      <c r="BG514" s="382"/>
      <c r="BH514" s="382"/>
      <c r="BI514" s="382"/>
      <c r="BJ514" s="382"/>
      <c r="BK514" s="382"/>
      <c r="BL514" s="382"/>
      <c r="BM514" s="382"/>
      <c r="BN514" s="382"/>
      <c r="BO514" s="382"/>
      <c r="BP514" s="382"/>
      <c r="BQ514" s="382"/>
      <c r="BR514" s="382"/>
      <c r="BS514" s="382"/>
      <c r="BT514" s="382"/>
      <c r="BU514" s="496"/>
      <c r="BV514" s="382"/>
      <c r="BW514" s="382"/>
      <c r="BX514" s="382"/>
      <c r="BY514" s="382"/>
      <c r="BZ514" s="382"/>
      <c r="CA514" s="382"/>
      <c r="CB514" s="382"/>
      <c r="CC514" s="382"/>
      <c r="CD514" s="382"/>
      <c r="CE514" s="382"/>
      <c r="CF514" s="382"/>
      <c r="CG514" s="382"/>
      <c r="CH514" s="382"/>
      <c r="CI514" s="382"/>
      <c r="CJ514" s="382"/>
      <c r="CK514" s="382"/>
      <c r="CL514" s="382"/>
      <c r="CM514" s="382"/>
      <c r="CN514" s="382"/>
      <c r="CO514" s="382"/>
      <c r="CP514" s="382"/>
      <c r="CQ514" s="382"/>
      <c r="CR514" s="382"/>
      <c r="CS514" s="382"/>
      <c r="CT514" s="382"/>
      <c r="CU514" s="382"/>
      <c r="CV514" s="382"/>
      <c r="CW514" s="189"/>
      <c r="CX514" s="382"/>
      <c r="CY514" s="382"/>
      <c r="CZ514" s="382"/>
      <c r="DA514" s="382"/>
      <c r="DB514" s="382"/>
      <c r="DC514" s="382"/>
      <c r="DD514" s="382"/>
      <c r="DE514" s="382"/>
      <c r="DF514" s="382"/>
      <c r="DG514" s="382"/>
      <c r="DH514" s="382"/>
      <c r="DI514" s="382"/>
      <c r="DJ514" s="382"/>
      <c r="DK514" s="382"/>
      <c r="DL514" s="382"/>
      <c r="DM514" s="382"/>
      <c r="DN514" s="382"/>
      <c r="DO514" s="382"/>
      <c r="DP514" s="382"/>
      <c r="DQ514" s="382"/>
      <c r="DR514" s="382"/>
      <c r="DS514" s="382"/>
      <c r="DT514" s="382"/>
      <c r="DU514" s="382"/>
      <c r="DV514" s="382"/>
      <c r="DW514" s="382"/>
      <c r="DX514" s="382"/>
      <c r="DY514" s="382"/>
      <c r="DZ514" s="228"/>
    </row>
    <row r="515" spans="2:130" s="180" customFormat="1" x14ac:dyDescent="0.2">
      <c r="B515" s="1690"/>
      <c r="C515" s="1690"/>
      <c r="D515" s="805"/>
      <c r="E515" s="228"/>
      <c r="F515" s="820"/>
      <c r="G515" s="805"/>
      <c r="H515" s="769"/>
      <c r="I515" s="769"/>
      <c r="J515" s="817"/>
      <c r="K515" s="769"/>
      <c r="L515" s="817"/>
      <c r="M515" s="769"/>
      <c r="N515" s="817"/>
      <c r="O515" s="769"/>
      <c r="P515" s="817"/>
      <c r="Q515" s="769"/>
      <c r="R515" s="769"/>
      <c r="S515" s="817"/>
      <c r="T515" s="769"/>
      <c r="U515" s="817"/>
      <c r="V515" s="769"/>
      <c r="W515" s="817"/>
      <c r="X515" s="769"/>
      <c r="Y515" s="817"/>
      <c r="Z515" s="769"/>
      <c r="AA515" s="817"/>
      <c r="AB515" s="769"/>
      <c r="AC515" s="817"/>
      <c r="AD515" s="816"/>
      <c r="AE515" s="817"/>
      <c r="AF515" s="769"/>
      <c r="AG515" s="817"/>
      <c r="AH515" s="382"/>
      <c r="AI515" s="382"/>
      <c r="AJ515" s="382"/>
      <c r="AK515" s="382"/>
      <c r="AL515" s="382"/>
      <c r="AM515" s="382"/>
      <c r="AN515" s="382"/>
      <c r="AO515" s="382"/>
      <c r="AP515" s="382"/>
      <c r="AQ515" s="382"/>
      <c r="AR515" s="382"/>
      <c r="AS515" s="382"/>
      <c r="AT515" s="382"/>
      <c r="AU515" s="382"/>
      <c r="AV515" s="382"/>
      <c r="AW515" s="382"/>
      <c r="AX515" s="382"/>
      <c r="AY515" s="382"/>
      <c r="AZ515" s="382"/>
      <c r="BA515" s="382"/>
      <c r="BB515" s="382"/>
      <c r="BC515" s="382"/>
      <c r="BD515" s="382"/>
      <c r="BE515" s="382"/>
      <c r="BF515" s="382"/>
      <c r="BG515" s="382"/>
      <c r="BH515" s="382"/>
      <c r="BI515" s="382"/>
      <c r="BJ515" s="382"/>
      <c r="BK515" s="382"/>
      <c r="BL515" s="382"/>
      <c r="BM515" s="382"/>
      <c r="BN515" s="382"/>
      <c r="BO515" s="382"/>
      <c r="BP515" s="382"/>
      <c r="BQ515" s="382"/>
      <c r="BR515" s="382"/>
      <c r="BS515" s="382"/>
      <c r="BT515" s="382"/>
      <c r="BU515" s="496"/>
      <c r="BV515" s="382"/>
      <c r="BW515" s="382"/>
      <c r="BX515" s="382"/>
      <c r="BY515" s="382"/>
      <c r="BZ515" s="382"/>
      <c r="CA515" s="382"/>
      <c r="CB515" s="382"/>
      <c r="CC515" s="382"/>
      <c r="CD515" s="382"/>
      <c r="CE515" s="382"/>
      <c r="CF515" s="382"/>
      <c r="CG515" s="382"/>
      <c r="CH515" s="382"/>
      <c r="CI515" s="382"/>
      <c r="CJ515" s="382"/>
      <c r="CK515" s="382"/>
      <c r="CL515" s="382"/>
      <c r="CM515" s="382"/>
      <c r="CN515" s="382"/>
      <c r="CO515" s="382"/>
      <c r="CP515" s="382"/>
      <c r="CQ515" s="382"/>
      <c r="CR515" s="382"/>
      <c r="CS515" s="382"/>
      <c r="CT515" s="382"/>
      <c r="CU515" s="382"/>
      <c r="CV515" s="382"/>
      <c r="CW515" s="919"/>
      <c r="CX515" s="382"/>
      <c r="CY515" s="382"/>
      <c r="CZ515" s="382"/>
      <c r="DA515" s="382"/>
      <c r="DB515" s="382"/>
      <c r="DC515" s="382"/>
      <c r="DD515" s="382"/>
      <c r="DE515" s="382"/>
      <c r="DF515" s="382"/>
      <c r="DG515" s="382"/>
      <c r="DH515" s="382"/>
      <c r="DI515" s="382"/>
      <c r="DJ515" s="382"/>
      <c r="DK515" s="382"/>
      <c r="DL515" s="382"/>
      <c r="DM515" s="382"/>
      <c r="DN515" s="382"/>
      <c r="DO515" s="382"/>
      <c r="DP515" s="382"/>
      <c r="DQ515" s="382"/>
      <c r="DR515" s="382"/>
      <c r="DS515" s="382"/>
      <c r="DT515" s="382"/>
      <c r="DU515" s="382"/>
      <c r="DV515" s="382"/>
      <c r="DW515" s="382"/>
      <c r="DX515" s="382"/>
      <c r="DY515" s="382"/>
      <c r="DZ515" s="228"/>
    </row>
    <row r="516" spans="2:130" s="180" customFormat="1" ht="42.75" customHeight="1" x14ac:dyDescent="0.2">
      <c r="B516" s="822"/>
      <c r="C516" s="800"/>
      <c r="D516" s="800"/>
      <c r="E516" s="769"/>
      <c r="F516" s="769"/>
      <c r="G516" s="811"/>
      <c r="H516" s="811"/>
      <c r="I516" s="811"/>
      <c r="J516" s="811"/>
      <c r="K516" s="811"/>
      <c r="L516" s="811"/>
      <c r="M516" s="811"/>
      <c r="N516" s="811"/>
      <c r="O516" s="811"/>
      <c r="P516" s="811"/>
      <c r="Q516" s="823"/>
      <c r="R516" s="811"/>
      <c r="S516" s="811"/>
      <c r="T516" s="811"/>
      <c r="U516" s="811"/>
      <c r="V516" s="811"/>
      <c r="W516" s="811"/>
      <c r="X516" s="811"/>
      <c r="Y516" s="811"/>
      <c r="Z516" s="811"/>
      <c r="AA516" s="811"/>
      <c r="AB516" s="811"/>
      <c r="AC516" s="811"/>
      <c r="AD516" s="811"/>
      <c r="AE516" s="811"/>
      <c r="AF516" s="811"/>
      <c r="AG516" s="811"/>
      <c r="AH516" s="382"/>
      <c r="AI516" s="382"/>
      <c r="AJ516" s="382"/>
      <c r="AK516" s="382"/>
      <c r="AL516" s="382"/>
      <c r="AM516" s="382"/>
      <c r="AN516" s="382"/>
      <c r="AO516" s="382"/>
      <c r="AP516" s="382"/>
      <c r="AQ516" s="382"/>
      <c r="AR516" s="382"/>
      <c r="AS516" s="382"/>
      <c r="AT516" s="382"/>
      <c r="AU516" s="382"/>
      <c r="AV516" s="382"/>
      <c r="AW516" s="382"/>
      <c r="AX516" s="382"/>
      <c r="AY516" s="382"/>
      <c r="AZ516" s="382"/>
      <c r="BA516" s="382"/>
      <c r="BB516" s="382"/>
      <c r="BC516" s="382"/>
      <c r="BD516" s="382"/>
      <c r="BE516" s="382"/>
      <c r="BF516" s="382"/>
      <c r="BG516" s="382"/>
      <c r="BH516" s="382"/>
      <c r="BI516" s="382"/>
      <c r="BJ516" s="382"/>
      <c r="BK516" s="382"/>
      <c r="BL516" s="382"/>
      <c r="BM516" s="382"/>
      <c r="BN516" s="382"/>
      <c r="BO516" s="382"/>
      <c r="BP516" s="382"/>
      <c r="BQ516" s="382"/>
      <c r="BR516" s="382"/>
      <c r="BS516" s="382"/>
      <c r="BT516" s="382"/>
      <c r="BU516" s="496"/>
      <c r="BV516" s="382"/>
      <c r="BW516" s="382"/>
      <c r="BX516" s="382"/>
      <c r="BY516" s="382"/>
      <c r="BZ516" s="382"/>
      <c r="CA516" s="382"/>
      <c r="CB516" s="382"/>
      <c r="CC516" s="382"/>
      <c r="CD516" s="382"/>
      <c r="CE516" s="382"/>
      <c r="CF516" s="382"/>
      <c r="CG516" s="382"/>
      <c r="CH516" s="382"/>
      <c r="CI516" s="382"/>
      <c r="CJ516" s="382"/>
      <c r="CK516" s="382"/>
      <c r="CL516" s="382"/>
      <c r="CM516" s="382"/>
      <c r="CN516" s="382"/>
      <c r="CO516" s="382"/>
      <c r="CP516" s="382"/>
      <c r="CQ516" s="382"/>
      <c r="CR516" s="382"/>
      <c r="CS516" s="382"/>
      <c r="CT516" s="382"/>
      <c r="CU516" s="382"/>
      <c r="CV516" s="382"/>
      <c r="CW516" s="800"/>
      <c r="CX516" s="382"/>
      <c r="CY516" s="382"/>
      <c r="CZ516" s="382"/>
      <c r="DA516" s="382"/>
      <c r="DB516" s="382"/>
      <c r="DC516" s="382"/>
      <c r="DD516" s="382"/>
      <c r="DE516" s="382"/>
      <c r="DF516" s="382"/>
      <c r="DG516" s="382"/>
      <c r="DH516" s="382"/>
      <c r="DI516" s="382"/>
      <c r="DJ516" s="382"/>
      <c r="DK516" s="382"/>
      <c r="DL516" s="382"/>
      <c r="DM516" s="382"/>
      <c r="DN516" s="382"/>
      <c r="DO516" s="382"/>
      <c r="DP516" s="382"/>
      <c r="DQ516" s="382"/>
      <c r="DR516" s="382"/>
      <c r="DS516" s="382"/>
      <c r="DT516" s="382"/>
      <c r="DU516" s="382"/>
      <c r="DV516" s="382"/>
      <c r="DW516" s="382"/>
      <c r="DX516" s="382"/>
      <c r="DY516" s="382"/>
      <c r="DZ516" s="228"/>
    </row>
    <row r="517" spans="2:130" s="180" customFormat="1" x14ac:dyDescent="0.2">
      <c r="B517" s="800"/>
      <c r="C517" s="800"/>
      <c r="D517" s="800"/>
      <c r="E517" s="810"/>
      <c r="F517" s="769"/>
      <c r="G517" s="811"/>
      <c r="H517" s="811"/>
      <c r="I517" s="811"/>
      <c r="J517" s="811"/>
      <c r="K517" s="811"/>
      <c r="L517" s="811"/>
      <c r="M517" s="811"/>
      <c r="N517" s="811"/>
      <c r="O517" s="811"/>
      <c r="P517" s="811"/>
      <c r="Q517" s="811"/>
      <c r="R517" s="811"/>
      <c r="S517" s="811"/>
      <c r="T517" s="811"/>
      <c r="U517" s="811"/>
      <c r="V517" s="811"/>
      <c r="W517" s="811"/>
      <c r="X517" s="811"/>
      <c r="Y517" s="811"/>
      <c r="Z517" s="811"/>
      <c r="AA517" s="811"/>
      <c r="AB517" s="811"/>
      <c r="AC517" s="811"/>
      <c r="AD517" s="811"/>
      <c r="AE517" s="811"/>
      <c r="AF517" s="811"/>
      <c r="AG517" s="811"/>
      <c r="AH517" s="382"/>
      <c r="AI517" s="382"/>
      <c r="AJ517" s="382"/>
      <c r="AK517" s="382"/>
      <c r="AL517" s="382"/>
      <c r="AM517" s="382"/>
      <c r="AN517" s="382"/>
      <c r="AO517" s="382"/>
      <c r="AP517" s="382"/>
      <c r="AQ517" s="382"/>
      <c r="AR517" s="382"/>
      <c r="AS517" s="382"/>
      <c r="AT517" s="382"/>
      <c r="AU517" s="382"/>
      <c r="AV517" s="382"/>
      <c r="AW517" s="382"/>
      <c r="AX517" s="382"/>
      <c r="AY517" s="382"/>
      <c r="AZ517" s="382"/>
      <c r="BA517" s="382"/>
      <c r="BB517" s="382"/>
      <c r="BC517" s="382"/>
      <c r="BD517" s="382"/>
      <c r="BE517" s="382"/>
      <c r="BF517" s="382"/>
      <c r="BG517" s="382"/>
      <c r="BH517" s="382"/>
      <c r="BI517" s="382"/>
      <c r="BJ517" s="382"/>
      <c r="BK517" s="382"/>
      <c r="BL517" s="382"/>
      <c r="BM517" s="382"/>
      <c r="BN517" s="382"/>
      <c r="BO517" s="382"/>
      <c r="BP517" s="382"/>
      <c r="BQ517" s="382"/>
      <c r="BR517" s="382"/>
      <c r="BS517" s="382"/>
      <c r="BT517" s="382"/>
      <c r="BU517" s="496"/>
      <c r="BV517" s="382"/>
      <c r="BW517" s="382"/>
      <c r="BX517" s="382"/>
      <c r="BY517" s="382"/>
      <c r="BZ517" s="382"/>
      <c r="CA517" s="382"/>
      <c r="CB517" s="382"/>
      <c r="CC517" s="382"/>
      <c r="CD517" s="382"/>
      <c r="CE517" s="382"/>
      <c r="CF517" s="382"/>
      <c r="CG517" s="382"/>
      <c r="CH517" s="382"/>
      <c r="CI517" s="382"/>
      <c r="CJ517" s="382"/>
      <c r="CK517" s="382"/>
      <c r="CL517" s="382"/>
      <c r="CM517" s="382"/>
      <c r="CN517" s="382"/>
      <c r="CO517" s="382"/>
      <c r="CP517" s="382"/>
      <c r="CQ517" s="382"/>
      <c r="CR517" s="382"/>
      <c r="CS517" s="382"/>
      <c r="CT517" s="382"/>
      <c r="CU517" s="382"/>
      <c r="CV517" s="382"/>
      <c r="CW517" s="800"/>
      <c r="CX517" s="382"/>
      <c r="CY517" s="382"/>
      <c r="CZ517" s="382"/>
      <c r="DA517" s="382"/>
      <c r="DB517" s="382"/>
      <c r="DC517" s="382"/>
      <c r="DD517" s="382"/>
      <c r="DE517" s="382"/>
      <c r="DF517" s="382"/>
      <c r="DG517" s="382"/>
      <c r="DH517" s="382"/>
      <c r="DI517" s="382"/>
      <c r="DJ517" s="382"/>
      <c r="DK517" s="382"/>
      <c r="DL517" s="382"/>
      <c r="DM517" s="382"/>
      <c r="DN517" s="382"/>
      <c r="DO517" s="382"/>
      <c r="DP517" s="382"/>
      <c r="DQ517" s="382"/>
      <c r="DR517" s="382"/>
      <c r="DS517" s="382"/>
      <c r="DT517" s="382"/>
      <c r="DU517" s="382"/>
      <c r="DV517" s="382"/>
      <c r="DW517" s="382"/>
      <c r="DX517" s="382"/>
      <c r="DY517" s="382"/>
      <c r="DZ517" s="228"/>
    </row>
    <row r="518" spans="2:130" s="180" customFormat="1" x14ac:dyDescent="0.2">
      <c r="B518" s="800"/>
      <c r="C518" s="800"/>
      <c r="D518" s="800"/>
      <c r="E518" s="769"/>
      <c r="F518" s="769"/>
      <c r="G518" s="802"/>
      <c r="H518" s="802"/>
      <c r="I518" s="802"/>
      <c r="J518" s="802"/>
      <c r="K518" s="802"/>
      <c r="L518" s="802"/>
      <c r="M518" s="802"/>
      <c r="N518" s="802"/>
      <c r="O518" s="802"/>
      <c r="P518" s="802"/>
      <c r="Q518" s="802"/>
      <c r="R518" s="802"/>
      <c r="S518" s="802"/>
      <c r="T518" s="802"/>
      <c r="U518" s="802"/>
      <c r="V518" s="802"/>
      <c r="W518" s="802"/>
      <c r="X518" s="802"/>
      <c r="Y518" s="802"/>
      <c r="Z518" s="802"/>
      <c r="AA518" s="802"/>
      <c r="AB518" s="802"/>
      <c r="AC518" s="802"/>
      <c r="AD518" s="802"/>
      <c r="AE518" s="802"/>
      <c r="AF518" s="802"/>
      <c r="AG518" s="802"/>
      <c r="AH518" s="382"/>
      <c r="AI518" s="382"/>
      <c r="AJ518" s="382"/>
      <c r="AK518" s="382"/>
      <c r="AL518" s="382"/>
      <c r="AM518" s="382"/>
      <c r="AN518" s="382"/>
      <c r="AO518" s="382"/>
      <c r="AP518" s="382"/>
      <c r="AQ518" s="382"/>
      <c r="AR518" s="382"/>
      <c r="AS518" s="382"/>
      <c r="AT518" s="382"/>
      <c r="AU518" s="382"/>
      <c r="AV518" s="382"/>
      <c r="AW518" s="382"/>
      <c r="AX518" s="382"/>
      <c r="AY518" s="382"/>
      <c r="AZ518" s="382"/>
      <c r="BA518" s="382"/>
      <c r="BB518" s="382"/>
      <c r="BC518" s="382"/>
      <c r="BD518" s="382"/>
      <c r="BE518" s="382"/>
      <c r="BF518" s="382"/>
      <c r="BG518" s="382"/>
      <c r="BH518" s="382"/>
      <c r="BI518" s="382"/>
      <c r="BJ518" s="382"/>
      <c r="BK518" s="382"/>
      <c r="BL518" s="382"/>
      <c r="BM518" s="382"/>
      <c r="BN518" s="382"/>
      <c r="BO518" s="382"/>
      <c r="BP518" s="382"/>
      <c r="BQ518" s="382"/>
      <c r="BR518" s="382"/>
      <c r="BS518" s="382"/>
      <c r="BT518" s="382"/>
      <c r="BU518" s="496"/>
      <c r="BV518" s="382"/>
      <c r="BW518" s="382"/>
      <c r="BX518" s="382"/>
      <c r="BY518" s="382"/>
      <c r="BZ518" s="382"/>
      <c r="CA518" s="382"/>
      <c r="CB518" s="382"/>
      <c r="CC518" s="382"/>
      <c r="CD518" s="382"/>
      <c r="CE518" s="382"/>
      <c r="CF518" s="382"/>
      <c r="CG518" s="382"/>
      <c r="CH518" s="382"/>
      <c r="CI518" s="382"/>
      <c r="CJ518" s="382"/>
      <c r="CK518" s="382"/>
      <c r="CL518" s="382"/>
      <c r="CM518" s="382"/>
      <c r="CN518" s="382"/>
      <c r="CO518" s="382"/>
      <c r="CP518" s="382"/>
      <c r="CQ518" s="382"/>
      <c r="CR518" s="382"/>
      <c r="CS518" s="382"/>
      <c r="CT518" s="382"/>
      <c r="CU518" s="382"/>
      <c r="CV518" s="382"/>
      <c r="CW518" s="800"/>
      <c r="CX518" s="382"/>
      <c r="CY518" s="382"/>
      <c r="CZ518" s="382"/>
      <c r="DA518" s="382"/>
      <c r="DB518" s="382"/>
      <c r="DC518" s="382"/>
      <c r="DD518" s="382"/>
      <c r="DE518" s="382"/>
      <c r="DF518" s="382"/>
      <c r="DG518" s="382"/>
      <c r="DH518" s="382"/>
      <c r="DI518" s="382"/>
      <c r="DJ518" s="382"/>
      <c r="DK518" s="382"/>
      <c r="DL518" s="382"/>
      <c r="DM518" s="382"/>
      <c r="DN518" s="382"/>
      <c r="DO518" s="382"/>
      <c r="DP518" s="382"/>
      <c r="DQ518" s="382"/>
      <c r="DR518" s="382"/>
      <c r="DS518" s="382"/>
      <c r="DT518" s="382"/>
      <c r="DU518" s="382"/>
      <c r="DV518" s="382"/>
      <c r="DW518" s="382"/>
      <c r="DX518" s="382"/>
      <c r="DY518" s="382"/>
      <c r="DZ518" s="228"/>
    </row>
    <row r="519" spans="2:130" s="180" customFormat="1" x14ac:dyDescent="0.2">
      <c r="B519" s="800"/>
      <c r="C519" s="800"/>
      <c r="D519" s="800"/>
      <c r="E519" s="769"/>
      <c r="F519" s="769"/>
      <c r="G519" s="802"/>
      <c r="H519" s="802"/>
      <c r="I519" s="802"/>
      <c r="J519" s="802"/>
      <c r="K519" s="802"/>
      <c r="L519" s="802"/>
      <c r="M519" s="802"/>
      <c r="N519" s="802"/>
      <c r="O519" s="802"/>
      <c r="P519" s="802"/>
      <c r="Q519" s="802"/>
      <c r="R519" s="802"/>
      <c r="S519" s="802"/>
      <c r="T519" s="802"/>
      <c r="U519" s="802"/>
      <c r="V519" s="802"/>
      <c r="W519" s="802"/>
      <c r="X519" s="802"/>
      <c r="Y519" s="802"/>
      <c r="Z519" s="802"/>
      <c r="AA519" s="802"/>
      <c r="AB519" s="802"/>
      <c r="AC519" s="802"/>
      <c r="AD519" s="802"/>
      <c r="AE519" s="802"/>
      <c r="AF519" s="802"/>
      <c r="AG519" s="802"/>
      <c r="AH519" s="382"/>
      <c r="AI519" s="382"/>
      <c r="AJ519" s="382"/>
      <c r="AK519" s="382"/>
      <c r="AL519" s="382"/>
      <c r="AM519" s="382"/>
      <c r="AN519" s="382"/>
      <c r="AO519" s="382"/>
      <c r="AP519" s="382"/>
      <c r="AQ519" s="382"/>
      <c r="AR519" s="382"/>
      <c r="AS519" s="382"/>
      <c r="AT519" s="382"/>
      <c r="AU519" s="382"/>
      <c r="AV519" s="382"/>
      <c r="AW519" s="382"/>
      <c r="AX519" s="382"/>
      <c r="AY519" s="382"/>
      <c r="AZ519" s="382"/>
      <c r="BA519" s="382"/>
      <c r="BB519" s="382"/>
      <c r="BC519" s="382"/>
      <c r="BD519" s="382"/>
      <c r="BE519" s="382"/>
      <c r="BF519" s="382"/>
      <c r="BG519" s="382"/>
      <c r="BH519" s="382"/>
      <c r="BI519" s="382"/>
      <c r="BJ519" s="382"/>
      <c r="BK519" s="382"/>
      <c r="BL519" s="382"/>
      <c r="BM519" s="382"/>
      <c r="BN519" s="382"/>
      <c r="BO519" s="382"/>
      <c r="BP519" s="382"/>
      <c r="BQ519" s="382"/>
      <c r="BR519" s="382"/>
      <c r="BS519" s="382"/>
      <c r="BT519" s="382"/>
      <c r="BU519" s="496"/>
      <c r="BV519" s="382"/>
      <c r="BW519" s="382"/>
      <c r="BX519" s="382"/>
      <c r="BY519" s="382"/>
      <c r="BZ519" s="382"/>
      <c r="CA519" s="382"/>
      <c r="CB519" s="382"/>
      <c r="CC519" s="382"/>
      <c r="CD519" s="382"/>
      <c r="CE519" s="382"/>
      <c r="CF519" s="382"/>
      <c r="CG519" s="382"/>
      <c r="CH519" s="382"/>
      <c r="CI519" s="382"/>
      <c r="CJ519" s="382"/>
      <c r="CK519" s="382"/>
      <c r="CL519" s="382"/>
      <c r="CM519" s="382"/>
      <c r="CN519" s="382"/>
      <c r="CO519" s="382"/>
      <c r="CP519" s="382"/>
      <c r="CQ519" s="382"/>
      <c r="CR519" s="382"/>
      <c r="CS519" s="382"/>
      <c r="CT519" s="382"/>
      <c r="CU519" s="382"/>
      <c r="CV519" s="382"/>
      <c r="CW519" s="800"/>
      <c r="CX519" s="382"/>
      <c r="CY519" s="382"/>
      <c r="CZ519" s="382"/>
      <c r="DA519" s="382"/>
      <c r="DB519" s="382"/>
      <c r="DC519" s="382"/>
      <c r="DD519" s="382"/>
      <c r="DE519" s="382"/>
      <c r="DF519" s="382"/>
      <c r="DG519" s="382"/>
      <c r="DH519" s="382"/>
      <c r="DI519" s="382"/>
      <c r="DJ519" s="382"/>
      <c r="DK519" s="382"/>
      <c r="DL519" s="382"/>
      <c r="DM519" s="382"/>
      <c r="DN519" s="382"/>
      <c r="DO519" s="382"/>
      <c r="DP519" s="382"/>
      <c r="DQ519" s="382"/>
      <c r="DR519" s="382"/>
      <c r="DS519" s="382"/>
      <c r="DT519" s="382"/>
      <c r="DU519" s="382"/>
      <c r="DV519" s="382"/>
      <c r="DW519" s="382"/>
      <c r="DX519" s="382"/>
      <c r="DY519" s="382"/>
      <c r="DZ519" s="228"/>
    </row>
    <row r="520" spans="2:130" s="180" customFormat="1" x14ac:dyDescent="0.2">
      <c r="B520" s="800"/>
      <c r="C520" s="800"/>
      <c r="D520" s="800"/>
      <c r="E520" s="769"/>
      <c r="F520" s="769"/>
      <c r="G520" s="802"/>
      <c r="H520" s="802"/>
      <c r="I520" s="802"/>
      <c r="J520" s="802"/>
      <c r="K520" s="802"/>
      <c r="L520" s="802"/>
      <c r="M520" s="802"/>
      <c r="N520" s="802"/>
      <c r="O520" s="802"/>
      <c r="P520" s="802"/>
      <c r="Q520" s="802"/>
      <c r="R520" s="802"/>
      <c r="S520" s="802"/>
      <c r="T520" s="802"/>
      <c r="U520" s="802"/>
      <c r="V520" s="802"/>
      <c r="W520" s="802"/>
      <c r="X520" s="802"/>
      <c r="Y520" s="802"/>
      <c r="Z520" s="802"/>
      <c r="AA520" s="802"/>
      <c r="AB520" s="802"/>
      <c r="AC520" s="802"/>
      <c r="AD520" s="802"/>
      <c r="AE520" s="802"/>
      <c r="AF520" s="802"/>
      <c r="AG520" s="802"/>
      <c r="AH520" s="382"/>
      <c r="AI520" s="382"/>
      <c r="AJ520" s="382"/>
      <c r="AK520" s="382"/>
      <c r="AL520" s="382"/>
      <c r="AM520" s="382"/>
      <c r="AN520" s="382"/>
      <c r="AO520" s="382"/>
      <c r="AP520" s="382"/>
      <c r="AQ520" s="382"/>
      <c r="AR520" s="382"/>
      <c r="AS520" s="382"/>
      <c r="AT520" s="382"/>
      <c r="AU520" s="382"/>
      <c r="AV520" s="382"/>
      <c r="AW520" s="382"/>
      <c r="AX520" s="382"/>
      <c r="AY520" s="382"/>
      <c r="AZ520" s="382"/>
      <c r="BA520" s="382"/>
      <c r="BB520" s="382"/>
      <c r="BC520" s="382"/>
      <c r="BD520" s="382"/>
      <c r="BE520" s="382"/>
      <c r="BF520" s="382"/>
      <c r="BG520" s="382"/>
      <c r="BH520" s="382"/>
      <c r="BI520" s="382"/>
      <c r="BJ520" s="382"/>
      <c r="BK520" s="382"/>
      <c r="BL520" s="382"/>
      <c r="BM520" s="382"/>
      <c r="BN520" s="382"/>
      <c r="BO520" s="382"/>
      <c r="BP520" s="382"/>
      <c r="BQ520" s="382"/>
      <c r="BR520" s="382"/>
      <c r="BS520" s="382"/>
      <c r="BT520" s="382"/>
      <c r="BU520" s="496"/>
      <c r="BV520" s="382"/>
      <c r="BW520" s="382"/>
      <c r="BX520" s="382"/>
      <c r="BY520" s="382"/>
      <c r="BZ520" s="382"/>
      <c r="CA520" s="382"/>
      <c r="CB520" s="382"/>
      <c r="CC520" s="382"/>
      <c r="CD520" s="382"/>
      <c r="CE520" s="382"/>
      <c r="CF520" s="382"/>
      <c r="CG520" s="382"/>
      <c r="CH520" s="382"/>
      <c r="CI520" s="382"/>
      <c r="CJ520" s="382"/>
      <c r="CK520" s="382"/>
      <c r="CL520" s="382"/>
      <c r="CM520" s="382"/>
      <c r="CN520" s="382"/>
      <c r="CO520" s="382"/>
      <c r="CP520" s="382"/>
      <c r="CQ520" s="382"/>
      <c r="CR520" s="382"/>
      <c r="CS520" s="382"/>
      <c r="CT520" s="382"/>
      <c r="CU520" s="382"/>
      <c r="CV520" s="382"/>
      <c r="CW520" s="800"/>
      <c r="CX520" s="382"/>
      <c r="CY520" s="382"/>
      <c r="CZ520" s="382"/>
      <c r="DA520" s="382"/>
      <c r="DB520" s="382"/>
      <c r="DC520" s="382"/>
      <c r="DD520" s="382"/>
      <c r="DE520" s="382"/>
      <c r="DF520" s="382"/>
      <c r="DG520" s="382"/>
      <c r="DH520" s="382"/>
      <c r="DI520" s="382"/>
      <c r="DJ520" s="382"/>
      <c r="DK520" s="382"/>
      <c r="DL520" s="382"/>
      <c r="DM520" s="382"/>
      <c r="DN520" s="382"/>
      <c r="DO520" s="382"/>
      <c r="DP520" s="382"/>
      <c r="DQ520" s="382"/>
      <c r="DR520" s="382"/>
      <c r="DS520" s="382"/>
      <c r="DT520" s="382"/>
      <c r="DU520" s="382"/>
      <c r="DV520" s="382"/>
      <c r="DW520" s="382"/>
      <c r="DX520" s="382"/>
      <c r="DY520" s="382"/>
      <c r="DZ520" s="228"/>
    </row>
    <row r="521" spans="2:130" s="180" customFormat="1" x14ac:dyDescent="0.2">
      <c r="B521" s="800"/>
      <c r="C521" s="800"/>
      <c r="D521" s="800"/>
      <c r="E521" s="769"/>
      <c r="F521" s="769"/>
      <c r="G521" s="802"/>
      <c r="H521" s="802"/>
      <c r="I521" s="802"/>
      <c r="J521" s="802"/>
      <c r="K521" s="802"/>
      <c r="L521" s="802"/>
      <c r="M521" s="802"/>
      <c r="N521" s="802"/>
      <c r="O521" s="802"/>
      <c r="P521" s="802"/>
      <c r="Q521" s="802"/>
      <c r="R521" s="802"/>
      <c r="S521" s="802"/>
      <c r="T521" s="802"/>
      <c r="U521" s="802"/>
      <c r="V521" s="802"/>
      <c r="W521" s="802"/>
      <c r="X521" s="802"/>
      <c r="Y521" s="802"/>
      <c r="Z521" s="802"/>
      <c r="AA521" s="802"/>
      <c r="AB521" s="802"/>
      <c r="AC521" s="802"/>
      <c r="AD521" s="802"/>
      <c r="AE521" s="802"/>
      <c r="AF521" s="802"/>
      <c r="AG521" s="802"/>
      <c r="AH521" s="382"/>
      <c r="AI521" s="382"/>
      <c r="AJ521" s="382"/>
      <c r="AK521" s="382"/>
      <c r="AL521" s="382"/>
      <c r="AM521" s="382"/>
      <c r="AN521" s="382"/>
      <c r="AO521" s="382"/>
      <c r="AP521" s="382"/>
      <c r="AQ521" s="382"/>
      <c r="AR521" s="382"/>
      <c r="AS521" s="382"/>
      <c r="AT521" s="382"/>
      <c r="AU521" s="382"/>
      <c r="AV521" s="382"/>
      <c r="AW521" s="382"/>
      <c r="AX521" s="382"/>
      <c r="AY521" s="382"/>
      <c r="AZ521" s="382"/>
      <c r="BA521" s="382"/>
      <c r="BB521" s="382"/>
      <c r="BC521" s="382"/>
      <c r="BD521" s="382"/>
      <c r="BE521" s="382"/>
      <c r="BF521" s="382"/>
      <c r="BG521" s="382"/>
      <c r="BH521" s="382"/>
      <c r="BI521" s="382"/>
      <c r="BJ521" s="382"/>
      <c r="BK521" s="382"/>
      <c r="BL521" s="382"/>
      <c r="BM521" s="382"/>
      <c r="BN521" s="382"/>
      <c r="BO521" s="382"/>
      <c r="BP521" s="382"/>
      <c r="BQ521" s="382"/>
      <c r="BR521" s="382"/>
      <c r="BS521" s="382"/>
      <c r="BT521" s="382"/>
      <c r="BU521" s="496"/>
      <c r="BV521" s="382"/>
      <c r="BW521" s="382"/>
      <c r="BX521" s="382"/>
      <c r="BY521" s="382"/>
      <c r="BZ521" s="382"/>
      <c r="CA521" s="382"/>
      <c r="CB521" s="382"/>
      <c r="CC521" s="382"/>
      <c r="CD521" s="382"/>
      <c r="CE521" s="382"/>
      <c r="CF521" s="382"/>
      <c r="CG521" s="382"/>
      <c r="CH521" s="382"/>
      <c r="CI521" s="382"/>
      <c r="CJ521" s="382"/>
      <c r="CK521" s="382"/>
      <c r="CL521" s="382"/>
      <c r="CM521" s="382"/>
      <c r="CN521" s="382"/>
      <c r="CO521" s="382"/>
      <c r="CP521" s="382"/>
      <c r="CQ521" s="382"/>
      <c r="CR521" s="382"/>
      <c r="CS521" s="382"/>
      <c r="CT521" s="382"/>
      <c r="CU521" s="382"/>
      <c r="CV521" s="382"/>
      <c r="CW521" s="800"/>
      <c r="CX521" s="382"/>
      <c r="CY521" s="382"/>
      <c r="CZ521" s="382"/>
      <c r="DA521" s="382"/>
      <c r="DB521" s="382"/>
      <c r="DC521" s="382"/>
      <c r="DD521" s="382"/>
      <c r="DE521" s="382"/>
      <c r="DF521" s="382"/>
      <c r="DG521" s="382"/>
      <c r="DH521" s="382"/>
      <c r="DI521" s="382"/>
      <c r="DJ521" s="382"/>
      <c r="DK521" s="382"/>
      <c r="DL521" s="382"/>
      <c r="DM521" s="382"/>
      <c r="DN521" s="382"/>
      <c r="DO521" s="382"/>
      <c r="DP521" s="382"/>
      <c r="DQ521" s="382"/>
      <c r="DR521" s="382"/>
      <c r="DS521" s="382"/>
      <c r="DT521" s="382"/>
      <c r="DU521" s="382"/>
      <c r="DV521" s="382"/>
      <c r="DW521" s="382"/>
      <c r="DX521" s="382"/>
      <c r="DY521" s="382"/>
      <c r="DZ521" s="228"/>
    </row>
    <row r="522" spans="2:130" s="180" customFormat="1" x14ac:dyDescent="0.2">
      <c r="B522" s="800"/>
      <c r="C522" s="800"/>
      <c r="D522" s="800"/>
      <c r="E522" s="769"/>
      <c r="F522" s="769"/>
      <c r="G522" s="802"/>
      <c r="H522" s="802"/>
      <c r="I522" s="802"/>
      <c r="J522" s="802"/>
      <c r="K522" s="802"/>
      <c r="L522" s="802"/>
      <c r="M522" s="802"/>
      <c r="N522" s="802"/>
      <c r="O522" s="802"/>
      <c r="P522" s="802"/>
      <c r="Q522" s="802"/>
      <c r="R522" s="802"/>
      <c r="S522" s="802"/>
      <c r="T522" s="802"/>
      <c r="U522" s="802"/>
      <c r="V522" s="802"/>
      <c r="W522" s="802"/>
      <c r="X522" s="802"/>
      <c r="Y522" s="802"/>
      <c r="Z522" s="802"/>
      <c r="AA522" s="802"/>
      <c r="AB522" s="802"/>
      <c r="AC522" s="802"/>
      <c r="AD522" s="802"/>
      <c r="AE522" s="802"/>
      <c r="AF522" s="802"/>
      <c r="AG522" s="802"/>
      <c r="AH522" s="382"/>
      <c r="AI522" s="382"/>
      <c r="AJ522" s="382"/>
      <c r="AK522" s="382"/>
      <c r="AL522" s="382"/>
      <c r="AM522" s="382"/>
      <c r="AN522" s="382"/>
      <c r="AO522" s="382"/>
      <c r="AP522" s="382"/>
      <c r="AQ522" s="382"/>
      <c r="AR522" s="382"/>
      <c r="AS522" s="382"/>
      <c r="AT522" s="382"/>
      <c r="AU522" s="382"/>
      <c r="AV522" s="382"/>
      <c r="AW522" s="382"/>
      <c r="AX522" s="382"/>
      <c r="AY522" s="382"/>
      <c r="AZ522" s="382"/>
      <c r="BA522" s="382"/>
      <c r="BB522" s="382"/>
      <c r="BC522" s="382"/>
      <c r="BD522" s="382"/>
      <c r="BE522" s="382"/>
      <c r="BF522" s="382"/>
      <c r="BG522" s="382"/>
      <c r="BH522" s="382"/>
      <c r="BI522" s="382"/>
      <c r="BJ522" s="382"/>
      <c r="BK522" s="382"/>
      <c r="BL522" s="382"/>
      <c r="BM522" s="382"/>
      <c r="BN522" s="382"/>
      <c r="BO522" s="382"/>
      <c r="BP522" s="382"/>
      <c r="BQ522" s="382"/>
      <c r="BR522" s="382"/>
      <c r="BS522" s="382"/>
      <c r="BT522" s="382"/>
      <c r="BU522" s="496"/>
      <c r="BV522" s="382"/>
      <c r="BW522" s="382"/>
      <c r="BX522" s="382"/>
      <c r="BY522" s="382"/>
      <c r="BZ522" s="382"/>
      <c r="CA522" s="382"/>
      <c r="CB522" s="382"/>
      <c r="CC522" s="382"/>
      <c r="CD522" s="382"/>
      <c r="CE522" s="382"/>
      <c r="CF522" s="382"/>
      <c r="CG522" s="382"/>
      <c r="CH522" s="382"/>
      <c r="CI522" s="382"/>
      <c r="CJ522" s="382"/>
      <c r="CK522" s="382"/>
      <c r="CL522" s="382"/>
      <c r="CM522" s="382"/>
      <c r="CN522" s="382"/>
      <c r="CO522" s="382"/>
      <c r="CP522" s="382"/>
      <c r="CQ522" s="382"/>
      <c r="CR522" s="382"/>
      <c r="CS522" s="382"/>
      <c r="CT522" s="382"/>
      <c r="CU522" s="382"/>
      <c r="CV522" s="382"/>
      <c r="CW522" s="800"/>
      <c r="CX522" s="382"/>
      <c r="CY522" s="382"/>
      <c r="CZ522" s="382"/>
      <c r="DA522" s="382"/>
      <c r="DB522" s="382"/>
      <c r="DC522" s="382"/>
      <c r="DD522" s="382"/>
      <c r="DE522" s="382"/>
      <c r="DF522" s="382"/>
      <c r="DG522" s="382"/>
      <c r="DH522" s="382"/>
      <c r="DI522" s="382"/>
      <c r="DJ522" s="382"/>
      <c r="DK522" s="382"/>
      <c r="DL522" s="382"/>
      <c r="DM522" s="382"/>
      <c r="DN522" s="382"/>
      <c r="DO522" s="382"/>
      <c r="DP522" s="382"/>
      <c r="DQ522" s="382"/>
      <c r="DR522" s="382"/>
      <c r="DS522" s="382"/>
      <c r="DT522" s="382"/>
      <c r="DU522" s="382"/>
      <c r="DV522" s="382"/>
      <c r="DW522" s="382"/>
      <c r="DX522" s="382"/>
      <c r="DY522" s="382"/>
      <c r="DZ522" s="228"/>
    </row>
    <row r="523" spans="2:130" s="180" customFormat="1" x14ac:dyDescent="0.2">
      <c r="B523" s="800"/>
      <c r="C523" s="800"/>
      <c r="D523" s="800"/>
      <c r="E523" s="769"/>
      <c r="F523" s="769"/>
      <c r="G523" s="802"/>
      <c r="H523" s="802"/>
      <c r="I523" s="802"/>
      <c r="J523" s="802"/>
      <c r="K523" s="802"/>
      <c r="L523" s="802"/>
      <c r="M523" s="802"/>
      <c r="N523" s="802"/>
      <c r="O523" s="802"/>
      <c r="P523" s="802"/>
      <c r="Q523" s="802"/>
      <c r="R523" s="802"/>
      <c r="S523" s="802"/>
      <c r="T523" s="802"/>
      <c r="U523" s="802"/>
      <c r="V523" s="802"/>
      <c r="W523" s="802"/>
      <c r="X523" s="802"/>
      <c r="Y523" s="802"/>
      <c r="Z523" s="802"/>
      <c r="AA523" s="802"/>
      <c r="AB523" s="802"/>
      <c r="AC523" s="802"/>
      <c r="AD523" s="802"/>
      <c r="AE523" s="802"/>
      <c r="AF523" s="802"/>
      <c r="AG523" s="802"/>
      <c r="AH523" s="382"/>
      <c r="AI523" s="382"/>
      <c r="AJ523" s="382"/>
      <c r="AK523" s="382"/>
      <c r="AL523" s="382"/>
      <c r="AM523" s="382"/>
      <c r="AN523" s="382"/>
      <c r="AO523" s="382"/>
      <c r="AP523" s="382"/>
      <c r="AQ523" s="382"/>
      <c r="AR523" s="382"/>
      <c r="AS523" s="382"/>
      <c r="AT523" s="382"/>
      <c r="AU523" s="382"/>
      <c r="AV523" s="382"/>
      <c r="AW523" s="382"/>
      <c r="AX523" s="382"/>
      <c r="AY523" s="382"/>
      <c r="AZ523" s="382"/>
      <c r="BA523" s="382"/>
      <c r="BB523" s="382"/>
      <c r="BC523" s="382"/>
      <c r="BD523" s="382"/>
      <c r="BE523" s="382"/>
      <c r="BF523" s="382"/>
      <c r="BG523" s="382"/>
      <c r="BH523" s="382"/>
      <c r="BI523" s="382"/>
      <c r="BJ523" s="382"/>
      <c r="BK523" s="382"/>
      <c r="BL523" s="382"/>
      <c r="BM523" s="382"/>
      <c r="BN523" s="382"/>
      <c r="BO523" s="382"/>
      <c r="BP523" s="382"/>
      <c r="BQ523" s="382"/>
      <c r="BR523" s="382"/>
      <c r="BS523" s="382"/>
      <c r="BT523" s="382"/>
      <c r="BU523" s="496"/>
      <c r="BV523" s="382"/>
      <c r="BW523" s="382"/>
      <c r="BX523" s="382"/>
      <c r="BY523" s="382"/>
      <c r="BZ523" s="382"/>
      <c r="CA523" s="382"/>
      <c r="CB523" s="382"/>
      <c r="CC523" s="382"/>
      <c r="CD523" s="382"/>
      <c r="CE523" s="382"/>
      <c r="CF523" s="382"/>
      <c r="CG523" s="382"/>
      <c r="CH523" s="382"/>
      <c r="CI523" s="382"/>
      <c r="CJ523" s="382"/>
      <c r="CK523" s="382"/>
      <c r="CL523" s="382"/>
      <c r="CM523" s="382"/>
      <c r="CN523" s="382"/>
      <c r="CO523" s="382"/>
      <c r="CP523" s="382"/>
      <c r="CQ523" s="382"/>
      <c r="CR523" s="382"/>
      <c r="CS523" s="382"/>
      <c r="CT523" s="382"/>
      <c r="CU523" s="382"/>
      <c r="CV523" s="382"/>
      <c r="CW523" s="800"/>
      <c r="CX523" s="382"/>
      <c r="CY523" s="382"/>
      <c r="CZ523" s="382"/>
      <c r="DA523" s="382"/>
      <c r="DB523" s="382"/>
      <c r="DC523" s="382"/>
      <c r="DD523" s="382"/>
      <c r="DE523" s="382"/>
      <c r="DF523" s="382"/>
      <c r="DG523" s="382"/>
      <c r="DH523" s="382"/>
      <c r="DI523" s="382"/>
      <c r="DJ523" s="382"/>
      <c r="DK523" s="382"/>
      <c r="DL523" s="382"/>
      <c r="DM523" s="382"/>
      <c r="DN523" s="382"/>
      <c r="DO523" s="382"/>
      <c r="DP523" s="382"/>
      <c r="DQ523" s="382"/>
      <c r="DR523" s="382"/>
      <c r="DS523" s="382"/>
      <c r="DT523" s="382"/>
      <c r="DU523" s="382"/>
      <c r="DV523" s="382"/>
      <c r="DW523" s="382"/>
      <c r="DX523" s="382"/>
      <c r="DY523" s="382"/>
      <c r="DZ523" s="228"/>
    </row>
    <row r="524" spans="2:130" s="180" customFormat="1" x14ac:dyDescent="0.2">
      <c r="B524" s="800"/>
      <c r="C524" s="800"/>
      <c r="D524" s="800"/>
      <c r="E524" s="769"/>
      <c r="F524" s="769"/>
      <c r="G524" s="802"/>
      <c r="H524" s="802"/>
      <c r="I524" s="802"/>
      <c r="J524" s="802"/>
      <c r="K524" s="802"/>
      <c r="L524" s="802"/>
      <c r="M524" s="802"/>
      <c r="N524" s="802"/>
      <c r="O524" s="802"/>
      <c r="P524" s="802"/>
      <c r="Q524" s="802"/>
      <c r="R524" s="802"/>
      <c r="S524" s="802"/>
      <c r="T524" s="802"/>
      <c r="U524" s="802"/>
      <c r="V524" s="802"/>
      <c r="W524" s="802"/>
      <c r="X524" s="802"/>
      <c r="Y524" s="802"/>
      <c r="Z524" s="802"/>
      <c r="AA524" s="802"/>
      <c r="AB524" s="802"/>
      <c r="AC524" s="802"/>
      <c r="AD524" s="802"/>
      <c r="AE524" s="802"/>
      <c r="AF524" s="802"/>
      <c r="AG524" s="802"/>
      <c r="AH524" s="382"/>
      <c r="AI524" s="382"/>
      <c r="AJ524" s="382"/>
      <c r="AK524" s="382"/>
      <c r="AL524" s="382"/>
      <c r="AM524" s="382"/>
      <c r="AN524" s="382"/>
      <c r="AO524" s="382"/>
      <c r="AP524" s="382"/>
      <c r="AQ524" s="382"/>
      <c r="AR524" s="382"/>
      <c r="AS524" s="382"/>
      <c r="AT524" s="382"/>
      <c r="AU524" s="382"/>
      <c r="AV524" s="382"/>
      <c r="AW524" s="382"/>
      <c r="AX524" s="382"/>
      <c r="AY524" s="382"/>
      <c r="AZ524" s="382"/>
      <c r="BA524" s="382"/>
      <c r="BB524" s="382"/>
      <c r="BC524" s="382"/>
      <c r="BD524" s="382"/>
      <c r="BE524" s="382"/>
      <c r="BF524" s="382"/>
      <c r="BG524" s="382"/>
      <c r="BH524" s="382"/>
      <c r="BI524" s="382"/>
      <c r="BJ524" s="382"/>
      <c r="BK524" s="382"/>
      <c r="BL524" s="382"/>
      <c r="BM524" s="382"/>
      <c r="BN524" s="382"/>
      <c r="BO524" s="382"/>
      <c r="BP524" s="382"/>
      <c r="BQ524" s="382"/>
      <c r="BR524" s="382"/>
      <c r="BS524" s="382"/>
      <c r="BT524" s="382"/>
      <c r="BU524" s="496"/>
      <c r="BV524" s="382"/>
      <c r="BW524" s="382"/>
      <c r="BX524" s="382"/>
      <c r="BY524" s="382"/>
      <c r="BZ524" s="382"/>
      <c r="CA524" s="382"/>
      <c r="CB524" s="382"/>
      <c r="CC524" s="382"/>
      <c r="CD524" s="382"/>
      <c r="CE524" s="382"/>
      <c r="CF524" s="382"/>
      <c r="CG524" s="382"/>
      <c r="CH524" s="382"/>
      <c r="CI524" s="382"/>
      <c r="CJ524" s="382"/>
      <c r="CK524" s="382"/>
      <c r="CL524" s="382"/>
      <c r="CM524" s="382"/>
      <c r="CN524" s="382"/>
      <c r="CO524" s="382"/>
      <c r="CP524" s="382"/>
      <c r="CQ524" s="382"/>
      <c r="CR524" s="382"/>
      <c r="CS524" s="382"/>
      <c r="CT524" s="382"/>
      <c r="CU524" s="382"/>
      <c r="CV524" s="382"/>
      <c r="CW524" s="800"/>
      <c r="CX524" s="382"/>
      <c r="CY524" s="382"/>
      <c r="CZ524" s="382"/>
      <c r="DA524" s="382"/>
      <c r="DB524" s="382"/>
      <c r="DC524" s="382"/>
      <c r="DD524" s="382"/>
      <c r="DE524" s="382"/>
      <c r="DF524" s="382"/>
      <c r="DG524" s="382"/>
      <c r="DH524" s="382"/>
      <c r="DI524" s="382"/>
      <c r="DJ524" s="382"/>
      <c r="DK524" s="382"/>
      <c r="DL524" s="382"/>
      <c r="DM524" s="382"/>
      <c r="DN524" s="382"/>
      <c r="DO524" s="382"/>
      <c r="DP524" s="382"/>
      <c r="DQ524" s="382"/>
      <c r="DR524" s="382"/>
      <c r="DS524" s="382"/>
      <c r="DT524" s="382"/>
      <c r="DU524" s="382"/>
      <c r="DV524" s="382"/>
      <c r="DW524" s="382"/>
      <c r="DX524" s="382"/>
      <c r="DY524" s="382"/>
      <c r="DZ524" s="228"/>
    </row>
    <row r="525" spans="2:130" s="180" customFormat="1" x14ac:dyDescent="0.2">
      <c r="B525" s="800"/>
      <c r="C525" s="800"/>
      <c r="D525" s="800"/>
      <c r="E525" s="769"/>
      <c r="F525" s="769"/>
      <c r="G525" s="802"/>
      <c r="H525" s="802"/>
      <c r="I525" s="802"/>
      <c r="J525" s="802"/>
      <c r="K525" s="802"/>
      <c r="L525" s="802"/>
      <c r="M525" s="802"/>
      <c r="N525" s="802"/>
      <c r="O525" s="802"/>
      <c r="P525" s="802"/>
      <c r="Q525" s="802"/>
      <c r="R525" s="802"/>
      <c r="S525" s="802"/>
      <c r="T525" s="802"/>
      <c r="U525" s="802"/>
      <c r="V525" s="802"/>
      <c r="W525" s="802"/>
      <c r="X525" s="802"/>
      <c r="Y525" s="802"/>
      <c r="Z525" s="802"/>
      <c r="AA525" s="802"/>
      <c r="AB525" s="802"/>
      <c r="AC525" s="802"/>
      <c r="AD525" s="802"/>
      <c r="AE525" s="802"/>
      <c r="AF525" s="802"/>
      <c r="AG525" s="802"/>
      <c r="AH525" s="382"/>
      <c r="AI525" s="382"/>
      <c r="AJ525" s="382"/>
      <c r="AK525" s="382"/>
      <c r="AL525" s="382"/>
      <c r="AM525" s="382"/>
      <c r="AN525" s="382"/>
      <c r="AO525" s="382"/>
      <c r="AP525" s="382"/>
      <c r="AQ525" s="382"/>
      <c r="AR525" s="382"/>
      <c r="AS525" s="382"/>
      <c r="AT525" s="382"/>
      <c r="AU525" s="382"/>
      <c r="AV525" s="382"/>
      <c r="AW525" s="382"/>
      <c r="AX525" s="382"/>
      <c r="AY525" s="382"/>
      <c r="AZ525" s="382"/>
      <c r="BA525" s="382"/>
      <c r="BB525" s="382"/>
      <c r="BC525" s="382"/>
      <c r="BD525" s="382"/>
      <c r="BE525" s="382"/>
      <c r="BF525" s="382"/>
      <c r="BG525" s="382"/>
      <c r="BH525" s="382"/>
      <c r="BI525" s="382"/>
      <c r="BJ525" s="382"/>
      <c r="BK525" s="382"/>
      <c r="BL525" s="382"/>
      <c r="BM525" s="382"/>
      <c r="BN525" s="382"/>
      <c r="BO525" s="382"/>
      <c r="BP525" s="382"/>
      <c r="BQ525" s="382"/>
      <c r="BR525" s="382"/>
      <c r="BS525" s="382"/>
      <c r="BT525" s="382"/>
      <c r="BU525" s="496"/>
      <c r="BV525" s="382"/>
      <c r="BW525" s="382"/>
      <c r="BX525" s="382"/>
      <c r="BY525" s="382"/>
      <c r="BZ525" s="382"/>
      <c r="CA525" s="382"/>
      <c r="CB525" s="382"/>
      <c r="CC525" s="382"/>
      <c r="CD525" s="382"/>
      <c r="CE525" s="382"/>
      <c r="CF525" s="382"/>
      <c r="CG525" s="382"/>
      <c r="CH525" s="382"/>
      <c r="CI525" s="382"/>
      <c r="CJ525" s="382"/>
      <c r="CK525" s="382"/>
      <c r="CL525" s="382"/>
      <c r="CM525" s="382"/>
      <c r="CN525" s="382"/>
      <c r="CO525" s="382"/>
      <c r="CP525" s="382"/>
      <c r="CQ525" s="382"/>
      <c r="CR525" s="382"/>
      <c r="CS525" s="382"/>
      <c r="CT525" s="382"/>
      <c r="CU525" s="382"/>
      <c r="CV525" s="382"/>
      <c r="CW525" s="800"/>
      <c r="CX525" s="382"/>
      <c r="CY525" s="382"/>
      <c r="CZ525" s="382"/>
      <c r="DA525" s="382"/>
      <c r="DB525" s="382"/>
      <c r="DC525" s="382"/>
      <c r="DD525" s="382"/>
      <c r="DE525" s="382"/>
      <c r="DF525" s="382"/>
      <c r="DG525" s="382"/>
      <c r="DH525" s="382"/>
      <c r="DI525" s="382"/>
      <c r="DJ525" s="382"/>
      <c r="DK525" s="382"/>
      <c r="DL525" s="382"/>
      <c r="DM525" s="382"/>
      <c r="DN525" s="382"/>
      <c r="DO525" s="382"/>
      <c r="DP525" s="382"/>
      <c r="DQ525" s="382"/>
      <c r="DR525" s="382"/>
      <c r="DS525" s="382"/>
      <c r="DT525" s="382"/>
      <c r="DU525" s="382"/>
      <c r="DV525" s="382"/>
      <c r="DW525" s="382"/>
      <c r="DX525" s="382"/>
      <c r="DY525" s="382"/>
      <c r="DZ525" s="228"/>
    </row>
    <row r="526" spans="2:130" s="180" customFormat="1" x14ac:dyDescent="0.2">
      <c r="B526" s="800"/>
      <c r="C526" s="800"/>
      <c r="D526" s="800"/>
      <c r="E526" s="769"/>
      <c r="F526" s="769"/>
      <c r="G526" s="802"/>
      <c r="H526" s="802"/>
      <c r="I526" s="802"/>
      <c r="J526" s="802"/>
      <c r="K526" s="802"/>
      <c r="L526" s="802"/>
      <c r="M526" s="802"/>
      <c r="N526" s="802"/>
      <c r="O526" s="802"/>
      <c r="P526" s="802"/>
      <c r="Q526" s="802"/>
      <c r="R526" s="802"/>
      <c r="S526" s="802"/>
      <c r="T526" s="802"/>
      <c r="U526" s="802"/>
      <c r="V526" s="802"/>
      <c r="W526" s="802"/>
      <c r="X526" s="802"/>
      <c r="Y526" s="802"/>
      <c r="Z526" s="802"/>
      <c r="AA526" s="802"/>
      <c r="AB526" s="802"/>
      <c r="AC526" s="802"/>
      <c r="AD526" s="802"/>
      <c r="AE526" s="802"/>
      <c r="AF526" s="802"/>
      <c r="AG526" s="802"/>
      <c r="AH526" s="382"/>
      <c r="AI526" s="382"/>
      <c r="AJ526" s="382"/>
      <c r="AK526" s="382"/>
      <c r="AL526" s="382"/>
      <c r="AM526" s="382"/>
      <c r="AN526" s="382"/>
      <c r="AO526" s="382"/>
      <c r="AP526" s="382"/>
      <c r="AQ526" s="382"/>
      <c r="AR526" s="382"/>
      <c r="AS526" s="382"/>
      <c r="AT526" s="382"/>
      <c r="AU526" s="382"/>
      <c r="AV526" s="382"/>
      <c r="AW526" s="382"/>
      <c r="AX526" s="382"/>
      <c r="AY526" s="382"/>
      <c r="AZ526" s="382"/>
      <c r="BA526" s="382"/>
      <c r="BB526" s="382"/>
      <c r="BC526" s="382"/>
      <c r="BD526" s="382"/>
      <c r="BE526" s="382"/>
      <c r="BF526" s="382"/>
      <c r="BG526" s="382"/>
      <c r="BH526" s="382"/>
      <c r="BI526" s="382"/>
      <c r="BJ526" s="382"/>
      <c r="BK526" s="382"/>
      <c r="BL526" s="382"/>
      <c r="BM526" s="382"/>
      <c r="BN526" s="382"/>
      <c r="BO526" s="382"/>
      <c r="BP526" s="382"/>
      <c r="BQ526" s="382"/>
      <c r="BR526" s="382"/>
      <c r="BS526" s="382"/>
      <c r="BT526" s="382"/>
      <c r="BU526" s="496"/>
      <c r="BV526" s="382"/>
      <c r="BW526" s="382"/>
      <c r="BX526" s="382"/>
      <c r="BY526" s="382"/>
      <c r="BZ526" s="382"/>
      <c r="CA526" s="382"/>
      <c r="CB526" s="382"/>
      <c r="CC526" s="382"/>
      <c r="CD526" s="382"/>
      <c r="CE526" s="382"/>
      <c r="CF526" s="382"/>
      <c r="CG526" s="382"/>
      <c r="CH526" s="382"/>
      <c r="CI526" s="382"/>
      <c r="CJ526" s="382"/>
      <c r="CK526" s="382"/>
      <c r="CL526" s="382"/>
      <c r="CM526" s="382"/>
      <c r="CN526" s="382"/>
      <c r="CO526" s="382"/>
      <c r="CP526" s="382"/>
      <c r="CQ526" s="382"/>
      <c r="CR526" s="382"/>
      <c r="CS526" s="382"/>
      <c r="CT526" s="382"/>
      <c r="CU526" s="382"/>
      <c r="CV526" s="382"/>
      <c r="CW526" s="800"/>
      <c r="CX526" s="382"/>
      <c r="CY526" s="382"/>
      <c r="CZ526" s="382"/>
      <c r="DA526" s="382"/>
      <c r="DB526" s="382"/>
      <c r="DC526" s="382"/>
      <c r="DD526" s="382"/>
      <c r="DE526" s="382"/>
      <c r="DF526" s="382"/>
      <c r="DG526" s="382"/>
      <c r="DH526" s="382"/>
      <c r="DI526" s="382"/>
      <c r="DJ526" s="382"/>
      <c r="DK526" s="382"/>
      <c r="DL526" s="382"/>
      <c r="DM526" s="382"/>
      <c r="DN526" s="382"/>
      <c r="DO526" s="382"/>
      <c r="DP526" s="382"/>
      <c r="DQ526" s="382"/>
      <c r="DR526" s="382"/>
      <c r="DS526" s="382"/>
      <c r="DT526" s="382"/>
      <c r="DU526" s="382"/>
      <c r="DV526" s="382"/>
      <c r="DW526" s="382"/>
      <c r="DX526" s="382"/>
      <c r="DY526" s="382"/>
      <c r="DZ526" s="228"/>
    </row>
    <row r="527" spans="2:130" s="180" customFormat="1" x14ac:dyDescent="0.2">
      <c r="B527" s="800"/>
      <c r="C527" s="800"/>
      <c r="D527" s="800"/>
      <c r="E527" s="769"/>
      <c r="F527" s="769"/>
      <c r="G527" s="802"/>
      <c r="H527" s="802"/>
      <c r="I527" s="802"/>
      <c r="J527" s="802"/>
      <c r="K527" s="802"/>
      <c r="L527" s="802"/>
      <c r="M527" s="802"/>
      <c r="N527" s="802"/>
      <c r="O527" s="802"/>
      <c r="P527" s="802"/>
      <c r="Q527" s="802"/>
      <c r="R527" s="802"/>
      <c r="S527" s="802"/>
      <c r="T527" s="802"/>
      <c r="U527" s="802"/>
      <c r="V527" s="802"/>
      <c r="W527" s="802"/>
      <c r="X527" s="802"/>
      <c r="Y527" s="802"/>
      <c r="Z527" s="802"/>
      <c r="AA527" s="802"/>
      <c r="AB527" s="802"/>
      <c r="AC527" s="802"/>
      <c r="AD527" s="802"/>
      <c r="AE527" s="802"/>
      <c r="AF527" s="802"/>
      <c r="AG527" s="802"/>
      <c r="AH527" s="382"/>
      <c r="AI527" s="382"/>
      <c r="AJ527" s="382"/>
      <c r="AK527" s="382"/>
      <c r="AL527" s="382"/>
      <c r="AM527" s="382"/>
      <c r="AN527" s="382"/>
      <c r="AO527" s="382"/>
      <c r="AP527" s="382"/>
      <c r="AQ527" s="382"/>
      <c r="AR527" s="382"/>
      <c r="AS527" s="382"/>
      <c r="AT527" s="382"/>
      <c r="AU527" s="382"/>
      <c r="AV527" s="382"/>
      <c r="AW527" s="382"/>
      <c r="AX527" s="382"/>
      <c r="AY527" s="382"/>
      <c r="AZ527" s="382"/>
      <c r="BA527" s="382"/>
      <c r="BB527" s="382"/>
      <c r="BC527" s="382"/>
      <c r="BD527" s="382"/>
      <c r="BE527" s="382"/>
      <c r="BF527" s="382"/>
      <c r="BG527" s="382"/>
      <c r="BH527" s="382"/>
      <c r="BI527" s="382"/>
      <c r="BJ527" s="382"/>
      <c r="BK527" s="382"/>
      <c r="BL527" s="382"/>
      <c r="BM527" s="382"/>
      <c r="BN527" s="382"/>
      <c r="BO527" s="382"/>
      <c r="BP527" s="382"/>
      <c r="BQ527" s="382"/>
      <c r="BR527" s="382"/>
      <c r="BS527" s="382"/>
      <c r="BT527" s="382"/>
      <c r="BU527" s="496"/>
      <c r="BV527" s="382"/>
      <c r="BW527" s="382"/>
      <c r="BX527" s="382"/>
      <c r="BY527" s="382"/>
      <c r="BZ527" s="382"/>
      <c r="CA527" s="382"/>
      <c r="CB527" s="382"/>
      <c r="CC527" s="382"/>
      <c r="CD527" s="382"/>
      <c r="CE527" s="382"/>
      <c r="CF527" s="382"/>
      <c r="CG527" s="382"/>
      <c r="CH527" s="382"/>
      <c r="CI527" s="382"/>
      <c r="CJ527" s="382"/>
      <c r="CK527" s="382"/>
      <c r="CL527" s="382"/>
      <c r="CM527" s="382"/>
      <c r="CN527" s="382"/>
      <c r="CO527" s="382"/>
      <c r="CP527" s="382"/>
      <c r="CQ527" s="382"/>
      <c r="CR527" s="382"/>
      <c r="CS527" s="382"/>
      <c r="CT527" s="382"/>
      <c r="CU527" s="382"/>
      <c r="CV527" s="382"/>
      <c r="CW527" s="800"/>
      <c r="CX527" s="382"/>
      <c r="CY527" s="382"/>
      <c r="CZ527" s="382"/>
      <c r="DA527" s="382"/>
      <c r="DB527" s="382"/>
      <c r="DC527" s="382"/>
      <c r="DD527" s="382"/>
      <c r="DE527" s="382"/>
      <c r="DF527" s="382"/>
      <c r="DG527" s="382"/>
      <c r="DH527" s="382"/>
      <c r="DI527" s="382"/>
      <c r="DJ527" s="382"/>
      <c r="DK527" s="382"/>
      <c r="DL527" s="382"/>
      <c r="DM527" s="382"/>
      <c r="DN527" s="382"/>
      <c r="DO527" s="382"/>
      <c r="DP527" s="382"/>
      <c r="DQ527" s="382"/>
      <c r="DR527" s="382"/>
      <c r="DS527" s="382"/>
      <c r="DT527" s="382"/>
      <c r="DU527" s="382"/>
      <c r="DV527" s="382"/>
      <c r="DW527" s="382"/>
      <c r="DX527" s="382"/>
      <c r="DY527" s="382"/>
      <c r="DZ527" s="228"/>
    </row>
    <row r="528" spans="2:130" s="180" customFormat="1" x14ac:dyDescent="0.2">
      <c r="B528" s="800"/>
      <c r="C528" s="800"/>
      <c r="D528" s="800"/>
      <c r="E528" s="769"/>
      <c r="F528" s="769"/>
      <c r="G528" s="802"/>
      <c r="H528" s="802"/>
      <c r="I528" s="802"/>
      <c r="J528" s="802"/>
      <c r="K528" s="802"/>
      <c r="L528" s="802"/>
      <c r="M528" s="802"/>
      <c r="N528" s="802"/>
      <c r="O528" s="802"/>
      <c r="P528" s="802"/>
      <c r="Q528" s="802"/>
      <c r="R528" s="802"/>
      <c r="S528" s="802"/>
      <c r="T528" s="802"/>
      <c r="U528" s="802"/>
      <c r="V528" s="802"/>
      <c r="W528" s="802"/>
      <c r="X528" s="802"/>
      <c r="Y528" s="802"/>
      <c r="Z528" s="802"/>
      <c r="AA528" s="802"/>
      <c r="AB528" s="802"/>
      <c r="AC528" s="802"/>
      <c r="AD528" s="802"/>
      <c r="AE528" s="802"/>
      <c r="AF528" s="802"/>
      <c r="AG528" s="802"/>
      <c r="AH528" s="382"/>
      <c r="AI528" s="382"/>
      <c r="AJ528" s="382"/>
      <c r="AK528" s="382"/>
      <c r="AL528" s="382"/>
      <c r="AM528" s="382"/>
      <c r="AN528" s="382"/>
      <c r="AO528" s="382"/>
      <c r="AP528" s="382"/>
      <c r="AQ528" s="382"/>
      <c r="AR528" s="382"/>
      <c r="AS528" s="382"/>
      <c r="AT528" s="382"/>
      <c r="AU528" s="382"/>
      <c r="AV528" s="382"/>
      <c r="AW528" s="382"/>
      <c r="AX528" s="382"/>
      <c r="AY528" s="382"/>
      <c r="AZ528" s="382"/>
      <c r="BA528" s="382"/>
      <c r="BB528" s="382"/>
      <c r="BC528" s="382"/>
      <c r="BD528" s="382"/>
      <c r="BE528" s="382"/>
      <c r="BF528" s="382"/>
      <c r="BG528" s="382"/>
      <c r="BH528" s="382"/>
      <c r="BI528" s="382"/>
      <c r="BJ528" s="382"/>
      <c r="BK528" s="382"/>
      <c r="BL528" s="382"/>
      <c r="BM528" s="382"/>
      <c r="BN528" s="382"/>
      <c r="BO528" s="382"/>
      <c r="BP528" s="382"/>
      <c r="BQ528" s="382"/>
      <c r="BR528" s="382"/>
      <c r="BS528" s="382"/>
      <c r="BT528" s="382"/>
      <c r="BU528" s="496"/>
      <c r="BV528" s="382"/>
      <c r="BW528" s="382"/>
      <c r="BX528" s="382"/>
      <c r="BY528" s="382"/>
      <c r="BZ528" s="382"/>
      <c r="CA528" s="382"/>
      <c r="CB528" s="382"/>
      <c r="CC528" s="382"/>
      <c r="CD528" s="382"/>
      <c r="CE528" s="382"/>
      <c r="CF528" s="382"/>
      <c r="CG528" s="382"/>
      <c r="CH528" s="382"/>
      <c r="CI528" s="382"/>
      <c r="CJ528" s="382"/>
      <c r="CK528" s="382"/>
      <c r="CL528" s="382"/>
      <c r="CM528" s="382"/>
      <c r="CN528" s="382"/>
      <c r="CO528" s="382"/>
      <c r="CP528" s="382"/>
      <c r="CQ528" s="382"/>
      <c r="CR528" s="382"/>
      <c r="CS528" s="382"/>
      <c r="CT528" s="382"/>
      <c r="CU528" s="382"/>
      <c r="CV528" s="382"/>
      <c r="CW528" s="800"/>
      <c r="CX528" s="382"/>
      <c r="CY528" s="382"/>
      <c r="CZ528" s="382"/>
      <c r="DA528" s="382"/>
      <c r="DB528" s="382"/>
      <c r="DC528" s="382"/>
      <c r="DD528" s="382"/>
      <c r="DE528" s="382"/>
      <c r="DF528" s="382"/>
      <c r="DG528" s="382"/>
      <c r="DH528" s="382"/>
      <c r="DI528" s="382"/>
      <c r="DJ528" s="382"/>
      <c r="DK528" s="382"/>
      <c r="DL528" s="382"/>
      <c r="DM528" s="382"/>
      <c r="DN528" s="382"/>
      <c r="DO528" s="382"/>
      <c r="DP528" s="382"/>
      <c r="DQ528" s="382"/>
      <c r="DR528" s="382"/>
      <c r="DS528" s="382"/>
      <c r="DT528" s="382"/>
      <c r="DU528" s="382"/>
      <c r="DV528" s="382"/>
      <c r="DW528" s="382"/>
      <c r="DX528" s="382"/>
      <c r="DY528" s="382"/>
      <c r="DZ528" s="228"/>
    </row>
    <row r="529" spans="2:130" s="180" customFormat="1" x14ac:dyDescent="0.2">
      <c r="B529" s="800"/>
      <c r="C529" s="800"/>
      <c r="D529" s="800"/>
      <c r="E529" s="769"/>
      <c r="F529" s="769"/>
      <c r="G529" s="802"/>
      <c r="H529" s="802"/>
      <c r="I529" s="802"/>
      <c r="J529" s="802"/>
      <c r="K529" s="802"/>
      <c r="L529" s="802"/>
      <c r="M529" s="802"/>
      <c r="N529" s="802"/>
      <c r="O529" s="802"/>
      <c r="P529" s="802"/>
      <c r="Q529" s="802"/>
      <c r="R529" s="802"/>
      <c r="S529" s="802"/>
      <c r="T529" s="802"/>
      <c r="U529" s="802"/>
      <c r="V529" s="802"/>
      <c r="W529" s="802"/>
      <c r="X529" s="802"/>
      <c r="Y529" s="802"/>
      <c r="Z529" s="802"/>
      <c r="AA529" s="802"/>
      <c r="AB529" s="802"/>
      <c r="AC529" s="802"/>
      <c r="AD529" s="802"/>
      <c r="AE529" s="802"/>
      <c r="AF529" s="802"/>
      <c r="AG529" s="802"/>
      <c r="AH529" s="382"/>
      <c r="AI529" s="382"/>
      <c r="AJ529" s="382"/>
      <c r="AK529" s="382"/>
      <c r="AL529" s="382"/>
      <c r="AM529" s="382"/>
      <c r="AN529" s="382"/>
      <c r="AO529" s="382"/>
      <c r="AP529" s="382"/>
      <c r="AQ529" s="382"/>
      <c r="AR529" s="382"/>
      <c r="AS529" s="382"/>
      <c r="AT529" s="382"/>
      <c r="AU529" s="382"/>
      <c r="AV529" s="382"/>
      <c r="AW529" s="382"/>
      <c r="AX529" s="382"/>
      <c r="AY529" s="382"/>
      <c r="AZ529" s="382"/>
      <c r="BA529" s="382"/>
      <c r="BB529" s="382"/>
      <c r="BC529" s="382"/>
      <c r="BD529" s="382"/>
      <c r="BE529" s="382"/>
      <c r="BF529" s="382"/>
      <c r="BG529" s="382"/>
      <c r="BH529" s="382"/>
      <c r="BI529" s="382"/>
      <c r="BJ529" s="382"/>
      <c r="BK529" s="382"/>
      <c r="BL529" s="382"/>
      <c r="BM529" s="382"/>
      <c r="BN529" s="382"/>
      <c r="BO529" s="382"/>
      <c r="BP529" s="382"/>
      <c r="BQ529" s="382"/>
      <c r="BR529" s="382"/>
      <c r="BS529" s="382"/>
      <c r="BT529" s="382"/>
      <c r="BU529" s="496"/>
      <c r="BV529" s="382"/>
      <c r="BW529" s="382"/>
      <c r="BX529" s="382"/>
      <c r="BY529" s="382"/>
      <c r="BZ529" s="382"/>
      <c r="CA529" s="382"/>
      <c r="CB529" s="382"/>
      <c r="CC529" s="382"/>
      <c r="CD529" s="382"/>
      <c r="CE529" s="382"/>
      <c r="CF529" s="382"/>
      <c r="CG529" s="382"/>
      <c r="CH529" s="382"/>
      <c r="CI529" s="382"/>
      <c r="CJ529" s="382"/>
      <c r="CK529" s="382"/>
      <c r="CL529" s="382"/>
      <c r="CM529" s="382"/>
      <c r="CN529" s="382"/>
      <c r="CO529" s="382"/>
      <c r="CP529" s="382"/>
      <c r="CQ529" s="382"/>
      <c r="CR529" s="382"/>
      <c r="CS529" s="382"/>
      <c r="CT529" s="382"/>
      <c r="CU529" s="382"/>
      <c r="CV529" s="382"/>
      <c r="CW529" s="800"/>
      <c r="CX529" s="382"/>
      <c r="CY529" s="382"/>
      <c r="CZ529" s="382"/>
      <c r="DA529" s="382"/>
      <c r="DB529" s="382"/>
      <c r="DC529" s="382"/>
      <c r="DD529" s="382"/>
      <c r="DE529" s="382"/>
      <c r="DF529" s="382"/>
      <c r="DG529" s="382"/>
      <c r="DH529" s="382"/>
      <c r="DI529" s="382"/>
      <c r="DJ529" s="382"/>
      <c r="DK529" s="382"/>
      <c r="DL529" s="382"/>
      <c r="DM529" s="382"/>
      <c r="DN529" s="382"/>
      <c r="DO529" s="382"/>
      <c r="DP529" s="382"/>
      <c r="DQ529" s="382"/>
      <c r="DR529" s="382"/>
      <c r="DS529" s="382"/>
      <c r="DT529" s="382"/>
      <c r="DU529" s="382"/>
      <c r="DV529" s="382"/>
      <c r="DW529" s="382"/>
      <c r="DX529" s="382"/>
      <c r="DY529" s="382"/>
      <c r="DZ529" s="228"/>
    </row>
    <row r="530" spans="2:130" s="180" customFormat="1" x14ac:dyDescent="0.2">
      <c r="B530" s="800"/>
      <c r="C530" s="800"/>
      <c r="D530" s="800"/>
      <c r="E530" s="769"/>
      <c r="F530" s="769"/>
      <c r="G530" s="802"/>
      <c r="H530" s="802"/>
      <c r="I530" s="802"/>
      <c r="J530" s="802"/>
      <c r="K530" s="802"/>
      <c r="L530" s="802"/>
      <c r="M530" s="802"/>
      <c r="N530" s="802"/>
      <c r="O530" s="802"/>
      <c r="P530" s="802"/>
      <c r="Q530" s="802"/>
      <c r="R530" s="802"/>
      <c r="S530" s="802"/>
      <c r="T530" s="802"/>
      <c r="U530" s="802"/>
      <c r="V530" s="802"/>
      <c r="W530" s="802"/>
      <c r="X530" s="802"/>
      <c r="Y530" s="802"/>
      <c r="Z530" s="802"/>
      <c r="AA530" s="802"/>
      <c r="AB530" s="802"/>
      <c r="AC530" s="802"/>
      <c r="AD530" s="802"/>
      <c r="AE530" s="802"/>
      <c r="AF530" s="802"/>
      <c r="AG530" s="802"/>
      <c r="AH530" s="382"/>
      <c r="AI530" s="382"/>
      <c r="AJ530" s="382"/>
      <c r="AK530" s="382"/>
      <c r="AL530" s="382"/>
      <c r="AM530" s="382"/>
      <c r="AN530" s="382"/>
      <c r="AO530" s="382"/>
      <c r="AP530" s="382"/>
      <c r="AQ530" s="382"/>
      <c r="AR530" s="382"/>
      <c r="AS530" s="382"/>
      <c r="AT530" s="382"/>
      <c r="AU530" s="382"/>
      <c r="AV530" s="382"/>
      <c r="AW530" s="382"/>
      <c r="AX530" s="382"/>
      <c r="AY530" s="382"/>
      <c r="AZ530" s="382"/>
      <c r="BA530" s="382"/>
      <c r="BB530" s="382"/>
      <c r="BC530" s="382"/>
      <c r="BD530" s="382"/>
      <c r="BE530" s="382"/>
      <c r="BF530" s="382"/>
      <c r="BG530" s="382"/>
      <c r="BH530" s="382"/>
      <c r="BI530" s="382"/>
      <c r="BJ530" s="382"/>
      <c r="BK530" s="382"/>
      <c r="BL530" s="382"/>
      <c r="BM530" s="382"/>
      <c r="BN530" s="382"/>
      <c r="BO530" s="382"/>
      <c r="BP530" s="382"/>
      <c r="BQ530" s="382"/>
      <c r="BR530" s="382"/>
      <c r="BS530" s="382"/>
      <c r="BT530" s="382"/>
      <c r="BU530" s="496"/>
      <c r="BV530" s="382"/>
      <c r="BW530" s="382"/>
      <c r="BX530" s="382"/>
      <c r="BY530" s="382"/>
      <c r="BZ530" s="382"/>
      <c r="CA530" s="382"/>
      <c r="CB530" s="382"/>
      <c r="CC530" s="382"/>
      <c r="CD530" s="382"/>
      <c r="CE530" s="382"/>
      <c r="CF530" s="382"/>
      <c r="CG530" s="382"/>
      <c r="CH530" s="382"/>
      <c r="CI530" s="382"/>
      <c r="CJ530" s="382"/>
      <c r="CK530" s="382"/>
      <c r="CL530" s="382"/>
      <c r="CM530" s="382"/>
      <c r="CN530" s="382"/>
      <c r="CO530" s="382"/>
      <c r="CP530" s="382"/>
      <c r="CQ530" s="382"/>
      <c r="CR530" s="382"/>
      <c r="CS530" s="382"/>
      <c r="CT530" s="382"/>
      <c r="CU530" s="382"/>
      <c r="CV530" s="382"/>
      <c r="CW530" s="800"/>
      <c r="CX530" s="382"/>
      <c r="CY530" s="382"/>
      <c r="CZ530" s="382"/>
      <c r="DA530" s="382"/>
      <c r="DB530" s="382"/>
      <c r="DC530" s="382"/>
      <c r="DD530" s="382"/>
      <c r="DE530" s="382"/>
      <c r="DF530" s="382"/>
      <c r="DG530" s="382"/>
      <c r="DH530" s="382"/>
      <c r="DI530" s="382"/>
      <c r="DJ530" s="382"/>
      <c r="DK530" s="382"/>
      <c r="DL530" s="382"/>
      <c r="DM530" s="382"/>
      <c r="DN530" s="382"/>
      <c r="DO530" s="382"/>
      <c r="DP530" s="382"/>
      <c r="DQ530" s="382"/>
      <c r="DR530" s="382"/>
      <c r="DS530" s="382"/>
      <c r="DT530" s="382"/>
      <c r="DU530" s="382"/>
      <c r="DV530" s="382"/>
      <c r="DW530" s="382"/>
      <c r="DX530" s="382"/>
      <c r="DY530" s="382"/>
      <c r="DZ530" s="228"/>
    </row>
    <row r="531" spans="2:130" s="180" customFormat="1" x14ac:dyDescent="0.2">
      <c r="B531" s="800"/>
      <c r="C531" s="800"/>
      <c r="D531" s="800"/>
      <c r="E531" s="769"/>
      <c r="F531" s="769"/>
      <c r="G531" s="802"/>
      <c r="H531" s="802"/>
      <c r="I531" s="802"/>
      <c r="J531" s="802"/>
      <c r="K531" s="802"/>
      <c r="L531" s="802"/>
      <c r="M531" s="802"/>
      <c r="N531" s="802"/>
      <c r="O531" s="802"/>
      <c r="P531" s="802"/>
      <c r="Q531" s="802"/>
      <c r="R531" s="802"/>
      <c r="S531" s="802"/>
      <c r="T531" s="802"/>
      <c r="U531" s="802"/>
      <c r="V531" s="802"/>
      <c r="W531" s="802"/>
      <c r="X531" s="802"/>
      <c r="Y531" s="802"/>
      <c r="Z531" s="802"/>
      <c r="AA531" s="802"/>
      <c r="AB531" s="802"/>
      <c r="AC531" s="802"/>
      <c r="AD531" s="802"/>
      <c r="AE531" s="802"/>
      <c r="AF531" s="802"/>
      <c r="AG531" s="802"/>
      <c r="AH531" s="382"/>
      <c r="AI531" s="382"/>
      <c r="AJ531" s="382"/>
      <c r="AK531" s="382"/>
      <c r="AL531" s="382"/>
      <c r="AM531" s="382"/>
      <c r="AN531" s="382"/>
      <c r="AO531" s="382"/>
      <c r="AP531" s="382"/>
      <c r="AQ531" s="382"/>
      <c r="AR531" s="382"/>
      <c r="AS531" s="382"/>
      <c r="AT531" s="382"/>
      <c r="AU531" s="382"/>
      <c r="AV531" s="382"/>
      <c r="AW531" s="382"/>
      <c r="AX531" s="382"/>
      <c r="AY531" s="382"/>
      <c r="AZ531" s="382"/>
      <c r="BA531" s="382"/>
      <c r="BB531" s="382"/>
      <c r="BC531" s="382"/>
      <c r="BD531" s="382"/>
      <c r="BE531" s="382"/>
      <c r="BF531" s="382"/>
      <c r="BG531" s="382"/>
      <c r="BH531" s="382"/>
      <c r="BI531" s="382"/>
      <c r="BJ531" s="382"/>
      <c r="BK531" s="382"/>
      <c r="BL531" s="382"/>
      <c r="BM531" s="382"/>
      <c r="BN531" s="382"/>
      <c r="BO531" s="382"/>
      <c r="BP531" s="382"/>
      <c r="BQ531" s="382"/>
      <c r="BR531" s="382"/>
      <c r="BS531" s="382"/>
      <c r="BT531" s="382"/>
      <c r="BU531" s="496"/>
      <c r="BV531" s="382"/>
      <c r="BW531" s="382"/>
      <c r="BX531" s="382"/>
      <c r="BY531" s="382"/>
      <c r="BZ531" s="382"/>
      <c r="CA531" s="382"/>
      <c r="CB531" s="382"/>
      <c r="CC531" s="382"/>
      <c r="CD531" s="382"/>
      <c r="CE531" s="382"/>
      <c r="CF531" s="382"/>
      <c r="CG531" s="382"/>
      <c r="CH531" s="382"/>
      <c r="CI531" s="382"/>
      <c r="CJ531" s="382"/>
      <c r="CK531" s="382"/>
      <c r="CL531" s="382"/>
      <c r="CM531" s="382"/>
      <c r="CN531" s="382"/>
      <c r="CO531" s="382"/>
      <c r="CP531" s="382"/>
      <c r="CQ531" s="382"/>
      <c r="CR531" s="382"/>
      <c r="CS531" s="382"/>
      <c r="CT531" s="382"/>
      <c r="CU531" s="382"/>
      <c r="CV531" s="382"/>
      <c r="CW531" s="800"/>
      <c r="CX531" s="382"/>
      <c r="CY531" s="382"/>
      <c r="CZ531" s="382"/>
      <c r="DA531" s="382"/>
      <c r="DB531" s="382"/>
      <c r="DC531" s="382"/>
      <c r="DD531" s="382"/>
      <c r="DE531" s="382"/>
      <c r="DF531" s="382"/>
      <c r="DG531" s="382"/>
      <c r="DH531" s="382"/>
      <c r="DI531" s="382"/>
      <c r="DJ531" s="382"/>
      <c r="DK531" s="382"/>
      <c r="DL531" s="382"/>
      <c r="DM531" s="382"/>
      <c r="DN531" s="382"/>
      <c r="DO531" s="382"/>
      <c r="DP531" s="382"/>
      <c r="DQ531" s="382"/>
      <c r="DR531" s="382"/>
      <c r="DS531" s="382"/>
      <c r="DT531" s="382"/>
      <c r="DU531" s="382"/>
      <c r="DV531" s="382"/>
      <c r="DW531" s="382"/>
      <c r="DX531" s="382"/>
      <c r="DY531" s="382"/>
      <c r="DZ531" s="228"/>
    </row>
    <row r="532" spans="2:130" s="180" customFormat="1" x14ac:dyDescent="0.2">
      <c r="B532" s="800"/>
      <c r="C532" s="800"/>
      <c r="D532" s="800"/>
      <c r="E532" s="769"/>
      <c r="F532" s="769"/>
      <c r="G532" s="802"/>
      <c r="H532" s="802"/>
      <c r="I532" s="802"/>
      <c r="J532" s="802"/>
      <c r="K532" s="802"/>
      <c r="L532" s="802"/>
      <c r="M532" s="802"/>
      <c r="N532" s="802"/>
      <c r="O532" s="802"/>
      <c r="P532" s="802"/>
      <c r="Q532" s="802"/>
      <c r="R532" s="802"/>
      <c r="S532" s="802"/>
      <c r="T532" s="802"/>
      <c r="U532" s="802"/>
      <c r="V532" s="802"/>
      <c r="W532" s="802"/>
      <c r="X532" s="802"/>
      <c r="Y532" s="802"/>
      <c r="Z532" s="802"/>
      <c r="AA532" s="802"/>
      <c r="AB532" s="802"/>
      <c r="AC532" s="802"/>
      <c r="AD532" s="802"/>
      <c r="AE532" s="802"/>
      <c r="AF532" s="802"/>
      <c r="AG532" s="802"/>
      <c r="AH532" s="382"/>
      <c r="AI532" s="382"/>
      <c r="AJ532" s="382"/>
      <c r="AK532" s="382"/>
      <c r="AL532" s="382"/>
      <c r="AM532" s="382"/>
      <c r="AN532" s="382"/>
      <c r="AO532" s="382"/>
      <c r="AP532" s="382"/>
      <c r="AQ532" s="382"/>
      <c r="AR532" s="382"/>
      <c r="AS532" s="382"/>
      <c r="AT532" s="382"/>
      <c r="AU532" s="382"/>
      <c r="AV532" s="382"/>
      <c r="AW532" s="382"/>
      <c r="AX532" s="382"/>
      <c r="AY532" s="382"/>
      <c r="AZ532" s="382"/>
      <c r="BA532" s="382"/>
      <c r="BB532" s="382"/>
      <c r="BC532" s="382"/>
      <c r="BD532" s="382"/>
      <c r="BE532" s="382"/>
      <c r="BF532" s="382"/>
      <c r="BG532" s="382"/>
      <c r="BH532" s="382"/>
      <c r="BI532" s="382"/>
      <c r="BJ532" s="382"/>
      <c r="BK532" s="382"/>
      <c r="BL532" s="382"/>
      <c r="BM532" s="382"/>
      <c r="BN532" s="382"/>
      <c r="BO532" s="382"/>
      <c r="BP532" s="382"/>
      <c r="BQ532" s="382"/>
      <c r="BR532" s="382"/>
      <c r="BS532" s="382"/>
      <c r="BT532" s="382"/>
      <c r="BU532" s="496"/>
      <c r="BV532" s="382"/>
      <c r="BW532" s="382"/>
      <c r="BX532" s="382"/>
      <c r="BY532" s="382"/>
      <c r="BZ532" s="382"/>
      <c r="CA532" s="382"/>
      <c r="CB532" s="382"/>
      <c r="CC532" s="382"/>
      <c r="CD532" s="382"/>
      <c r="CE532" s="382"/>
      <c r="CF532" s="382"/>
      <c r="CG532" s="382"/>
      <c r="CH532" s="382"/>
      <c r="CI532" s="382"/>
      <c r="CJ532" s="382"/>
      <c r="CK532" s="382"/>
      <c r="CL532" s="382"/>
      <c r="CM532" s="382"/>
      <c r="CN532" s="382"/>
      <c r="CO532" s="382"/>
      <c r="CP532" s="382"/>
      <c r="CQ532" s="382"/>
      <c r="CR532" s="382"/>
      <c r="CS532" s="382"/>
      <c r="CT532" s="382"/>
      <c r="CU532" s="382"/>
      <c r="CV532" s="382"/>
      <c r="CW532" s="800"/>
      <c r="CX532" s="382"/>
      <c r="CY532" s="382"/>
      <c r="CZ532" s="382"/>
      <c r="DA532" s="382"/>
      <c r="DB532" s="382"/>
      <c r="DC532" s="382"/>
      <c r="DD532" s="382"/>
      <c r="DE532" s="382"/>
      <c r="DF532" s="382"/>
      <c r="DG532" s="382"/>
      <c r="DH532" s="382"/>
      <c r="DI532" s="382"/>
      <c r="DJ532" s="382"/>
      <c r="DK532" s="382"/>
      <c r="DL532" s="382"/>
      <c r="DM532" s="382"/>
      <c r="DN532" s="382"/>
      <c r="DO532" s="382"/>
      <c r="DP532" s="382"/>
      <c r="DQ532" s="382"/>
      <c r="DR532" s="382"/>
      <c r="DS532" s="382"/>
      <c r="DT532" s="382"/>
      <c r="DU532" s="382"/>
      <c r="DV532" s="382"/>
      <c r="DW532" s="382"/>
      <c r="DX532" s="382"/>
      <c r="DY532" s="382"/>
      <c r="DZ532" s="228"/>
    </row>
    <row r="533" spans="2:130" s="180" customFormat="1" x14ac:dyDescent="0.2">
      <c r="B533" s="800"/>
      <c r="C533" s="800"/>
      <c r="D533" s="800"/>
      <c r="E533" s="769"/>
      <c r="F533" s="769"/>
      <c r="G533" s="802"/>
      <c r="H533" s="802"/>
      <c r="I533" s="802"/>
      <c r="J533" s="802"/>
      <c r="K533" s="802"/>
      <c r="L533" s="802"/>
      <c r="M533" s="802"/>
      <c r="N533" s="802"/>
      <c r="O533" s="802"/>
      <c r="P533" s="802"/>
      <c r="Q533" s="802"/>
      <c r="R533" s="802"/>
      <c r="S533" s="802"/>
      <c r="T533" s="802"/>
      <c r="U533" s="802"/>
      <c r="V533" s="802"/>
      <c r="W533" s="802"/>
      <c r="X533" s="802"/>
      <c r="Y533" s="802"/>
      <c r="Z533" s="802"/>
      <c r="AA533" s="802"/>
      <c r="AB533" s="802"/>
      <c r="AC533" s="802"/>
      <c r="AD533" s="802"/>
      <c r="AE533" s="802"/>
      <c r="AF533" s="802"/>
      <c r="AG533" s="802"/>
      <c r="AH533" s="382"/>
      <c r="AI533" s="382"/>
      <c r="AJ533" s="382"/>
      <c r="AK533" s="382"/>
      <c r="AL533" s="382"/>
      <c r="AM533" s="382"/>
      <c r="AN533" s="382"/>
      <c r="AO533" s="382"/>
      <c r="AP533" s="382"/>
      <c r="AQ533" s="382"/>
      <c r="AR533" s="382"/>
      <c r="AS533" s="382"/>
      <c r="AT533" s="382"/>
      <c r="AU533" s="382"/>
      <c r="AV533" s="382"/>
      <c r="AW533" s="382"/>
      <c r="AX533" s="382"/>
      <c r="AY533" s="382"/>
      <c r="AZ533" s="382"/>
      <c r="BA533" s="382"/>
      <c r="BB533" s="382"/>
      <c r="BC533" s="382"/>
      <c r="BD533" s="382"/>
      <c r="BE533" s="382"/>
      <c r="BF533" s="382"/>
      <c r="BG533" s="382"/>
      <c r="BH533" s="382"/>
      <c r="BI533" s="382"/>
      <c r="BJ533" s="382"/>
      <c r="BK533" s="382"/>
      <c r="BL533" s="382"/>
      <c r="BM533" s="382"/>
      <c r="BN533" s="382"/>
      <c r="BO533" s="382"/>
      <c r="BP533" s="382"/>
      <c r="BQ533" s="382"/>
      <c r="BR533" s="382"/>
      <c r="BS533" s="382"/>
      <c r="BT533" s="382"/>
      <c r="BU533" s="496"/>
      <c r="BV533" s="382"/>
      <c r="BW533" s="382"/>
      <c r="BX533" s="382"/>
      <c r="BY533" s="382"/>
      <c r="BZ533" s="382"/>
      <c r="CA533" s="382"/>
      <c r="CB533" s="382"/>
      <c r="CC533" s="382"/>
      <c r="CD533" s="382"/>
      <c r="CE533" s="382"/>
      <c r="CF533" s="382"/>
      <c r="CG533" s="382"/>
      <c r="CH533" s="382"/>
      <c r="CI533" s="382"/>
      <c r="CJ533" s="382"/>
      <c r="CK533" s="382"/>
      <c r="CL533" s="382"/>
      <c r="CM533" s="382"/>
      <c r="CN533" s="382"/>
      <c r="CO533" s="382"/>
      <c r="CP533" s="382"/>
      <c r="CQ533" s="382"/>
      <c r="CR533" s="382"/>
      <c r="CS533" s="382"/>
      <c r="CT533" s="382"/>
      <c r="CU533" s="382"/>
      <c r="CV533" s="382"/>
      <c r="CW533" s="800"/>
      <c r="CX533" s="382"/>
      <c r="CY533" s="382"/>
      <c r="CZ533" s="382"/>
      <c r="DA533" s="382"/>
      <c r="DB533" s="382"/>
      <c r="DC533" s="382"/>
      <c r="DD533" s="382"/>
      <c r="DE533" s="382"/>
      <c r="DF533" s="382"/>
      <c r="DG533" s="382"/>
      <c r="DH533" s="382"/>
      <c r="DI533" s="382"/>
      <c r="DJ533" s="382"/>
      <c r="DK533" s="382"/>
      <c r="DL533" s="382"/>
      <c r="DM533" s="382"/>
      <c r="DN533" s="382"/>
      <c r="DO533" s="382"/>
      <c r="DP533" s="382"/>
      <c r="DQ533" s="382"/>
      <c r="DR533" s="382"/>
      <c r="DS533" s="382"/>
      <c r="DT533" s="382"/>
      <c r="DU533" s="382"/>
      <c r="DV533" s="382"/>
      <c r="DW533" s="382"/>
      <c r="DX533" s="382"/>
      <c r="DY533" s="382"/>
      <c r="DZ533" s="228"/>
    </row>
    <row r="534" spans="2:130" s="180" customFormat="1" x14ac:dyDescent="0.2">
      <c r="B534" s="800"/>
      <c r="C534" s="800"/>
      <c r="D534" s="800"/>
      <c r="E534" s="769"/>
      <c r="F534" s="769"/>
      <c r="G534" s="802"/>
      <c r="H534" s="802"/>
      <c r="I534" s="802"/>
      <c r="J534" s="802"/>
      <c r="K534" s="802"/>
      <c r="L534" s="802"/>
      <c r="M534" s="802"/>
      <c r="N534" s="802"/>
      <c r="O534" s="802"/>
      <c r="P534" s="802"/>
      <c r="Q534" s="802"/>
      <c r="R534" s="802"/>
      <c r="S534" s="802"/>
      <c r="T534" s="802"/>
      <c r="U534" s="802"/>
      <c r="V534" s="802"/>
      <c r="W534" s="802"/>
      <c r="X534" s="802"/>
      <c r="Y534" s="802"/>
      <c r="Z534" s="802"/>
      <c r="AA534" s="802"/>
      <c r="AB534" s="802"/>
      <c r="AC534" s="802"/>
      <c r="AD534" s="802"/>
      <c r="AE534" s="802"/>
      <c r="AF534" s="802"/>
      <c r="AG534" s="802"/>
      <c r="AH534" s="382"/>
      <c r="AI534" s="382"/>
      <c r="AJ534" s="382"/>
      <c r="AK534" s="382"/>
      <c r="AL534" s="382"/>
      <c r="AM534" s="382"/>
      <c r="AN534" s="382"/>
      <c r="AO534" s="382"/>
      <c r="AP534" s="382"/>
      <c r="AQ534" s="382"/>
      <c r="AR534" s="382"/>
      <c r="AS534" s="382"/>
      <c r="AT534" s="382"/>
      <c r="AU534" s="382"/>
      <c r="AV534" s="382"/>
      <c r="AW534" s="382"/>
      <c r="AX534" s="382"/>
      <c r="AY534" s="382"/>
      <c r="AZ534" s="382"/>
      <c r="BA534" s="382"/>
      <c r="BB534" s="382"/>
      <c r="BC534" s="382"/>
      <c r="BD534" s="382"/>
      <c r="BE534" s="382"/>
      <c r="BF534" s="382"/>
      <c r="BG534" s="382"/>
      <c r="BH534" s="382"/>
      <c r="BI534" s="382"/>
      <c r="BJ534" s="382"/>
      <c r="BK534" s="382"/>
      <c r="BL534" s="382"/>
      <c r="BM534" s="382"/>
      <c r="BN534" s="382"/>
      <c r="BO534" s="382"/>
      <c r="BP534" s="382"/>
      <c r="BQ534" s="382"/>
      <c r="BR534" s="382"/>
      <c r="BS534" s="382"/>
      <c r="BT534" s="382"/>
      <c r="BU534" s="496"/>
      <c r="BV534" s="382"/>
      <c r="BW534" s="382"/>
      <c r="BX534" s="382"/>
      <c r="BY534" s="382"/>
      <c r="BZ534" s="382"/>
      <c r="CA534" s="382"/>
      <c r="CB534" s="382"/>
      <c r="CC534" s="382"/>
      <c r="CD534" s="382"/>
      <c r="CE534" s="382"/>
      <c r="CF534" s="382"/>
      <c r="CG534" s="382"/>
      <c r="CH534" s="382"/>
      <c r="CI534" s="382"/>
      <c r="CJ534" s="382"/>
      <c r="CK534" s="382"/>
      <c r="CL534" s="382"/>
      <c r="CM534" s="382"/>
      <c r="CN534" s="382"/>
      <c r="CO534" s="382"/>
      <c r="CP534" s="382"/>
      <c r="CQ534" s="382"/>
      <c r="CR534" s="382"/>
      <c r="CS534" s="382"/>
      <c r="CT534" s="382"/>
      <c r="CU534" s="382"/>
      <c r="CV534" s="382"/>
      <c r="CW534" s="800"/>
      <c r="CX534" s="382"/>
      <c r="CY534" s="382"/>
      <c r="CZ534" s="382"/>
      <c r="DA534" s="382"/>
      <c r="DB534" s="382"/>
      <c r="DC534" s="382"/>
      <c r="DD534" s="382"/>
      <c r="DE534" s="382"/>
      <c r="DF534" s="382"/>
      <c r="DG534" s="382"/>
      <c r="DH534" s="382"/>
      <c r="DI534" s="382"/>
      <c r="DJ534" s="382"/>
      <c r="DK534" s="382"/>
      <c r="DL534" s="382"/>
      <c r="DM534" s="382"/>
      <c r="DN534" s="382"/>
      <c r="DO534" s="382"/>
      <c r="DP534" s="382"/>
      <c r="DQ534" s="382"/>
      <c r="DR534" s="382"/>
      <c r="DS534" s="382"/>
      <c r="DT534" s="382"/>
      <c r="DU534" s="382"/>
      <c r="DV534" s="382"/>
      <c r="DW534" s="382"/>
      <c r="DX534" s="382"/>
      <c r="DY534" s="382"/>
      <c r="DZ534" s="228"/>
    </row>
    <row r="535" spans="2:130" s="180" customFormat="1" x14ac:dyDescent="0.2">
      <c r="B535" s="800"/>
      <c r="C535" s="800"/>
      <c r="D535" s="800"/>
      <c r="E535" s="769"/>
      <c r="F535" s="769"/>
      <c r="G535" s="802"/>
      <c r="H535" s="802"/>
      <c r="I535" s="802"/>
      <c r="J535" s="802"/>
      <c r="K535" s="802"/>
      <c r="L535" s="802"/>
      <c r="M535" s="802"/>
      <c r="N535" s="802"/>
      <c r="O535" s="802"/>
      <c r="P535" s="802"/>
      <c r="Q535" s="802"/>
      <c r="R535" s="802"/>
      <c r="S535" s="802"/>
      <c r="T535" s="802"/>
      <c r="U535" s="802"/>
      <c r="V535" s="802"/>
      <c r="W535" s="802"/>
      <c r="X535" s="802"/>
      <c r="Y535" s="802"/>
      <c r="Z535" s="802"/>
      <c r="AA535" s="802"/>
      <c r="AB535" s="802"/>
      <c r="AC535" s="802"/>
      <c r="AD535" s="802"/>
      <c r="AE535" s="802"/>
      <c r="AF535" s="802"/>
      <c r="AG535" s="802"/>
      <c r="AH535" s="382"/>
      <c r="AI535" s="382"/>
      <c r="AJ535" s="382"/>
      <c r="AK535" s="382"/>
      <c r="AL535" s="382"/>
      <c r="AM535" s="382"/>
      <c r="AN535" s="382"/>
      <c r="AO535" s="382"/>
      <c r="AP535" s="382"/>
      <c r="AQ535" s="382"/>
      <c r="AR535" s="382"/>
      <c r="AS535" s="382"/>
      <c r="AT535" s="382"/>
      <c r="AU535" s="382"/>
      <c r="AV535" s="382"/>
      <c r="AW535" s="382"/>
      <c r="AX535" s="382"/>
      <c r="AY535" s="382"/>
      <c r="AZ535" s="382"/>
      <c r="BA535" s="382"/>
      <c r="BB535" s="382"/>
      <c r="BC535" s="382"/>
      <c r="BD535" s="382"/>
      <c r="BE535" s="382"/>
      <c r="BF535" s="382"/>
      <c r="BG535" s="382"/>
      <c r="BH535" s="382"/>
      <c r="BI535" s="382"/>
      <c r="BJ535" s="382"/>
      <c r="BK535" s="382"/>
      <c r="BL535" s="382"/>
      <c r="BM535" s="382"/>
      <c r="BN535" s="382"/>
      <c r="BO535" s="382"/>
      <c r="BP535" s="382"/>
      <c r="BQ535" s="382"/>
      <c r="BR535" s="382"/>
      <c r="BS535" s="382"/>
      <c r="BT535" s="382"/>
      <c r="BU535" s="496"/>
      <c r="BV535" s="382"/>
      <c r="BW535" s="382"/>
      <c r="BX535" s="382"/>
      <c r="BY535" s="382"/>
      <c r="BZ535" s="382"/>
      <c r="CA535" s="382"/>
      <c r="CB535" s="382"/>
      <c r="CC535" s="382"/>
      <c r="CD535" s="382"/>
      <c r="CE535" s="382"/>
      <c r="CF535" s="382"/>
      <c r="CG535" s="382"/>
      <c r="CH535" s="382"/>
      <c r="CI535" s="382"/>
      <c r="CJ535" s="382"/>
      <c r="CK535" s="382"/>
      <c r="CL535" s="382"/>
      <c r="CM535" s="382"/>
      <c r="CN535" s="382"/>
      <c r="CO535" s="382"/>
      <c r="CP535" s="382"/>
      <c r="CQ535" s="382"/>
      <c r="CR535" s="382"/>
      <c r="CS535" s="382"/>
      <c r="CT535" s="382"/>
      <c r="CU535" s="382"/>
      <c r="CV535" s="382"/>
      <c r="CW535" s="800"/>
      <c r="CX535" s="382"/>
      <c r="CY535" s="382"/>
      <c r="CZ535" s="382"/>
      <c r="DA535" s="382"/>
      <c r="DB535" s="382"/>
      <c r="DC535" s="382"/>
      <c r="DD535" s="382"/>
      <c r="DE535" s="382"/>
      <c r="DF535" s="382"/>
      <c r="DG535" s="382"/>
      <c r="DH535" s="382"/>
      <c r="DI535" s="382"/>
      <c r="DJ535" s="382"/>
      <c r="DK535" s="382"/>
      <c r="DL535" s="382"/>
      <c r="DM535" s="382"/>
      <c r="DN535" s="382"/>
      <c r="DO535" s="382"/>
      <c r="DP535" s="382"/>
      <c r="DQ535" s="382"/>
      <c r="DR535" s="382"/>
      <c r="DS535" s="382"/>
      <c r="DT535" s="382"/>
      <c r="DU535" s="382"/>
      <c r="DV535" s="382"/>
      <c r="DW535" s="382"/>
      <c r="DX535" s="382"/>
      <c r="DY535" s="382"/>
      <c r="DZ535" s="228"/>
    </row>
    <row r="536" spans="2:130" s="180" customFormat="1" x14ac:dyDescent="0.2">
      <c r="B536" s="800"/>
      <c r="C536" s="800"/>
      <c r="D536" s="800"/>
      <c r="E536" s="769"/>
      <c r="F536" s="769"/>
      <c r="G536" s="802"/>
      <c r="H536" s="802"/>
      <c r="I536" s="802"/>
      <c r="J536" s="802"/>
      <c r="K536" s="802"/>
      <c r="L536" s="802"/>
      <c r="M536" s="802"/>
      <c r="N536" s="802"/>
      <c r="O536" s="802"/>
      <c r="P536" s="802"/>
      <c r="Q536" s="802"/>
      <c r="R536" s="802"/>
      <c r="S536" s="802"/>
      <c r="T536" s="802"/>
      <c r="U536" s="802"/>
      <c r="V536" s="802"/>
      <c r="W536" s="802"/>
      <c r="X536" s="802"/>
      <c r="Y536" s="802"/>
      <c r="Z536" s="802"/>
      <c r="AA536" s="802"/>
      <c r="AB536" s="802"/>
      <c r="AC536" s="802"/>
      <c r="AD536" s="802"/>
      <c r="AE536" s="802"/>
      <c r="AF536" s="802"/>
      <c r="AG536" s="802"/>
      <c r="AH536" s="382"/>
      <c r="AI536" s="382"/>
      <c r="AJ536" s="382"/>
      <c r="AK536" s="382"/>
      <c r="AL536" s="382"/>
      <c r="AM536" s="382"/>
      <c r="AN536" s="382"/>
      <c r="AO536" s="382"/>
      <c r="AP536" s="382"/>
      <c r="AQ536" s="382"/>
      <c r="AR536" s="382"/>
      <c r="AS536" s="382"/>
      <c r="AT536" s="382"/>
      <c r="AU536" s="382"/>
      <c r="AV536" s="382"/>
      <c r="AW536" s="382"/>
      <c r="AX536" s="382"/>
      <c r="AY536" s="382"/>
      <c r="AZ536" s="382"/>
      <c r="BA536" s="382"/>
      <c r="BB536" s="382"/>
      <c r="BC536" s="382"/>
      <c r="BD536" s="382"/>
      <c r="BE536" s="382"/>
      <c r="BF536" s="382"/>
      <c r="BG536" s="382"/>
      <c r="BH536" s="382"/>
      <c r="BI536" s="382"/>
      <c r="BJ536" s="382"/>
      <c r="BK536" s="382"/>
      <c r="BL536" s="382"/>
      <c r="BM536" s="382"/>
      <c r="BN536" s="382"/>
      <c r="BO536" s="382"/>
      <c r="BP536" s="382"/>
      <c r="BQ536" s="382"/>
      <c r="BR536" s="382"/>
      <c r="BS536" s="382"/>
      <c r="BT536" s="382"/>
      <c r="BU536" s="496"/>
      <c r="BV536" s="382"/>
      <c r="BW536" s="382"/>
      <c r="BX536" s="382"/>
      <c r="BY536" s="382"/>
      <c r="BZ536" s="382"/>
      <c r="CA536" s="382"/>
      <c r="CB536" s="382"/>
      <c r="CC536" s="382"/>
      <c r="CD536" s="382"/>
      <c r="CE536" s="382"/>
      <c r="CF536" s="382"/>
      <c r="CG536" s="382"/>
      <c r="CH536" s="382"/>
      <c r="CI536" s="382"/>
      <c r="CJ536" s="382"/>
      <c r="CK536" s="382"/>
      <c r="CL536" s="382"/>
      <c r="CM536" s="382"/>
      <c r="CN536" s="382"/>
      <c r="CO536" s="382"/>
      <c r="CP536" s="382"/>
      <c r="CQ536" s="382"/>
      <c r="CR536" s="382"/>
      <c r="CS536" s="382"/>
      <c r="CT536" s="382"/>
      <c r="CU536" s="382"/>
      <c r="CV536" s="382"/>
      <c r="CW536" s="800"/>
      <c r="CX536" s="382"/>
      <c r="CY536" s="382"/>
      <c r="CZ536" s="382"/>
      <c r="DA536" s="382"/>
      <c r="DB536" s="382"/>
      <c r="DC536" s="382"/>
      <c r="DD536" s="382"/>
      <c r="DE536" s="382"/>
      <c r="DF536" s="382"/>
      <c r="DG536" s="382"/>
      <c r="DH536" s="382"/>
      <c r="DI536" s="382"/>
      <c r="DJ536" s="382"/>
      <c r="DK536" s="382"/>
      <c r="DL536" s="382"/>
      <c r="DM536" s="382"/>
      <c r="DN536" s="382"/>
      <c r="DO536" s="382"/>
      <c r="DP536" s="382"/>
      <c r="DQ536" s="382"/>
      <c r="DR536" s="382"/>
      <c r="DS536" s="382"/>
      <c r="DT536" s="382"/>
      <c r="DU536" s="382"/>
      <c r="DV536" s="382"/>
      <c r="DW536" s="382"/>
      <c r="DX536" s="382"/>
      <c r="DY536" s="382"/>
      <c r="DZ536" s="228"/>
    </row>
    <row r="537" spans="2:130" s="180" customFormat="1" x14ac:dyDescent="0.2">
      <c r="B537" s="800"/>
      <c r="C537" s="800"/>
      <c r="D537" s="800"/>
      <c r="E537" s="769"/>
      <c r="F537" s="769"/>
      <c r="G537" s="802"/>
      <c r="H537" s="802"/>
      <c r="I537" s="802"/>
      <c r="J537" s="802"/>
      <c r="K537" s="802"/>
      <c r="L537" s="802"/>
      <c r="M537" s="802"/>
      <c r="N537" s="802"/>
      <c r="O537" s="802"/>
      <c r="P537" s="802"/>
      <c r="Q537" s="802"/>
      <c r="R537" s="802"/>
      <c r="S537" s="802"/>
      <c r="T537" s="802"/>
      <c r="U537" s="802"/>
      <c r="V537" s="802"/>
      <c r="W537" s="802"/>
      <c r="X537" s="802"/>
      <c r="Y537" s="802"/>
      <c r="Z537" s="802"/>
      <c r="AA537" s="802"/>
      <c r="AB537" s="802"/>
      <c r="AC537" s="802"/>
      <c r="AD537" s="802"/>
      <c r="AE537" s="802"/>
      <c r="AF537" s="802"/>
      <c r="AG537" s="802"/>
      <c r="AH537" s="382"/>
      <c r="AI537" s="382"/>
      <c r="AJ537" s="382"/>
      <c r="AK537" s="382"/>
      <c r="AL537" s="382"/>
      <c r="AM537" s="382"/>
      <c r="AN537" s="382"/>
      <c r="AO537" s="382"/>
      <c r="AP537" s="382"/>
      <c r="AQ537" s="382"/>
      <c r="AR537" s="382"/>
      <c r="AS537" s="382"/>
      <c r="AT537" s="382"/>
      <c r="AU537" s="382"/>
      <c r="AV537" s="382"/>
      <c r="AW537" s="382"/>
      <c r="AX537" s="382"/>
      <c r="AY537" s="382"/>
      <c r="AZ537" s="382"/>
      <c r="BA537" s="382"/>
      <c r="BB537" s="382"/>
      <c r="BC537" s="382"/>
      <c r="BD537" s="382"/>
      <c r="BE537" s="382"/>
      <c r="BF537" s="382"/>
      <c r="BG537" s="382"/>
      <c r="BH537" s="382"/>
      <c r="BI537" s="382"/>
      <c r="BJ537" s="382"/>
      <c r="BK537" s="382"/>
      <c r="BL537" s="382"/>
      <c r="BM537" s="382"/>
      <c r="BN537" s="382"/>
      <c r="BO537" s="382"/>
      <c r="BP537" s="382"/>
      <c r="BQ537" s="382"/>
      <c r="BR537" s="382"/>
      <c r="BS537" s="382"/>
      <c r="BT537" s="382"/>
      <c r="BU537" s="496"/>
      <c r="BV537" s="382"/>
      <c r="BW537" s="382"/>
      <c r="BX537" s="382"/>
      <c r="BY537" s="382"/>
      <c r="BZ537" s="382"/>
      <c r="CA537" s="382"/>
      <c r="CB537" s="382"/>
      <c r="CC537" s="382"/>
      <c r="CD537" s="382"/>
      <c r="CE537" s="382"/>
      <c r="CF537" s="382"/>
      <c r="CG537" s="382"/>
      <c r="CH537" s="382"/>
      <c r="CI537" s="382"/>
      <c r="CJ537" s="382"/>
      <c r="CK537" s="382"/>
      <c r="CL537" s="382"/>
      <c r="CM537" s="382"/>
      <c r="CN537" s="382"/>
      <c r="CO537" s="382"/>
      <c r="CP537" s="382"/>
      <c r="CQ537" s="382"/>
      <c r="CR537" s="382"/>
      <c r="CS537" s="382"/>
      <c r="CT537" s="382"/>
      <c r="CU537" s="382"/>
      <c r="CV537" s="382"/>
      <c r="CW537" s="800"/>
      <c r="CX537" s="382"/>
      <c r="CY537" s="382"/>
      <c r="CZ537" s="382"/>
      <c r="DA537" s="382"/>
      <c r="DB537" s="382"/>
      <c r="DC537" s="382"/>
      <c r="DD537" s="382"/>
      <c r="DE537" s="382"/>
      <c r="DF537" s="382"/>
      <c r="DG537" s="382"/>
      <c r="DH537" s="382"/>
      <c r="DI537" s="382"/>
      <c r="DJ537" s="382"/>
      <c r="DK537" s="382"/>
      <c r="DL537" s="382"/>
      <c r="DM537" s="382"/>
      <c r="DN537" s="382"/>
      <c r="DO537" s="382"/>
      <c r="DP537" s="382"/>
      <c r="DQ537" s="382"/>
      <c r="DR537" s="382"/>
      <c r="DS537" s="382"/>
      <c r="DT537" s="382"/>
      <c r="DU537" s="382"/>
      <c r="DV537" s="382"/>
      <c r="DW537" s="382"/>
      <c r="DX537" s="382"/>
      <c r="DY537" s="382"/>
      <c r="DZ537" s="228"/>
    </row>
    <row r="538" spans="2:130" s="180" customFormat="1" x14ac:dyDescent="0.2">
      <c r="B538" s="800"/>
      <c r="C538" s="800"/>
      <c r="D538" s="800"/>
      <c r="E538" s="769"/>
      <c r="F538" s="769"/>
      <c r="G538" s="802"/>
      <c r="H538" s="802"/>
      <c r="I538" s="802"/>
      <c r="J538" s="802"/>
      <c r="K538" s="802"/>
      <c r="L538" s="802"/>
      <c r="M538" s="802"/>
      <c r="N538" s="802"/>
      <c r="O538" s="802"/>
      <c r="P538" s="802"/>
      <c r="Q538" s="802"/>
      <c r="R538" s="802"/>
      <c r="S538" s="802"/>
      <c r="T538" s="802"/>
      <c r="U538" s="802"/>
      <c r="V538" s="802"/>
      <c r="W538" s="802"/>
      <c r="X538" s="802"/>
      <c r="Y538" s="802"/>
      <c r="Z538" s="802"/>
      <c r="AA538" s="802"/>
      <c r="AB538" s="802"/>
      <c r="AC538" s="802"/>
      <c r="AD538" s="802"/>
      <c r="AE538" s="802"/>
      <c r="AF538" s="802"/>
      <c r="AG538" s="802"/>
      <c r="AH538" s="382"/>
      <c r="AI538" s="382"/>
      <c r="AJ538" s="382"/>
      <c r="AK538" s="382"/>
      <c r="AL538" s="382"/>
      <c r="AM538" s="382"/>
      <c r="AN538" s="382"/>
      <c r="AO538" s="382"/>
      <c r="AP538" s="382"/>
      <c r="AQ538" s="382"/>
      <c r="AR538" s="382"/>
      <c r="AS538" s="382"/>
      <c r="AT538" s="382"/>
      <c r="AU538" s="382"/>
      <c r="AV538" s="382"/>
      <c r="AW538" s="382"/>
      <c r="AX538" s="382"/>
      <c r="AY538" s="382"/>
      <c r="AZ538" s="382"/>
      <c r="BA538" s="382"/>
      <c r="BB538" s="382"/>
      <c r="BC538" s="382"/>
      <c r="BD538" s="382"/>
      <c r="BE538" s="382"/>
      <c r="BF538" s="382"/>
      <c r="BG538" s="382"/>
      <c r="BH538" s="382"/>
      <c r="BI538" s="382"/>
      <c r="BJ538" s="382"/>
      <c r="BK538" s="382"/>
      <c r="BL538" s="382"/>
      <c r="BM538" s="382"/>
      <c r="BN538" s="382"/>
      <c r="BO538" s="382"/>
      <c r="BP538" s="382"/>
      <c r="BQ538" s="382"/>
      <c r="BR538" s="382"/>
      <c r="BS538" s="382"/>
      <c r="BT538" s="382"/>
      <c r="BU538" s="496"/>
      <c r="BV538" s="382"/>
      <c r="BW538" s="382"/>
      <c r="BX538" s="382"/>
      <c r="BY538" s="382"/>
      <c r="BZ538" s="382"/>
      <c r="CA538" s="382"/>
      <c r="CB538" s="382"/>
      <c r="CC538" s="382"/>
      <c r="CD538" s="382"/>
      <c r="CE538" s="382"/>
      <c r="CF538" s="382"/>
      <c r="CG538" s="382"/>
      <c r="CH538" s="382"/>
      <c r="CI538" s="382"/>
      <c r="CJ538" s="382"/>
      <c r="CK538" s="382"/>
      <c r="CL538" s="382"/>
      <c r="CM538" s="382"/>
      <c r="CN538" s="382"/>
      <c r="CO538" s="382"/>
      <c r="CP538" s="382"/>
      <c r="CQ538" s="382"/>
      <c r="CR538" s="382"/>
      <c r="CS538" s="382"/>
      <c r="CT538" s="382"/>
      <c r="CU538" s="382"/>
      <c r="CV538" s="382"/>
      <c r="CW538" s="800"/>
      <c r="CX538" s="382"/>
      <c r="CY538" s="382"/>
      <c r="CZ538" s="382"/>
      <c r="DA538" s="382"/>
      <c r="DB538" s="382"/>
      <c r="DC538" s="382"/>
      <c r="DD538" s="382"/>
      <c r="DE538" s="382"/>
      <c r="DF538" s="382"/>
      <c r="DG538" s="382"/>
      <c r="DH538" s="382"/>
      <c r="DI538" s="382"/>
      <c r="DJ538" s="382"/>
      <c r="DK538" s="382"/>
      <c r="DL538" s="382"/>
      <c r="DM538" s="382"/>
      <c r="DN538" s="382"/>
      <c r="DO538" s="382"/>
      <c r="DP538" s="382"/>
      <c r="DQ538" s="382"/>
      <c r="DR538" s="382"/>
      <c r="DS538" s="382"/>
      <c r="DT538" s="382"/>
      <c r="DU538" s="382"/>
      <c r="DV538" s="382"/>
      <c r="DW538" s="382"/>
      <c r="DX538" s="382"/>
      <c r="DY538" s="382"/>
      <c r="DZ538" s="228"/>
    </row>
    <row r="539" spans="2:130" s="180" customFormat="1" x14ac:dyDescent="0.2">
      <c r="B539" s="800"/>
      <c r="C539" s="800"/>
      <c r="D539" s="800"/>
      <c r="E539" s="769"/>
      <c r="F539" s="769"/>
      <c r="G539" s="802"/>
      <c r="H539" s="802"/>
      <c r="I539" s="802"/>
      <c r="J539" s="802"/>
      <c r="K539" s="802"/>
      <c r="L539" s="802"/>
      <c r="M539" s="802"/>
      <c r="N539" s="802"/>
      <c r="O539" s="802"/>
      <c r="P539" s="802"/>
      <c r="Q539" s="802"/>
      <c r="R539" s="802"/>
      <c r="S539" s="802"/>
      <c r="T539" s="802"/>
      <c r="U539" s="802"/>
      <c r="V539" s="802"/>
      <c r="W539" s="802"/>
      <c r="X539" s="802"/>
      <c r="Y539" s="802"/>
      <c r="Z539" s="802"/>
      <c r="AA539" s="802"/>
      <c r="AB539" s="802"/>
      <c r="AC539" s="802"/>
      <c r="AD539" s="802"/>
      <c r="AE539" s="802"/>
      <c r="AF539" s="802"/>
      <c r="AG539" s="802"/>
      <c r="AH539" s="382"/>
      <c r="AI539" s="382"/>
      <c r="AJ539" s="382"/>
      <c r="AK539" s="382"/>
      <c r="AL539" s="382"/>
      <c r="AM539" s="382"/>
      <c r="AN539" s="382"/>
      <c r="AO539" s="382"/>
      <c r="AP539" s="382"/>
      <c r="AQ539" s="382"/>
      <c r="AR539" s="382"/>
      <c r="AS539" s="382"/>
      <c r="AT539" s="382"/>
      <c r="AU539" s="382"/>
      <c r="AV539" s="382"/>
      <c r="AW539" s="382"/>
      <c r="AX539" s="382"/>
      <c r="AY539" s="382"/>
      <c r="AZ539" s="382"/>
      <c r="BA539" s="382"/>
      <c r="BB539" s="382"/>
      <c r="BC539" s="382"/>
      <c r="BD539" s="382"/>
      <c r="BE539" s="382"/>
      <c r="BF539" s="382"/>
      <c r="BG539" s="382"/>
      <c r="BH539" s="382"/>
      <c r="BI539" s="382"/>
      <c r="BJ539" s="382"/>
      <c r="BK539" s="382"/>
      <c r="BL539" s="382"/>
      <c r="BM539" s="382"/>
      <c r="BN539" s="382"/>
      <c r="BO539" s="382"/>
      <c r="BP539" s="382"/>
      <c r="BQ539" s="382"/>
      <c r="BR539" s="382"/>
      <c r="BS539" s="382"/>
      <c r="BT539" s="382"/>
      <c r="BU539" s="496"/>
      <c r="BV539" s="382"/>
      <c r="BW539" s="382"/>
      <c r="BX539" s="382"/>
      <c r="BY539" s="382"/>
      <c r="BZ539" s="382"/>
      <c r="CA539" s="382"/>
      <c r="CB539" s="382"/>
      <c r="CC539" s="382"/>
      <c r="CD539" s="382"/>
      <c r="CE539" s="382"/>
      <c r="CF539" s="382"/>
      <c r="CG539" s="382"/>
      <c r="CH539" s="382"/>
      <c r="CI539" s="382"/>
      <c r="CJ539" s="382"/>
      <c r="CK539" s="382"/>
      <c r="CL539" s="382"/>
      <c r="CM539" s="382"/>
      <c r="CN539" s="382"/>
      <c r="CO539" s="382"/>
      <c r="CP539" s="382"/>
      <c r="CQ539" s="382"/>
      <c r="CR539" s="382"/>
      <c r="CS539" s="382"/>
      <c r="CT539" s="382"/>
      <c r="CU539" s="382"/>
      <c r="CV539" s="382"/>
      <c r="CW539" s="800"/>
      <c r="CX539" s="382"/>
      <c r="CY539" s="382"/>
      <c r="CZ539" s="382"/>
      <c r="DA539" s="382"/>
      <c r="DB539" s="382"/>
      <c r="DC539" s="382"/>
      <c r="DD539" s="382"/>
      <c r="DE539" s="382"/>
      <c r="DF539" s="382"/>
      <c r="DG539" s="382"/>
      <c r="DH539" s="382"/>
      <c r="DI539" s="382"/>
      <c r="DJ539" s="382"/>
      <c r="DK539" s="382"/>
      <c r="DL539" s="382"/>
      <c r="DM539" s="382"/>
      <c r="DN539" s="382"/>
      <c r="DO539" s="382"/>
      <c r="DP539" s="382"/>
      <c r="DQ539" s="382"/>
      <c r="DR539" s="382"/>
      <c r="DS539" s="382"/>
      <c r="DT539" s="382"/>
      <c r="DU539" s="382"/>
      <c r="DV539" s="382"/>
      <c r="DW539" s="382"/>
      <c r="DX539" s="382"/>
      <c r="DY539" s="382"/>
      <c r="DZ539" s="228"/>
    </row>
    <row r="540" spans="2:130" s="180" customFormat="1" x14ac:dyDescent="0.2">
      <c r="B540" s="800"/>
      <c r="C540" s="800"/>
      <c r="D540" s="800"/>
      <c r="E540" s="769"/>
      <c r="F540" s="769"/>
      <c r="G540" s="802"/>
      <c r="H540" s="802"/>
      <c r="I540" s="802"/>
      <c r="J540" s="802"/>
      <c r="K540" s="802"/>
      <c r="L540" s="802"/>
      <c r="M540" s="802"/>
      <c r="N540" s="802"/>
      <c r="O540" s="802"/>
      <c r="P540" s="802"/>
      <c r="Q540" s="802"/>
      <c r="R540" s="802"/>
      <c r="S540" s="802"/>
      <c r="T540" s="802"/>
      <c r="U540" s="802"/>
      <c r="V540" s="802"/>
      <c r="W540" s="802"/>
      <c r="X540" s="802"/>
      <c r="Y540" s="802"/>
      <c r="Z540" s="802"/>
      <c r="AA540" s="802"/>
      <c r="AB540" s="802"/>
      <c r="AC540" s="802"/>
      <c r="AD540" s="802"/>
      <c r="AE540" s="802"/>
      <c r="AF540" s="802"/>
      <c r="AG540" s="802"/>
      <c r="AH540" s="382"/>
      <c r="AI540" s="382"/>
      <c r="AJ540" s="382"/>
      <c r="AK540" s="382"/>
      <c r="AL540" s="382"/>
      <c r="AM540" s="382"/>
      <c r="AN540" s="382"/>
      <c r="AO540" s="382"/>
      <c r="AP540" s="382"/>
      <c r="AQ540" s="382"/>
      <c r="AR540" s="382"/>
      <c r="AS540" s="382"/>
      <c r="AT540" s="382"/>
      <c r="AU540" s="382"/>
      <c r="AV540" s="382"/>
      <c r="AW540" s="382"/>
      <c r="AX540" s="382"/>
      <c r="AY540" s="382"/>
      <c r="AZ540" s="382"/>
      <c r="BA540" s="382"/>
      <c r="BB540" s="382"/>
      <c r="BC540" s="382"/>
      <c r="BD540" s="382"/>
      <c r="BE540" s="382"/>
      <c r="BF540" s="382"/>
      <c r="BG540" s="382"/>
      <c r="BH540" s="382"/>
      <c r="BI540" s="382"/>
      <c r="BJ540" s="382"/>
      <c r="BK540" s="382"/>
      <c r="BL540" s="382"/>
      <c r="BM540" s="382"/>
      <c r="BN540" s="382"/>
      <c r="BO540" s="382"/>
      <c r="BP540" s="382"/>
      <c r="BQ540" s="382"/>
      <c r="BR540" s="382"/>
      <c r="BS540" s="382"/>
      <c r="BT540" s="382"/>
      <c r="BU540" s="496"/>
      <c r="BV540" s="382"/>
      <c r="BW540" s="382"/>
      <c r="BX540" s="382"/>
      <c r="BY540" s="382"/>
      <c r="BZ540" s="382"/>
      <c r="CA540" s="382"/>
      <c r="CB540" s="382"/>
      <c r="CC540" s="382"/>
      <c r="CD540" s="382"/>
      <c r="CE540" s="382"/>
      <c r="CF540" s="382"/>
      <c r="CG540" s="382"/>
      <c r="CH540" s="382"/>
      <c r="CI540" s="382"/>
      <c r="CJ540" s="382"/>
      <c r="CK540" s="382"/>
      <c r="CL540" s="382"/>
      <c r="CM540" s="382"/>
      <c r="CN540" s="382"/>
      <c r="CO540" s="382"/>
      <c r="CP540" s="382"/>
      <c r="CQ540" s="382"/>
      <c r="CR540" s="382"/>
      <c r="CS540" s="382"/>
      <c r="CT540" s="382"/>
      <c r="CU540" s="382"/>
      <c r="CV540" s="382"/>
      <c r="CW540" s="800"/>
      <c r="CX540" s="382"/>
      <c r="CY540" s="382"/>
      <c r="CZ540" s="382"/>
      <c r="DA540" s="382"/>
      <c r="DB540" s="382"/>
      <c r="DC540" s="382"/>
      <c r="DD540" s="382"/>
      <c r="DE540" s="382"/>
      <c r="DF540" s="382"/>
      <c r="DG540" s="382"/>
      <c r="DH540" s="382"/>
      <c r="DI540" s="382"/>
      <c r="DJ540" s="382"/>
      <c r="DK540" s="382"/>
      <c r="DL540" s="382"/>
      <c r="DM540" s="382"/>
      <c r="DN540" s="382"/>
      <c r="DO540" s="382"/>
      <c r="DP540" s="382"/>
      <c r="DQ540" s="382"/>
      <c r="DR540" s="382"/>
      <c r="DS540" s="382"/>
      <c r="DT540" s="382"/>
      <c r="DU540" s="382"/>
      <c r="DV540" s="382"/>
      <c r="DW540" s="382"/>
      <c r="DX540" s="382"/>
      <c r="DY540" s="382"/>
      <c r="DZ540" s="228"/>
    </row>
    <row r="541" spans="2:130" s="180" customFormat="1" x14ac:dyDescent="0.2">
      <c r="B541" s="800"/>
      <c r="C541" s="800"/>
      <c r="D541" s="800"/>
      <c r="E541" s="769"/>
      <c r="F541" s="769"/>
      <c r="G541" s="802"/>
      <c r="H541" s="802"/>
      <c r="I541" s="802"/>
      <c r="J541" s="802"/>
      <c r="K541" s="802"/>
      <c r="L541" s="802"/>
      <c r="M541" s="802"/>
      <c r="N541" s="802"/>
      <c r="O541" s="802"/>
      <c r="P541" s="802"/>
      <c r="Q541" s="802"/>
      <c r="R541" s="802"/>
      <c r="S541" s="802"/>
      <c r="T541" s="802"/>
      <c r="U541" s="802"/>
      <c r="V541" s="802"/>
      <c r="W541" s="802"/>
      <c r="X541" s="802"/>
      <c r="Y541" s="802"/>
      <c r="Z541" s="802"/>
      <c r="AA541" s="802"/>
      <c r="AB541" s="802"/>
      <c r="AC541" s="802"/>
      <c r="AD541" s="802"/>
      <c r="AE541" s="802"/>
      <c r="AF541" s="802"/>
      <c r="AG541" s="802"/>
      <c r="AH541" s="382"/>
      <c r="AI541" s="382"/>
      <c r="AJ541" s="382"/>
      <c r="AK541" s="382"/>
      <c r="AL541" s="382"/>
      <c r="AM541" s="382"/>
      <c r="AN541" s="382"/>
      <c r="AO541" s="382"/>
      <c r="AP541" s="382"/>
      <c r="AQ541" s="382"/>
      <c r="AR541" s="382"/>
      <c r="AS541" s="382"/>
      <c r="AT541" s="382"/>
      <c r="AU541" s="382"/>
      <c r="AV541" s="382"/>
      <c r="AW541" s="382"/>
      <c r="AX541" s="382"/>
      <c r="AY541" s="382"/>
      <c r="AZ541" s="382"/>
      <c r="BA541" s="382"/>
      <c r="BB541" s="382"/>
      <c r="BC541" s="382"/>
      <c r="BD541" s="382"/>
      <c r="BE541" s="382"/>
      <c r="BF541" s="382"/>
      <c r="BG541" s="382"/>
      <c r="BH541" s="382"/>
      <c r="BI541" s="382"/>
      <c r="BJ541" s="382"/>
      <c r="BK541" s="382"/>
      <c r="BL541" s="382"/>
      <c r="BM541" s="382"/>
      <c r="BN541" s="382"/>
      <c r="BO541" s="382"/>
      <c r="BP541" s="382"/>
      <c r="BQ541" s="382"/>
      <c r="BR541" s="382"/>
      <c r="BS541" s="382"/>
      <c r="BT541" s="382"/>
      <c r="BU541" s="496"/>
      <c r="BV541" s="382"/>
      <c r="BW541" s="382"/>
      <c r="BX541" s="382"/>
      <c r="BY541" s="382"/>
      <c r="BZ541" s="382"/>
      <c r="CA541" s="382"/>
      <c r="CB541" s="382"/>
      <c r="CC541" s="382"/>
      <c r="CD541" s="382"/>
      <c r="CE541" s="382"/>
      <c r="CF541" s="382"/>
      <c r="CG541" s="382"/>
      <c r="CH541" s="382"/>
      <c r="CI541" s="382"/>
      <c r="CJ541" s="382"/>
      <c r="CK541" s="382"/>
      <c r="CL541" s="382"/>
      <c r="CM541" s="382"/>
      <c r="CN541" s="382"/>
      <c r="CO541" s="382"/>
      <c r="CP541" s="382"/>
      <c r="CQ541" s="382"/>
      <c r="CR541" s="382"/>
      <c r="CS541" s="382"/>
      <c r="CT541" s="382"/>
      <c r="CU541" s="382"/>
      <c r="CV541" s="382"/>
      <c r="CW541" s="800"/>
      <c r="CX541" s="382"/>
      <c r="CY541" s="382"/>
      <c r="CZ541" s="382"/>
      <c r="DA541" s="382"/>
      <c r="DB541" s="382"/>
      <c r="DC541" s="382"/>
      <c r="DD541" s="382"/>
      <c r="DE541" s="382"/>
      <c r="DF541" s="382"/>
      <c r="DG541" s="382"/>
      <c r="DH541" s="382"/>
      <c r="DI541" s="382"/>
      <c r="DJ541" s="382"/>
      <c r="DK541" s="382"/>
      <c r="DL541" s="382"/>
      <c r="DM541" s="382"/>
      <c r="DN541" s="382"/>
      <c r="DO541" s="382"/>
      <c r="DP541" s="382"/>
      <c r="DQ541" s="382"/>
      <c r="DR541" s="382"/>
      <c r="DS541" s="382"/>
      <c r="DT541" s="382"/>
      <c r="DU541" s="382"/>
      <c r="DV541" s="382"/>
      <c r="DW541" s="382"/>
      <c r="DX541" s="382"/>
      <c r="DY541" s="382"/>
      <c r="DZ541" s="228"/>
    </row>
    <row r="542" spans="2:130" s="180" customFormat="1" x14ac:dyDescent="0.2">
      <c r="B542" s="800"/>
      <c r="C542" s="800"/>
      <c r="D542" s="800"/>
      <c r="E542" s="769"/>
      <c r="F542" s="769"/>
      <c r="G542" s="802"/>
      <c r="H542" s="802"/>
      <c r="I542" s="802"/>
      <c r="J542" s="802"/>
      <c r="K542" s="802"/>
      <c r="L542" s="802"/>
      <c r="M542" s="802"/>
      <c r="N542" s="802"/>
      <c r="O542" s="802"/>
      <c r="P542" s="802"/>
      <c r="Q542" s="802"/>
      <c r="R542" s="802"/>
      <c r="S542" s="802"/>
      <c r="T542" s="802"/>
      <c r="U542" s="802"/>
      <c r="V542" s="802"/>
      <c r="W542" s="802"/>
      <c r="X542" s="802"/>
      <c r="Y542" s="802"/>
      <c r="Z542" s="802"/>
      <c r="AA542" s="802"/>
      <c r="AB542" s="802"/>
      <c r="AC542" s="802"/>
      <c r="AD542" s="802"/>
      <c r="AE542" s="802"/>
      <c r="AF542" s="802"/>
      <c r="AG542" s="802"/>
      <c r="AH542" s="382"/>
      <c r="AI542" s="382"/>
      <c r="AJ542" s="382"/>
      <c r="AK542" s="382"/>
      <c r="AL542" s="382"/>
      <c r="AM542" s="382"/>
      <c r="AN542" s="382"/>
      <c r="AO542" s="382"/>
      <c r="AP542" s="382"/>
      <c r="AQ542" s="382"/>
      <c r="AR542" s="382"/>
      <c r="AS542" s="382"/>
      <c r="AT542" s="382"/>
      <c r="AU542" s="382"/>
      <c r="AV542" s="382"/>
      <c r="AW542" s="382"/>
      <c r="AX542" s="382"/>
      <c r="AY542" s="382"/>
      <c r="AZ542" s="382"/>
      <c r="BA542" s="382"/>
      <c r="BB542" s="382"/>
      <c r="BC542" s="382"/>
      <c r="BD542" s="382"/>
      <c r="BE542" s="382"/>
      <c r="BF542" s="382"/>
      <c r="BG542" s="382"/>
      <c r="BH542" s="382"/>
      <c r="BI542" s="382"/>
      <c r="BJ542" s="382"/>
      <c r="BK542" s="382"/>
      <c r="BL542" s="382"/>
      <c r="BM542" s="382"/>
      <c r="BN542" s="382"/>
      <c r="BO542" s="382"/>
      <c r="BP542" s="382"/>
      <c r="BQ542" s="382"/>
      <c r="BR542" s="382"/>
      <c r="BS542" s="382"/>
      <c r="BT542" s="382"/>
      <c r="BU542" s="496"/>
      <c r="BV542" s="382"/>
      <c r="BW542" s="382"/>
      <c r="BX542" s="382"/>
      <c r="BY542" s="382"/>
      <c r="BZ542" s="382"/>
      <c r="CA542" s="382"/>
      <c r="CB542" s="382"/>
      <c r="CC542" s="382"/>
      <c r="CD542" s="382"/>
      <c r="CE542" s="382"/>
      <c r="CF542" s="382"/>
      <c r="CG542" s="382"/>
      <c r="CH542" s="382"/>
      <c r="CI542" s="382"/>
      <c r="CJ542" s="382"/>
      <c r="CK542" s="382"/>
      <c r="CL542" s="382"/>
      <c r="CM542" s="382"/>
      <c r="CN542" s="382"/>
      <c r="CO542" s="382"/>
      <c r="CP542" s="382"/>
      <c r="CQ542" s="382"/>
      <c r="CR542" s="382"/>
      <c r="CS542" s="382"/>
      <c r="CT542" s="382"/>
      <c r="CU542" s="382"/>
      <c r="CV542" s="382"/>
      <c r="CW542" s="800"/>
      <c r="CX542" s="382"/>
      <c r="CY542" s="382"/>
      <c r="CZ542" s="382"/>
      <c r="DA542" s="382"/>
      <c r="DB542" s="382"/>
      <c r="DC542" s="382"/>
      <c r="DD542" s="382"/>
      <c r="DE542" s="382"/>
      <c r="DF542" s="382"/>
      <c r="DG542" s="382"/>
      <c r="DH542" s="382"/>
      <c r="DI542" s="382"/>
      <c r="DJ542" s="382"/>
      <c r="DK542" s="382"/>
      <c r="DL542" s="382"/>
      <c r="DM542" s="382"/>
      <c r="DN542" s="382"/>
      <c r="DO542" s="382"/>
      <c r="DP542" s="382"/>
      <c r="DQ542" s="382"/>
      <c r="DR542" s="382"/>
      <c r="DS542" s="382"/>
      <c r="DT542" s="382"/>
      <c r="DU542" s="382"/>
      <c r="DV542" s="382"/>
      <c r="DW542" s="382"/>
      <c r="DX542" s="382"/>
      <c r="DY542" s="382"/>
      <c r="DZ542" s="228"/>
    </row>
    <row r="543" spans="2:130" s="180" customFormat="1" x14ac:dyDescent="0.2">
      <c r="B543" s="800"/>
      <c r="C543" s="800"/>
      <c r="D543" s="800"/>
      <c r="E543" s="769"/>
      <c r="F543" s="769"/>
      <c r="G543" s="802"/>
      <c r="H543" s="802"/>
      <c r="I543" s="802"/>
      <c r="J543" s="802"/>
      <c r="K543" s="802"/>
      <c r="L543" s="802"/>
      <c r="M543" s="802"/>
      <c r="N543" s="802"/>
      <c r="O543" s="802"/>
      <c r="P543" s="802"/>
      <c r="Q543" s="802"/>
      <c r="R543" s="802"/>
      <c r="S543" s="802"/>
      <c r="T543" s="802"/>
      <c r="U543" s="802"/>
      <c r="V543" s="802"/>
      <c r="W543" s="802"/>
      <c r="X543" s="802"/>
      <c r="Y543" s="802"/>
      <c r="Z543" s="802"/>
      <c r="AA543" s="802"/>
      <c r="AB543" s="802"/>
      <c r="AC543" s="802"/>
      <c r="AD543" s="802"/>
      <c r="AE543" s="802"/>
      <c r="AF543" s="802"/>
      <c r="AG543" s="802"/>
      <c r="AH543" s="382"/>
      <c r="AI543" s="382"/>
      <c r="AJ543" s="382"/>
      <c r="AK543" s="382"/>
      <c r="AL543" s="382"/>
      <c r="AM543" s="382"/>
      <c r="AN543" s="382"/>
      <c r="AO543" s="382"/>
      <c r="AP543" s="382"/>
      <c r="AQ543" s="382"/>
      <c r="AR543" s="382"/>
      <c r="AS543" s="382"/>
      <c r="AT543" s="382"/>
      <c r="AU543" s="382"/>
      <c r="AV543" s="382"/>
      <c r="AW543" s="382"/>
      <c r="AX543" s="382"/>
      <c r="AY543" s="382"/>
      <c r="AZ543" s="382"/>
      <c r="BA543" s="382"/>
      <c r="BB543" s="382"/>
      <c r="BC543" s="382"/>
      <c r="BD543" s="382"/>
      <c r="BE543" s="382"/>
      <c r="BF543" s="382"/>
      <c r="BG543" s="382"/>
      <c r="BH543" s="382"/>
      <c r="BI543" s="382"/>
      <c r="BJ543" s="382"/>
      <c r="BK543" s="382"/>
      <c r="BL543" s="382"/>
      <c r="BM543" s="382"/>
      <c r="BN543" s="382"/>
      <c r="BO543" s="382"/>
      <c r="BP543" s="382"/>
      <c r="BQ543" s="382"/>
      <c r="BR543" s="382"/>
      <c r="BS543" s="382"/>
      <c r="BT543" s="382"/>
      <c r="BU543" s="496"/>
      <c r="BV543" s="382"/>
      <c r="BW543" s="382"/>
      <c r="BX543" s="382"/>
      <c r="BY543" s="382"/>
      <c r="BZ543" s="382"/>
      <c r="CA543" s="382"/>
      <c r="CB543" s="382"/>
      <c r="CC543" s="382"/>
      <c r="CD543" s="382"/>
      <c r="CE543" s="382"/>
      <c r="CF543" s="382"/>
      <c r="CG543" s="382"/>
      <c r="CH543" s="382"/>
      <c r="CI543" s="382"/>
      <c r="CJ543" s="382"/>
      <c r="CK543" s="382"/>
      <c r="CL543" s="382"/>
      <c r="CM543" s="382"/>
      <c r="CN543" s="382"/>
      <c r="CO543" s="382"/>
      <c r="CP543" s="382"/>
      <c r="CQ543" s="382"/>
      <c r="CR543" s="382"/>
      <c r="CS543" s="382"/>
      <c r="CT543" s="382"/>
      <c r="CU543" s="382"/>
      <c r="CV543" s="382"/>
      <c r="CW543" s="800"/>
      <c r="CX543" s="382"/>
      <c r="CY543" s="382"/>
      <c r="CZ543" s="382"/>
      <c r="DA543" s="382"/>
      <c r="DB543" s="382"/>
      <c r="DC543" s="382"/>
      <c r="DD543" s="382"/>
      <c r="DE543" s="382"/>
      <c r="DF543" s="382"/>
      <c r="DG543" s="382"/>
      <c r="DH543" s="382"/>
      <c r="DI543" s="382"/>
      <c r="DJ543" s="382"/>
      <c r="DK543" s="382"/>
      <c r="DL543" s="382"/>
      <c r="DM543" s="382"/>
      <c r="DN543" s="382"/>
      <c r="DO543" s="382"/>
      <c r="DP543" s="382"/>
      <c r="DQ543" s="382"/>
      <c r="DR543" s="382"/>
      <c r="DS543" s="382"/>
      <c r="DT543" s="382"/>
      <c r="DU543" s="382"/>
      <c r="DV543" s="382"/>
      <c r="DW543" s="382"/>
      <c r="DX543" s="382"/>
      <c r="DY543" s="382"/>
      <c r="DZ543" s="228"/>
    </row>
    <row r="544" spans="2:130" s="180" customFormat="1" x14ac:dyDescent="0.2">
      <c r="B544" s="800"/>
      <c r="C544" s="800"/>
      <c r="D544" s="800"/>
      <c r="E544" s="769"/>
      <c r="F544" s="769"/>
      <c r="G544" s="802"/>
      <c r="H544" s="802"/>
      <c r="I544" s="802"/>
      <c r="J544" s="802"/>
      <c r="K544" s="802"/>
      <c r="L544" s="802"/>
      <c r="M544" s="802"/>
      <c r="N544" s="802"/>
      <c r="O544" s="802"/>
      <c r="P544" s="802"/>
      <c r="Q544" s="802"/>
      <c r="R544" s="802"/>
      <c r="S544" s="802"/>
      <c r="T544" s="802"/>
      <c r="U544" s="802"/>
      <c r="V544" s="802"/>
      <c r="W544" s="802"/>
      <c r="X544" s="802"/>
      <c r="Y544" s="802"/>
      <c r="Z544" s="802"/>
      <c r="AA544" s="802"/>
      <c r="AB544" s="802"/>
      <c r="AC544" s="802"/>
      <c r="AD544" s="802"/>
      <c r="AE544" s="802"/>
      <c r="AF544" s="802"/>
      <c r="AG544" s="802"/>
      <c r="AH544" s="382"/>
      <c r="AI544" s="382"/>
      <c r="AJ544" s="382"/>
      <c r="AK544" s="382"/>
      <c r="AL544" s="382"/>
      <c r="AM544" s="382"/>
      <c r="AN544" s="382"/>
      <c r="AO544" s="382"/>
      <c r="AP544" s="382"/>
      <c r="AQ544" s="382"/>
      <c r="AR544" s="382"/>
      <c r="AS544" s="382"/>
      <c r="AT544" s="382"/>
      <c r="AU544" s="382"/>
      <c r="AV544" s="382"/>
      <c r="AW544" s="382"/>
      <c r="AX544" s="382"/>
      <c r="AY544" s="382"/>
      <c r="AZ544" s="382"/>
      <c r="BA544" s="382"/>
      <c r="BB544" s="382"/>
      <c r="BC544" s="382"/>
      <c r="BD544" s="382"/>
      <c r="BE544" s="382"/>
      <c r="BF544" s="382"/>
      <c r="BG544" s="382"/>
      <c r="BH544" s="382"/>
      <c r="BI544" s="382"/>
      <c r="BJ544" s="382"/>
      <c r="BK544" s="382"/>
      <c r="BL544" s="382"/>
      <c r="BM544" s="382"/>
      <c r="BN544" s="382"/>
      <c r="BO544" s="382"/>
      <c r="BP544" s="382"/>
      <c r="BQ544" s="382"/>
      <c r="BR544" s="382"/>
      <c r="BS544" s="382"/>
      <c r="BT544" s="382"/>
      <c r="BU544" s="496"/>
      <c r="BV544" s="382"/>
      <c r="BW544" s="382"/>
      <c r="BX544" s="382"/>
      <c r="BY544" s="382"/>
      <c r="BZ544" s="382"/>
      <c r="CA544" s="382"/>
      <c r="CB544" s="382"/>
      <c r="CC544" s="382"/>
      <c r="CD544" s="382"/>
      <c r="CE544" s="382"/>
      <c r="CF544" s="382"/>
      <c r="CG544" s="382"/>
      <c r="CH544" s="382"/>
      <c r="CI544" s="382"/>
      <c r="CJ544" s="382"/>
      <c r="CK544" s="382"/>
      <c r="CL544" s="382"/>
      <c r="CM544" s="382"/>
      <c r="CN544" s="382"/>
      <c r="CO544" s="382"/>
      <c r="CP544" s="382"/>
      <c r="CQ544" s="382"/>
      <c r="CR544" s="382"/>
      <c r="CS544" s="382"/>
      <c r="CT544" s="382"/>
      <c r="CU544" s="382"/>
      <c r="CV544" s="382"/>
      <c r="CW544" s="800"/>
      <c r="CX544" s="382"/>
      <c r="CY544" s="382"/>
      <c r="CZ544" s="382"/>
      <c r="DA544" s="382"/>
      <c r="DB544" s="382"/>
      <c r="DC544" s="382"/>
      <c r="DD544" s="382"/>
      <c r="DE544" s="382"/>
      <c r="DF544" s="382"/>
      <c r="DG544" s="382"/>
      <c r="DH544" s="382"/>
      <c r="DI544" s="382"/>
      <c r="DJ544" s="382"/>
      <c r="DK544" s="382"/>
      <c r="DL544" s="382"/>
      <c r="DM544" s="382"/>
      <c r="DN544" s="382"/>
      <c r="DO544" s="382"/>
      <c r="DP544" s="382"/>
      <c r="DQ544" s="382"/>
      <c r="DR544" s="382"/>
      <c r="DS544" s="382"/>
      <c r="DT544" s="382"/>
      <c r="DU544" s="382"/>
      <c r="DV544" s="382"/>
      <c r="DW544" s="382"/>
      <c r="DX544" s="382"/>
      <c r="DY544" s="382"/>
      <c r="DZ544" s="228"/>
    </row>
    <row r="545" spans="2:130" s="180" customFormat="1" x14ac:dyDescent="0.2">
      <c r="B545" s="800"/>
      <c r="C545" s="800"/>
      <c r="D545" s="800"/>
      <c r="E545" s="769"/>
      <c r="F545" s="769"/>
      <c r="G545" s="802"/>
      <c r="H545" s="802"/>
      <c r="I545" s="802"/>
      <c r="J545" s="802"/>
      <c r="K545" s="802"/>
      <c r="L545" s="802"/>
      <c r="M545" s="802"/>
      <c r="N545" s="802"/>
      <c r="O545" s="802"/>
      <c r="P545" s="802"/>
      <c r="Q545" s="802"/>
      <c r="R545" s="802"/>
      <c r="S545" s="802"/>
      <c r="T545" s="802"/>
      <c r="U545" s="802"/>
      <c r="V545" s="802"/>
      <c r="W545" s="802"/>
      <c r="X545" s="802"/>
      <c r="Y545" s="802"/>
      <c r="Z545" s="802"/>
      <c r="AA545" s="802"/>
      <c r="AB545" s="802"/>
      <c r="AC545" s="802"/>
      <c r="AD545" s="802"/>
      <c r="AE545" s="802"/>
      <c r="AF545" s="802"/>
      <c r="AG545" s="802"/>
      <c r="AH545" s="382"/>
      <c r="AI545" s="382"/>
      <c r="AJ545" s="382"/>
      <c r="AK545" s="382"/>
      <c r="AL545" s="382"/>
      <c r="AM545" s="382"/>
      <c r="AN545" s="382"/>
      <c r="AO545" s="382"/>
      <c r="AP545" s="382"/>
      <c r="AQ545" s="382"/>
      <c r="AR545" s="382"/>
      <c r="AS545" s="382"/>
      <c r="AT545" s="382"/>
      <c r="AU545" s="382"/>
      <c r="AV545" s="382"/>
      <c r="AW545" s="382"/>
      <c r="AX545" s="382"/>
      <c r="AY545" s="382"/>
      <c r="AZ545" s="382"/>
      <c r="BA545" s="382"/>
      <c r="BB545" s="382"/>
      <c r="BC545" s="382"/>
      <c r="BD545" s="382"/>
      <c r="BE545" s="382"/>
      <c r="BF545" s="382"/>
      <c r="BG545" s="382"/>
      <c r="BH545" s="382"/>
      <c r="BI545" s="382"/>
      <c r="BJ545" s="382"/>
      <c r="BK545" s="382"/>
      <c r="BL545" s="382"/>
      <c r="BM545" s="382"/>
      <c r="BN545" s="382"/>
      <c r="BO545" s="382"/>
      <c r="BP545" s="382"/>
      <c r="BQ545" s="382"/>
      <c r="BR545" s="382"/>
      <c r="BS545" s="382"/>
      <c r="BT545" s="382"/>
      <c r="BU545" s="496"/>
      <c r="BV545" s="382"/>
      <c r="BW545" s="382"/>
      <c r="BX545" s="382"/>
      <c r="BY545" s="382"/>
      <c r="BZ545" s="382"/>
      <c r="CA545" s="382"/>
      <c r="CB545" s="382"/>
      <c r="CC545" s="382"/>
      <c r="CD545" s="382"/>
      <c r="CE545" s="382"/>
      <c r="CF545" s="382"/>
      <c r="CG545" s="382"/>
      <c r="CH545" s="382"/>
      <c r="CI545" s="382"/>
      <c r="CJ545" s="382"/>
      <c r="CK545" s="382"/>
      <c r="CL545" s="382"/>
      <c r="CM545" s="382"/>
      <c r="CN545" s="382"/>
      <c r="CO545" s="382"/>
      <c r="CP545" s="382"/>
      <c r="CQ545" s="382"/>
      <c r="CR545" s="382"/>
      <c r="CS545" s="382"/>
      <c r="CT545" s="382"/>
      <c r="CU545" s="382"/>
      <c r="CV545" s="382"/>
      <c r="CW545" s="800"/>
      <c r="CX545" s="382"/>
      <c r="CY545" s="382"/>
      <c r="CZ545" s="382"/>
      <c r="DA545" s="382"/>
      <c r="DB545" s="382"/>
      <c r="DC545" s="382"/>
      <c r="DD545" s="382"/>
      <c r="DE545" s="382"/>
      <c r="DF545" s="382"/>
      <c r="DG545" s="382"/>
      <c r="DH545" s="382"/>
      <c r="DI545" s="382"/>
      <c r="DJ545" s="382"/>
      <c r="DK545" s="382"/>
      <c r="DL545" s="382"/>
      <c r="DM545" s="382"/>
      <c r="DN545" s="382"/>
      <c r="DO545" s="382"/>
      <c r="DP545" s="382"/>
      <c r="DQ545" s="382"/>
      <c r="DR545" s="382"/>
      <c r="DS545" s="382"/>
      <c r="DT545" s="382"/>
      <c r="DU545" s="382"/>
      <c r="DV545" s="382"/>
      <c r="DW545" s="382"/>
      <c r="DX545" s="382"/>
      <c r="DY545" s="382"/>
      <c r="DZ545" s="228"/>
    </row>
    <row r="546" spans="2:130" s="180" customFormat="1" x14ac:dyDescent="0.2">
      <c r="B546" s="800"/>
      <c r="C546" s="800"/>
      <c r="D546" s="800"/>
      <c r="E546" s="769"/>
      <c r="F546" s="769"/>
      <c r="G546" s="802"/>
      <c r="H546" s="802"/>
      <c r="I546" s="802"/>
      <c r="J546" s="802"/>
      <c r="K546" s="802"/>
      <c r="L546" s="802"/>
      <c r="M546" s="802"/>
      <c r="N546" s="802"/>
      <c r="O546" s="802"/>
      <c r="P546" s="802"/>
      <c r="Q546" s="802"/>
      <c r="R546" s="802"/>
      <c r="S546" s="802"/>
      <c r="T546" s="802"/>
      <c r="U546" s="802"/>
      <c r="V546" s="802"/>
      <c r="W546" s="802"/>
      <c r="X546" s="802"/>
      <c r="Y546" s="802"/>
      <c r="Z546" s="802"/>
      <c r="AA546" s="802"/>
      <c r="AB546" s="802"/>
      <c r="AC546" s="802"/>
      <c r="AD546" s="802"/>
      <c r="AE546" s="802"/>
      <c r="AF546" s="802"/>
      <c r="AG546" s="802"/>
      <c r="AH546" s="382"/>
      <c r="AI546" s="382"/>
      <c r="AJ546" s="382"/>
      <c r="AK546" s="382"/>
      <c r="AL546" s="382"/>
      <c r="AM546" s="382"/>
      <c r="AN546" s="382"/>
      <c r="AO546" s="382"/>
      <c r="AP546" s="382"/>
      <c r="AQ546" s="382"/>
      <c r="AR546" s="382"/>
      <c r="AS546" s="382"/>
      <c r="AT546" s="382"/>
      <c r="AU546" s="382"/>
      <c r="AV546" s="382"/>
      <c r="AW546" s="382"/>
      <c r="AX546" s="382"/>
      <c r="AY546" s="382"/>
      <c r="AZ546" s="382"/>
      <c r="BA546" s="382"/>
      <c r="BB546" s="382"/>
      <c r="BC546" s="382"/>
      <c r="BD546" s="382"/>
      <c r="BE546" s="382"/>
      <c r="BF546" s="382"/>
      <c r="BG546" s="382"/>
      <c r="BH546" s="382"/>
      <c r="BI546" s="382"/>
      <c r="BJ546" s="382"/>
      <c r="BK546" s="382"/>
      <c r="BL546" s="382"/>
      <c r="BM546" s="382"/>
      <c r="BN546" s="382"/>
      <c r="BO546" s="382"/>
      <c r="BP546" s="382"/>
      <c r="BQ546" s="382"/>
      <c r="BR546" s="382"/>
      <c r="BS546" s="382"/>
      <c r="BT546" s="382"/>
      <c r="BU546" s="496"/>
      <c r="BV546" s="382"/>
      <c r="BW546" s="382"/>
      <c r="BX546" s="382"/>
      <c r="BY546" s="382"/>
      <c r="BZ546" s="382"/>
      <c r="CA546" s="382"/>
      <c r="CB546" s="382"/>
      <c r="CC546" s="382"/>
      <c r="CD546" s="382"/>
      <c r="CE546" s="382"/>
      <c r="CF546" s="382"/>
      <c r="CG546" s="382"/>
      <c r="CH546" s="382"/>
      <c r="CI546" s="382"/>
      <c r="CJ546" s="382"/>
      <c r="CK546" s="382"/>
      <c r="CL546" s="382"/>
      <c r="CM546" s="382"/>
      <c r="CN546" s="382"/>
      <c r="CO546" s="382"/>
      <c r="CP546" s="382"/>
      <c r="CQ546" s="382"/>
      <c r="CR546" s="382"/>
      <c r="CS546" s="382"/>
      <c r="CT546" s="382"/>
      <c r="CU546" s="382"/>
      <c r="CV546" s="382"/>
      <c r="CW546" s="800"/>
      <c r="CX546" s="382"/>
      <c r="CY546" s="382"/>
      <c r="CZ546" s="382"/>
      <c r="DA546" s="382"/>
      <c r="DB546" s="382"/>
      <c r="DC546" s="382"/>
      <c r="DD546" s="382"/>
      <c r="DE546" s="382"/>
      <c r="DF546" s="382"/>
      <c r="DG546" s="382"/>
      <c r="DH546" s="382"/>
      <c r="DI546" s="382"/>
      <c r="DJ546" s="382"/>
      <c r="DK546" s="382"/>
      <c r="DL546" s="382"/>
      <c r="DM546" s="382"/>
      <c r="DN546" s="382"/>
      <c r="DO546" s="382"/>
      <c r="DP546" s="382"/>
      <c r="DQ546" s="382"/>
      <c r="DR546" s="382"/>
      <c r="DS546" s="382"/>
      <c r="DT546" s="382"/>
      <c r="DU546" s="382"/>
      <c r="DV546" s="382"/>
      <c r="DW546" s="382"/>
      <c r="DX546" s="382"/>
      <c r="DY546" s="382"/>
      <c r="DZ546" s="228"/>
    </row>
    <row r="547" spans="2:130" s="180" customFormat="1" x14ac:dyDescent="0.2">
      <c r="B547" s="800"/>
      <c r="C547" s="800"/>
      <c r="D547" s="800"/>
      <c r="E547" s="769"/>
      <c r="F547" s="769"/>
      <c r="G547" s="802"/>
      <c r="H547" s="802"/>
      <c r="I547" s="802"/>
      <c r="J547" s="802"/>
      <c r="K547" s="802"/>
      <c r="L547" s="802"/>
      <c r="M547" s="802"/>
      <c r="N547" s="802"/>
      <c r="O547" s="802"/>
      <c r="P547" s="802"/>
      <c r="Q547" s="802"/>
      <c r="R547" s="802"/>
      <c r="S547" s="802"/>
      <c r="T547" s="802"/>
      <c r="U547" s="802"/>
      <c r="V547" s="802"/>
      <c r="W547" s="802"/>
      <c r="X547" s="802"/>
      <c r="Y547" s="802"/>
      <c r="Z547" s="802"/>
      <c r="AA547" s="802"/>
      <c r="AB547" s="802"/>
      <c r="AC547" s="802"/>
      <c r="AD547" s="802"/>
      <c r="AE547" s="802"/>
      <c r="AF547" s="802"/>
      <c r="AG547" s="802"/>
      <c r="AH547" s="382"/>
      <c r="AI547" s="382"/>
      <c r="AJ547" s="382"/>
      <c r="AK547" s="382"/>
      <c r="AL547" s="382"/>
      <c r="AM547" s="382"/>
      <c r="AN547" s="382"/>
      <c r="AO547" s="382"/>
      <c r="AP547" s="382"/>
      <c r="AQ547" s="382"/>
      <c r="AR547" s="382"/>
      <c r="AS547" s="382"/>
      <c r="AT547" s="382"/>
      <c r="AU547" s="382"/>
      <c r="AV547" s="382"/>
      <c r="AW547" s="382"/>
      <c r="AX547" s="382"/>
      <c r="AY547" s="382"/>
      <c r="AZ547" s="382"/>
      <c r="BA547" s="382"/>
      <c r="BB547" s="382"/>
      <c r="BC547" s="382"/>
      <c r="BD547" s="382"/>
      <c r="BE547" s="382"/>
      <c r="BF547" s="382"/>
      <c r="BG547" s="382"/>
      <c r="BH547" s="382"/>
      <c r="BI547" s="382"/>
      <c r="BJ547" s="382"/>
      <c r="BK547" s="382"/>
      <c r="BL547" s="382"/>
      <c r="BM547" s="382"/>
      <c r="BN547" s="382"/>
      <c r="BO547" s="382"/>
      <c r="BP547" s="382"/>
      <c r="BQ547" s="382"/>
      <c r="BR547" s="382"/>
      <c r="BS547" s="382"/>
      <c r="BT547" s="382"/>
      <c r="BU547" s="496"/>
      <c r="BV547" s="382"/>
      <c r="BW547" s="382"/>
      <c r="BX547" s="382"/>
      <c r="BY547" s="382"/>
      <c r="BZ547" s="382"/>
      <c r="CA547" s="382"/>
      <c r="CB547" s="382"/>
      <c r="CC547" s="382"/>
      <c r="CD547" s="382"/>
      <c r="CE547" s="382"/>
      <c r="CF547" s="382"/>
      <c r="CG547" s="382"/>
      <c r="CH547" s="382"/>
      <c r="CI547" s="382"/>
      <c r="CJ547" s="382"/>
      <c r="CK547" s="382"/>
      <c r="CL547" s="382"/>
      <c r="CM547" s="382"/>
      <c r="CN547" s="382"/>
      <c r="CO547" s="382"/>
      <c r="CP547" s="382"/>
      <c r="CQ547" s="382"/>
      <c r="CR547" s="382"/>
      <c r="CS547" s="382"/>
      <c r="CT547" s="382"/>
      <c r="CU547" s="382"/>
      <c r="CV547" s="382"/>
      <c r="CW547" s="800"/>
      <c r="CX547" s="382"/>
      <c r="CY547" s="382"/>
      <c r="CZ547" s="382"/>
      <c r="DA547" s="382"/>
      <c r="DB547" s="382"/>
      <c r="DC547" s="382"/>
      <c r="DD547" s="382"/>
      <c r="DE547" s="382"/>
      <c r="DF547" s="382"/>
      <c r="DG547" s="382"/>
      <c r="DH547" s="382"/>
      <c r="DI547" s="382"/>
      <c r="DJ547" s="382"/>
      <c r="DK547" s="382"/>
      <c r="DL547" s="382"/>
      <c r="DM547" s="382"/>
      <c r="DN547" s="382"/>
      <c r="DO547" s="382"/>
      <c r="DP547" s="382"/>
      <c r="DQ547" s="382"/>
      <c r="DR547" s="382"/>
      <c r="DS547" s="382"/>
      <c r="DT547" s="382"/>
      <c r="DU547" s="382"/>
      <c r="DV547" s="382"/>
      <c r="DW547" s="382"/>
      <c r="DX547" s="382"/>
      <c r="DY547" s="382"/>
      <c r="DZ547" s="228"/>
    </row>
    <row r="548" spans="2:130" s="180" customFormat="1" x14ac:dyDescent="0.2">
      <c r="B548" s="800"/>
      <c r="C548" s="800"/>
      <c r="D548" s="800"/>
      <c r="E548" s="769"/>
      <c r="F548" s="769"/>
      <c r="G548" s="802"/>
      <c r="H548" s="802"/>
      <c r="I548" s="802"/>
      <c r="J548" s="802"/>
      <c r="K548" s="802"/>
      <c r="L548" s="802"/>
      <c r="M548" s="802"/>
      <c r="N548" s="802"/>
      <c r="O548" s="802"/>
      <c r="P548" s="802"/>
      <c r="Q548" s="802"/>
      <c r="R548" s="802"/>
      <c r="S548" s="802"/>
      <c r="T548" s="802"/>
      <c r="U548" s="802"/>
      <c r="V548" s="802"/>
      <c r="W548" s="802"/>
      <c r="X548" s="802"/>
      <c r="Y548" s="802"/>
      <c r="Z548" s="802"/>
      <c r="AA548" s="802"/>
      <c r="AB548" s="802"/>
      <c r="AC548" s="802"/>
      <c r="AD548" s="802"/>
      <c r="AE548" s="802"/>
      <c r="AF548" s="802"/>
      <c r="AG548" s="802"/>
      <c r="AH548" s="382"/>
      <c r="AI548" s="382"/>
      <c r="AJ548" s="382"/>
      <c r="AK548" s="382"/>
      <c r="AL548" s="382"/>
      <c r="AM548" s="382"/>
      <c r="AN548" s="382"/>
      <c r="AO548" s="382"/>
      <c r="AP548" s="382"/>
      <c r="AQ548" s="382"/>
      <c r="AR548" s="382"/>
      <c r="AS548" s="382"/>
      <c r="AT548" s="382"/>
      <c r="AU548" s="382"/>
      <c r="AV548" s="382"/>
      <c r="AW548" s="382"/>
      <c r="AX548" s="382"/>
      <c r="AY548" s="382"/>
      <c r="AZ548" s="382"/>
      <c r="BA548" s="382"/>
      <c r="BB548" s="382"/>
      <c r="BC548" s="382"/>
      <c r="BD548" s="382"/>
      <c r="BE548" s="382"/>
      <c r="BF548" s="382"/>
      <c r="BG548" s="382"/>
      <c r="BH548" s="382"/>
      <c r="BI548" s="382"/>
      <c r="BJ548" s="382"/>
      <c r="BK548" s="382"/>
      <c r="BL548" s="382"/>
      <c r="BM548" s="382"/>
      <c r="BN548" s="382"/>
      <c r="BO548" s="382"/>
      <c r="BP548" s="382"/>
      <c r="BQ548" s="382"/>
      <c r="BR548" s="382"/>
      <c r="BS548" s="382"/>
      <c r="BT548" s="382"/>
      <c r="BU548" s="496"/>
      <c r="BV548" s="382"/>
      <c r="BW548" s="382"/>
      <c r="BX548" s="382"/>
      <c r="BY548" s="382"/>
      <c r="BZ548" s="382"/>
      <c r="CA548" s="382"/>
      <c r="CB548" s="382"/>
      <c r="CC548" s="382"/>
      <c r="CD548" s="382"/>
      <c r="CE548" s="382"/>
      <c r="CF548" s="382"/>
      <c r="CG548" s="382"/>
      <c r="CH548" s="382"/>
      <c r="CI548" s="382"/>
      <c r="CJ548" s="382"/>
      <c r="CK548" s="382"/>
      <c r="CL548" s="382"/>
      <c r="CM548" s="382"/>
      <c r="CN548" s="382"/>
      <c r="CO548" s="382"/>
      <c r="CP548" s="382"/>
      <c r="CQ548" s="382"/>
      <c r="CR548" s="382"/>
      <c r="CS548" s="382"/>
      <c r="CT548" s="382"/>
      <c r="CU548" s="382"/>
      <c r="CV548" s="382"/>
      <c r="CW548" s="800"/>
      <c r="CX548" s="382"/>
      <c r="CY548" s="382"/>
      <c r="CZ548" s="382"/>
      <c r="DA548" s="382"/>
      <c r="DB548" s="382"/>
      <c r="DC548" s="382"/>
      <c r="DD548" s="382"/>
      <c r="DE548" s="382"/>
      <c r="DF548" s="382"/>
      <c r="DG548" s="382"/>
      <c r="DH548" s="382"/>
      <c r="DI548" s="382"/>
      <c r="DJ548" s="382"/>
      <c r="DK548" s="382"/>
      <c r="DL548" s="382"/>
      <c r="DM548" s="382"/>
      <c r="DN548" s="382"/>
      <c r="DO548" s="382"/>
      <c r="DP548" s="382"/>
      <c r="DQ548" s="382"/>
      <c r="DR548" s="382"/>
      <c r="DS548" s="382"/>
      <c r="DT548" s="382"/>
      <c r="DU548" s="382"/>
      <c r="DV548" s="382"/>
      <c r="DW548" s="382"/>
      <c r="DX548" s="382"/>
      <c r="DY548" s="382"/>
      <c r="DZ548" s="228"/>
    </row>
    <row r="549" spans="2:130" s="180" customFormat="1" x14ac:dyDescent="0.2">
      <c r="B549" s="800"/>
      <c r="C549" s="800"/>
      <c r="D549" s="800"/>
      <c r="E549" s="769"/>
      <c r="F549" s="769"/>
      <c r="G549" s="802"/>
      <c r="H549" s="802"/>
      <c r="I549" s="802"/>
      <c r="J549" s="802"/>
      <c r="K549" s="802"/>
      <c r="L549" s="802"/>
      <c r="M549" s="802"/>
      <c r="N549" s="802"/>
      <c r="O549" s="802"/>
      <c r="P549" s="802"/>
      <c r="Q549" s="802"/>
      <c r="R549" s="802"/>
      <c r="S549" s="802"/>
      <c r="T549" s="802"/>
      <c r="U549" s="802"/>
      <c r="V549" s="802"/>
      <c r="W549" s="802"/>
      <c r="X549" s="802"/>
      <c r="Y549" s="802"/>
      <c r="Z549" s="802"/>
      <c r="AA549" s="802"/>
      <c r="AB549" s="802"/>
      <c r="AC549" s="802"/>
      <c r="AD549" s="802"/>
      <c r="AE549" s="802"/>
      <c r="AF549" s="802"/>
      <c r="AG549" s="802"/>
      <c r="AH549" s="382"/>
      <c r="AI549" s="382"/>
      <c r="AJ549" s="382"/>
      <c r="AK549" s="382"/>
      <c r="AL549" s="382"/>
      <c r="AM549" s="382"/>
      <c r="AN549" s="382"/>
      <c r="AO549" s="382"/>
      <c r="AP549" s="382"/>
      <c r="AQ549" s="382"/>
      <c r="AR549" s="382"/>
      <c r="AS549" s="382"/>
      <c r="AT549" s="382"/>
      <c r="AU549" s="382"/>
      <c r="AV549" s="382"/>
      <c r="AW549" s="382"/>
      <c r="AX549" s="382"/>
      <c r="AY549" s="382"/>
      <c r="AZ549" s="382"/>
      <c r="BA549" s="382"/>
      <c r="BB549" s="382"/>
      <c r="BC549" s="382"/>
      <c r="BD549" s="382"/>
      <c r="BE549" s="382"/>
      <c r="BF549" s="382"/>
      <c r="BG549" s="382"/>
      <c r="BH549" s="382"/>
      <c r="BI549" s="382"/>
      <c r="BJ549" s="382"/>
      <c r="BK549" s="382"/>
      <c r="BL549" s="382"/>
      <c r="BM549" s="382"/>
      <c r="BN549" s="382"/>
      <c r="BO549" s="382"/>
      <c r="BP549" s="382"/>
      <c r="BQ549" s="382"/>
      <c r="BR549" s="382"/>
      <c r="BS549" s="382"/>
      <c r="BT549" s="382"/>
      <c r="BU549" s="496"/>
      <c r="BV549" s="382"/>
      <c r="BW549" s="382"/>
      <c r="BX549" s="382"/>
      <c r="BY549" s="382"/>
      <c r="BZ549" s="382"/>
      <c r="CA549" s="382"/>
      <c r="CB549" s="382"/>
      <c r="CC549" s="382"/>
      <c r="CD549" s="382"/>
      <c r="CE549" s="382"/>
      <c r="CF549" s="382"/>
      <c r="CG549" s="382"/>
      <c r="CH549" s="382"/>
      <c r="CI549" s="382"/>
      <c r="CJ549" s="382"/>
      <c r="CK549" s="382"/>
      <c r="CL549" s="382"/>
      <c r="CM549" s="382"/>
      <c r="CN549" s="382"/>
      <c r="CO549" s="382"/>
      <c r="CP549" s="382"/>
      <c r="CQ549" s="382"/>
      <c r="CR549" s="382"/>
      <c r="CS549" s="382"/>
      <c r="CT549" s="382"/>
      <c r="CU549" s="382"/>
      <c r="CV549" s="382"/>
      <c r="CW549" s="800"/>
      <c r="CX549" s="382"/>
      <c r="CY549" s="382"/>
      <c r="CZ549" s="382"/>
      <c r="DA549" s="382"/>
      <c r="DB549" s="382"/>
      <c r="DC549" s="382"/>
      <c r="DD549" s="382"/>
      <c r="DE549" s="382"/>
      <c r="DF549" s="382"/>
      <c r="DG549" s="382"/>
      <c r="DH549" s="382"/>
      <c r="DI549" s="382"/>
      <c r="DJ549" s="382"/>
      <c r="DK549" s="382"/>
      <c r="DL549" s="382"/>
      <c r="DM549" s="382"/>
      <c r="DN549" s="382"/>
      <c r="DO549" s="382"/>
      <c r="DP549" s="382"/>
      <c r="DQ549" s="382"/>
      <c r="DR549" s="382"/>
      <c r="DS549" s="382"/>
      <c r="DT549" s="382"/>
      <c r="DU549" s="382"/>
      <c r="DV549" s="382"/>
      <c r="DW549" s="382"/>
      <c r="DX549" s="382"/>
      <c r="DY549" s="382"/>
      <c r="DZ549" s="228"/>
    </row>
    <row r="550" spans="2:130" s="180" customFormat="1" x14ac:dyDescent="0.2">
      <c r="B550" s="800"/>
      <c r="C550" s="800"/>
      <c r="D550" s="800"/>
      <c r="E550" s="769"/>
      <c r="F550" s="769"/>
      <c r="G550" s="802"/>
      <c r="H550" s="802"/>
      <c r="I550" s="802"/>
      <c r="J550" s="802"/>
      <c r="K550" s="802"/>
      <c r="L550" s="802"/>
      <c r="M550" s="802"/>
      <c r="N550" s="802"/>
      <c r="O550" s="802"/>
      <c r="P550" s="802"/>
      <c r="Q550" s="802"/>
      <c r="R550" s="802"/>
      <c r="S550" s="802"/>
      <c r="T550" s="802"/>
      <c r="U550" s="802"/>
      <c r="V550" s="802"/>
      <c r="W550" s="802"/>
      <c r="X550" s="802"/>
      <c r="Y550" s="802"/>
      <c r="Z550" s="802"/>
      <c r="AA550" s="802"/>
      <c r="AB550" s="802"/>
      <c r="AC550" s="802"/>
      <c r="AD550" s="802"/>
      <c r="AE550" s="802"/>
      <c r="AF550" s="802"/>
      <c r="AG550" s="802"/>
      <c r="AH550" s="382"/>
      <c r="AI550" s="382"/>
      <c r="AJ550" s="382"/>
      <c r="AK550" s="382"/>
      <c r="AL550" s="382"/>
      <c r="AM550" s="382"/>
      <c r="AN550" s="382"/>
      <c r="AO550" s="382"/>
      <c r="AP550" s="382"/>
      <c r="AQ550" s="382"/>
      <c r="AR550" s="382"/>
      <c r="AS550" s="382"/>
      <c r="AT550" s="382"/>
      <c r="AU550" s="382"/>
      <c r="AV550" s="382"/>
      <c r="AW550" s="382"/>
      <c r="AX550" s="382"/>
      <c r="AY550" s="382"/>
      <c r="AZ550" s="382"/>
      <c r="BA550" s="382"/>
      <c r="BB550" s="382"/>
      <c r="BC550" s="382"/>
      <c r="BD550" s="382"/>
      <c r="BE550" s="382"/>
      <c r="BF550" s="382"/>
      <c r="BG550" s="382"/>
      <c r="BH550" s="382"/>
      <c r="BI550" s="382"/>
      <c r="BJ550" s="382"/>
      <c r="BK550" s="382"/>
      <c r="BL550" s="382"/>
      <c r="BM550" s="382"/>
      <c r="BN550" s="382"/>
      <c r="BO550" s="382"/>
      <c r="BP550" s="382"/>
      <c r="BQ550" s="382"/>
      <c r="BR550" s="382"/>
      <c r="BS550" s="382"/>
      <c r="BT550" s="382"/>
      <c r="BU550" s="496"/>
      <c r="BV550" s="382"/>
      <c r="BW550" s="382"/>
      <c r="BX550" s="382"/>
      <c r="BY550" s="382"/>
      <c r="BZ550" s="382"/>
      <c r="CA550" s="382"/>
      <c r="CB550" s="382"/>
      <c r="CC550" s="382"/>
      <c r="CD550" s="382"/>
      <c r="CE550" s="382"/>
      <c r="CF550" s="382"/>
      <c r="CG550" s="382"/>
      <c r="CH550" s="382"/>
      <c r="CI550" s="382"/>
      <c r="CJ550" s="382"/>
      <c r="CK550" s="382"/>
      <c r="CL550" s="382"/>
      <c r="CM550" s="382"/>
      <c r="CN550" s="382"/>
      <c r="CO550" s="382"/>
      <c r="CP550" s="382"/>
      <c r="CQ550" s="382"/>
      <c r="CR550" s="382"/>
      <c r="CS550" s="382"/>
      <c r="CT550" s="382"/>
      <c r="CU550" s="382"/>
      <c r="CV550" s="382"/>
      <c r="CW550" s="800"/>
      <c r="CX550" s="382"/>
      <c r="CY550" s="382"/>
      <c r="CZ550" s="382"/>
      <c r="DA550" s="382"/>
      <c r="DB550" s="382"/>
      <c r="DC550" s="382"/>
      <c r="DD550" s="382"/>
      <c r="DE550" s="382"/>
      <c r="DF550" s="382"/>
      <c r="DG550" s="382"/>
      <c r="DH550" s="382"/>
      <c r="DI550" s="382"/>
      <c r="DJ550" s="382"/>
      <c r="DK550" s="382"/>
      <c r="DL550" s="382"/>
      <c r="DM550" s="382"/>
      <c r="DN550" s="382"/>
      <c r="DO550" s="382"/>
      <c r="DP550" s="382"/>
      <c r="DQ550" s="382"/>
      <c r="DR550" s="382"/>
      <c r="DS550" s="382"/>
      <c r="DT550" s="382"/>
      <c r="DU550" s="382"/>
      <c r="DV550" s="382"/>
      <c r="DW550" s="382"/>
      <c r="DX550" s="382"/>
      <c r="DY550" s="382"/>
      <c r="DZ550" s="228"/>
    </row>
    <row r="551" spans="2:130" s="180" customFormat="1" x14ac:dyDescent="0.2">
      <c r="B551" s="800"/>
      <c r="C551" s="800"/>
      <c r="D551" s="800"/>
      <c r="E551" s="769"/>
      <c r="F551" s="769"/>
      <c r="G551" s="802"/>
      <c r="H551" s="802"/>
      <c r="I551" s="802"/>
      <c r="J551" s="802"/>
      <c r="K551" s="802"/>
      <c r="L551" s="802"/>
      <c r="M551" s="802"/>
      <c r="N551" s="802"/>
      <c r="O551" s="802"/>
      <c r="P551" s="802"/>
      <c r="Q551" s="802"/>
      <c r="R551" s="802"/>
      <c r="S551" s="802"/>
      <c r="T551" s="802"/>
      <c r="U551" s="802"/>
      <c r="V551" s="802"/>
      <c r="W551" s="802"/>
      <c r="X551" s="802"/>
      <c r="Y551" s="802"/>
      <c r="Z551" s="802"/>
      <c r="AA551" s="802"/>
      <c r="AB551" s="802"/>
      <c r="AC551" s="802"/>
      <c r="AD551" s="802"/>
      <c r="AE551" s="802"/>
      <c r="AF551" s="802"/>
      <c r="AG551" s="802"/>
      <c r="AH551" s="382"/>
      <c r="AI551" s="382"/>
      <c r="AJ551" s="382"/>
      <c r="AK551" s="382"/>
      <c r="AL551" s="382"/>
      <c r="AM551" s="382"/>
      <c r="AN551" s="382"/>
      <c r="AO551" s="382"/>
      <c r="AP551" s="382"/>
      <c r="AQ551" s="382"/>
      <c r="AR551" s="382"/>
      <c r="AS551" s="382"/>
      <c r="AT551" s="382"/>
      <c r="AU551" s="382"/>
      <c r="AV551" s="382"/>
      <c r="AW551" s="382"/>
      <c r="AX551" s="382"/>
      <c r="AY551" s="382"/>
      <c r="AZ551" s="382"/>
      <c r="BA551" s="382"/>
      <c r="BB551" s="382"/>
      <c r="BC551" s="382"/>
      <c r="BD551" s="382"/>
      <c r="BE551" s="382"/>
      <c r="BF551" s="382"/>
      <c r="BG551" s="382"/>
      <c r="BH551" s="382"/>
      <c r="BI551" s="382"/>
      <c r="BJ551" s="382"/>
      <c r="BK551" s="382"/>
      <c r="BL551" s="382"/>
      <c r="BM551" s="382"/>
      <c r="BN551" s="382"/>
      <c r="BO551" s="382"/>
      <c r="BP551" s="382"/>
      <c r="BQ551" s="382"/>
      <c r="BR551" s="382"/>
      <c r="BS551" s="382"/>
      <c r="BT551" s="382"/>
      <c r="BU551" s="496"/>
      <c r="BV551" s="382"/>
      <c r="BW551" s="382"/>
      <c r="BX551" s="382"/>
      <c r="BY551" s="382"/>
      <c r="BZ551" s="382"/>
      <c r="CA551" s="382"/>
      <c r="CB551" s="382"/>
      <c r="CC551" s="382"/>
      <c r="CD551" s="382"/>
      <c r="CE551" s="382"/>
      <c r="CF551" s="382"/>
      <c r="CG551" s="382"/>
      <c r="CH551" s="382"/>
      <c r="CI551" s="382"/>
      <c r="CJ551" s="382"/>
      <c r="CK551" s="382"/>
      <c r="CL551" s="382"/>
      <c r="CM551" s="382"/>
      <c r="CN551" s="382"/>
      <c r="CO551" s="382"/>
      <c r="CP551" s="382"/>
      <c r="CQ551" s="382"/>
      <c r="CR551" s="382"/>
      <c r="CS551" s="382"/>
      <c r="CT551" s="382"/>
      <c r="CU551" s="382"/>
      <c r="CV551" s="382"/>
      <c r="CW551" s="800"/>
      <c r="CX551" s="382"/>
      <c r="CY551" s="382"/>
      <c r="CZ551" s="382"/>
      <c r="DA551" s="382"/>
      <c r="DB551" s="382"/>
      <c r="DC551" s="382"/>
      <c r="DD551" s="382"/>
      <c r="DE551" s="382"/>
      <c r="DF551" s="382"/>
      <c r="DG551" s="382"/>
      <c r="DH551" s="382"/>
      <c r="DI551" s="382"/>
      <c r="DJ551" s="382"/>
      <c r="DK551" s="382"/>
      <c r="DL551" s="382"/>
      <c r="DM551" s="382"/>
      <c r="DN551" s="382"/>
      <c r="DO551" s="382"/>
      <c r="DP551" s="382"/>
      <c r="DQ551" s="382"/>
      <c r="DR551" s="382"/>
      <c r="DS551" s="382"/>
      <c r="DT551" s="382"/>
      <c r="DU551" s="382"/>
      <c r="DV551" s="382"/>
      <c r="DW551" s="382"/>
      <c r="DX551" s="382"/>
      <c r="DY551" s="382"/>
      <c r="DZ551" s="228"/>
    </row>
    <row r="552" spans="2:130" s="180" customFormat="1" x14ac:dyDescent="0.2">
      <c r="B552" s="800"/>
      <c r="C552" s="800"/>
      <c r="D552" s="800"/>
      <c r="E552" s="769"/>
      <c r="F552" s="769"/>
      <c r="G552" s="802"/>
      <c r="H552" s="802"/>
      <c r="I552" s="802"/>
      <c r="J552" s="802"/>
      <c r="K552" s="802"/>
      <c r="L552" s="802"/>
      <c r="M552" s="802"/>
      <c r="N552" s="802"/>
      <c r="O552" s="802"/>
      <c r="P552" s="802"/>
      <c r="Q552" s="802"/>
      <c r="R552" s="802"/>
      <c r="S552" s="802"/>
      <c r="T552" s="802"/>
      <c r="U552" s="802"/>
      <c r="V552" s="802"/>
      <c r="W552" s="802"/>
      <c r="X552" s="802"/>
      <c r="Y552" s="802"/>
      <c r="Z552" s="802"/>
      <c r="AA552" s="802"/>
      <c r="AB552" s="802"/>
      <c r="AC552" s="802"/>
      <c r="AD552" s="802"/>
      <c r="AE552" s="802"/>
      <c r="AF552" s="802"/>
      <c r="AG552" s="802"/>
      <c r="AH552" s="382"/>
      <c r="AI552" s="382"/>
      <c r="AJ552" s="382"/>
      <c r="AK552" s="382"/>
      <c r="AL552" s="382"/>
      <c r="AM552" s="382"/>
      <c r="AN552" s="382"/>
      <c r="AO552" s="382"/>
      <c r="AP552" s="382"/>
      <c r="AQ552" s="382"/>
      <c r="AR552" s="382"/>
      <c r="AS552" s="382"/>
      <c r="AT552" s="382"/>
      <c r="AU552" s="382"/>
      <c r="AV552" s="382"/>
      <c r="AW552" s="382"/>
      <c r="AX552" s="382"/>
      <c r="AY552" s="382"/>
      <c r="AZ552" s="382"/>
      <c r="BA552" s="382"/>
      <c r="BB552" s="382"/>
      <c r="BC552" s="382"/>
      <c r="BD552" s="382"/>
      <c r="BE552" s="382"/>
      <c r="BF552" s="382"/>
      <c r="BG552" s="382"/>
      <c r="BH552" s="382"/>
      <c r="BI552" s="382"/>
      <c r="BJ552" s="382"/>
      <c r="BK552" s="382"/>
      <c r="BL552" s="382"/>
      <c r="BM552" s="382"/>
      <c r="BN552" s="382"/>
      <c r="BO552" s="382"/>
      <c r="BP552" s="382"/>
      <c r="BQ552" s="382"/>
      <c r="BR552" s="382"/>
      <c r="BS552" s="382"/>
      <c r="BT552" s="382"/>
      <c r="BU552" s="496"/>
      <c r="BV552" s="382"/>
      <c r="BW552" s="382"/>
      <c r="BX552" s="382"/>
      <c r="BY552" s="382"/>
      <c r="BZ552" s="382"/>
      <c r="CA552" s="382"/>
      <c r="CB552" s="382"/>
      <c r="CC552" s="382"/>
      <c r="CD552" s="382"/>
      <c r="CE552" s="382"/>
      <c r="CF552" s="382"/>
      <c r="CG552" s="382"/>
      <c r="CH552" s="382"/>
      <c r="CI552" s="382"/>
      <c r="CJ552" s="382"/>
      <c r="CK552" s="382"/>
      <c r="CL552" s="382"/>
      <c r="CM552" s="382"/>
      <c r="CN552" s="382"/>
      <c r="CO552" s="382"/>
      <c r="CP552" s="382"/>
      <c r="CQ552" s="382"/>
      <c r="CR552" s="382"/>
      <c r="CS552" s="382"/>
      <c r="CT552" s="382"/>
      <c r="CU552" s="382"/>
      <c r="CV552" s="382"/>
      <c r="CW552" s="800"/>
      <c r="CX552" s="382"/>
      <c r="CY552" s="382"/>
      <c r="CZ552" s="382"/>
      <c r="DA552" s="382"/>
      <c r="DB552" s="382"/>
      <c r="DC552" s="382"/>
      <c r="DD552" s="382"/>
      <c r="DE552" s="382"/>
      <c r="DF552" s="382"/>
      <c r="DG552" s="382"/>
      <c r="DH552" s="382"/>
      <c r="DI552" s="382"/>
      <c r="DJ552" s="382"/>
      <c r="DK552" s="382"/>
      <c r="DL552" s="382"/>
      <c r="DM552" s="382"/>
      <c r="DN552" s="382"/>
      <c r="DO552" s="382"/>
      <c r="DP552" s="382"/>
      <c r="DQ552" s="382"/>
      <c r="DR552" s="382"/>
      <c r="DS552" s="382"/>
      <c r="DT552" s="382"/>
      <c r="DU552" s="382"/>
      <c r="DV552" s="382"/>
      <c r="DW552" s="382"/>
      <c r="DX552" s="382"/>
      <c r="DY552" s="382"/>
      <c r="DZ552" s="228"/>
    </row>
    <row r="553" spans="2:130" s="180" customFormat="1" x14ac:dyDescent="0.2">
      <c r="B553" s="800"/>
      <c r="C553" s="800"/>
      <c r="D553" s="800"/>
      <c r="E553" s="769"/>
      <c r="F553" s="769"/>
      <c r="G553" s="802"/>
      <c r="H553" s="802"/>
      <c r="I553" s="802"/>
      <c r="J553" s="802"/>
      <c r="K553" s="802"/>
      <c r="L553" s="802"/>
      <c r="M553" s="802"/>
      <c r="N553" s="802"/>
      <c r="O553" s="802"/>
      <c r="P553" s="802"/>
      <c r="Q553" s="802"/>
      <c r="R553" s="802"/>
      <c r="S553" s="802"/>
      <c r="T553" s="802"/>
      <c r="U553" s="802"/>
      <c r="V553" s="802"/>
      <c r="W553" s="802"/>
      <c r="X553" s="802"/>
      <c r="Y553" s="802"/>
      <c r="Z553" s="802"/>
      <c r="AA553" s="802"/>
      <c r="AB553" s="802"/>
      <c r="AC553" s="802"/>
      <c r="AD553" s="802"/>
      <c r="AE553" s="802"/>
      <c r="AF553" s="802"/>
      <c r="AG553" s="802"/>
      <c r="AH553" s="382"/>
      <c r="AI553" s="382"/>
      <c r="AJ553" s="382"/>
      <c r="AK553" s="382"/>
      <c r="AL553" s="382"/>
      <c r="AM553" s="382"/>
      <c r="AN553" s="382"/>
      <c r="AO553" s="382"/>
      <c r="AP553" s="382"/>
      <c r="AQ553" s="382"/>
      <c r="AR553" s="382"/>
      <c r="AS553" s="382"/>
      <c r="AT553" s="382"/>
      <c r="AU553" s="382"/>
      <c r="AV553" s="382"/>
      <c r="AW553" s="382"/>
      <c r="AX553" s="382"/>
      <c r="AY553" s="382"/>
      <c r="AZ553" s="382"/>
      <c r="BA553" s="382"/>
      <c r="BB553" s="382"/>
      <c r="BC553" s="382"/>
      <c r="BD553" s="382"/>
      <c r="BE553" s="382"/>
      <c r="BF553" s="382"/>
      <c r="BG553" s="382"/>
      <c r="BH553" s="382"/>
      <c r="BI553" s="382"/>
      <c r="BJ553" s="382"/>
      <c r="BK553" s="382"/>
      <c r="BL553" s="382"/>
      <c r="BM553" s="382"/>
      <c r="BN553" s="382"/>
      <c r="BO553" s="382"/>
      <c r="BP553" s="382"/>
      <c r="BQ553" s="382"/>
      <c r="BR553" s="382"/>
      <c r="BS553" s="382"/>
      <c r="BT553" s="382"/>
      <c r="BU553" s="496"/>
      <c r="BV553" s="382"/>
      <c r="BW553" s="382"/>
      <c r="BX553" s="382"/>
      <c r="BY553" s="382"/>
      <c r="BZ553" s="382"/>
      <c r="CA553" s="382"/>
      <c r="CB553" s="382"/>
      <c r="CC553" s="382"/>
      <c r="CD553" s="382"/>
      <c r="CE553" s="382"/>
      <c r="CF553" s="382"/>
      <c r="CG553" s="382"/>
      <c r="CH553" s="382"/>
      <c r="CI553" s="382"/>
      <c r="CJ553" s="382"/>
      <c r="CK553" s="382"/>
      <c r="CL553" s="382"/>
      <c r="CM553" s="382"/>
      <c r="CN553" s="382"/>
      <c r="CO553" s="382"/>
      <c r="CP553" s="382"/>
      <c r="CQ553" s="382"/>
      <c r="CR553" s="382"/>
      <c r="CS553" s="382"/>
      <c r="CT553" s="382"/>
      <c r="CU553" s="382"/>
      <c r="CV553" s="382"/>
      <c r="CW553" s="800"/>
      <c r="CX553" s="382"/>
      <c r="CY553" s="382"/>
      <c r="CZ553" s="382"/>
      <c r="DA553" s="382"/>
      <c r="DB553" s="382"/>
      <c r="DC553" s="382"/>
      <c r="DD553" s="382"/>
      <c r="DE553" s="382"/>
      <c r="DF553" s="382"/>
      <c r="DG553" s="382"/>
      <c r="DH553" s="382"/>
      <c r="DI553" s="382"/>
      <c r="DJ553" s="382"/>
      <c r="DK553" s="382"/>
      <c r="DL553" s="382"/>
      <c r="DM553" s="382"/>
      <c r="DN553" s="382"/>
      <c r="DO553" s="382"/>
      <c r="DP553" s="382"/>
      <c r="DQ553" s="382"/>
      <c r="DR553" s="382"/>
      <c r="DS553" s="382"/>
      <c r="DT553" s="382"/>
      <c r="DU553" s="382"/>
      <c r="DV553" s="382"/>
      <c r="DW553" s="382"/>
      <c r="DX553" s="382"/>
      <c r="DY553" s="382"/>
      <c r="DZ553" s="228"/>
    </row>
    <row r="554" spans="2:130" s="180" customFormat="1" x14ac:dyDescent="0.2">
      <c r="B554" s="800"/>
      <c r="C554" s="800"/>
      <c r="D554" s="800"/>
      <c r="E554" s="769"/>
      <c r="F554" s="769"/>
      <c r="G554" s="802"/>
      <c r="H554" s="802"/>
      <c r="I554" s="802"/>
      <c r="J554" s="802"/>
      <c r="K554" s="802"/>
      <c r="L554" s="802"/>
      <c r="M554" s="802"/>
      <c r="N554" s="802"/>
      <c r="O554" s="802"/>
      <c r="P554" s="802"/>
      <c r="Q554" s="802"/>
      <c r="R554" s="802"/>
      <c r="S554" s="802"/>
      <c r="T554" s="802"/>
      <c r="U554" s="802"/>
      <c r="V554" s="802"/>
      <c r="W554" s="802"/>
      <c r="X554" s="802"/>
      <c r="Y554" s="802"/>
      <c r="Z554" s="802"/>
      <c r="AA554" s="802"/>
      <c r="AB554" s="802"/>
      <c r="AC554" s="802"/>
      <c r="AD554" s="802"/>
      <c r="AE554" s="802"/>
      <c r="AF554" s="802"/>
      <c r="AG554" s="802"/>
      <c r="AH554" s="382"/>
      <c r="AI554" s="382"/>
      <c r="AJ554" s="382"/>
      <c r="AK554" s="382"/>
      <c r="AL554" s="382"/>
      <c r="AM554" s="382"/>
      <c r="AN554" s="382"/>
      <c r="AO554" s="382"/>
      <c r="AP554" s="382"/>
      <c r="AQ554" s="382"/>
      <c r="AR554" s="382"/>
      <c r="AS554" s="382"/>
      <c r="AT554" s="382"/>
      <c r="AU554" s="382"/>
      <c r="AV554" s="382"/>
      <c r="AW554" s="382"/>
      <c r="AX554" s="382"/>
      <c r="AY554" s="382"/>
      <c r="AZ554" s="382"/>
      <c r="BA554" s="382"/>
      <c r="BB554" s="382"/>
      <c r="BC554" s="382"/>
      <c r="BD554" s="382"/>
      <c r="BE554" s="382"/>
      <c r="BF554" s="382"/>
      <c r="BG554" s="382"/>
      <c r="BH554" s="382"/>
      <c r="BI554" s="382"/>
      <c r="BJ554" s="382"/>
      <c r="BK554" s="382"/>
      <c r="BL554" s="382"/>
      <c r="BM554" s="382"/>
      <c r="BN554" s="382"/>
      <c r="BO554" s="382"/>
      <c r="BP554" s="382"/>
      <c r="BQ554" s="382"/>
      <c r="BR554" s="382"/>
      <c r="BS554" s="382"/>
      <c r="BT554" s="382"/>
      <c r="BU554" s="496"/>
      <c r="BV554" s="382"/>
      <c r="BW554" s="382"/>
      <c r="BX554" s="382"/>
      <c r="BY554" s="382"/>
      <c r="BZ554" s="382"/>
      <c r="CA554" s="382"/>
      <c r="CB554" s="382"/>
      <c r="CC554" s="382"/>
      <c r="CD554" s="382"/>
      <c r="CE554" s="382"/>
      <c r="CF554" s="382"/>
      <c r="CG554" s="382"/>
      <c r="CH554" s="382"/>
      <c r="CI554" s="382"/>
      <c r="CJ554" s="382"/>
      <c r="CK554" s="382"/>
      <c r="CL554" s="382"/>
      <c r="CM554" s="382"/>
      <c r="CN554" s="382"/>
      <c r="CO554" s="382"/>
      <c r="CP554" s="382"/>
      <c r="CQ554" s="382"/>
      <c r="CR554" s="382"/>
      <c r="CS554" s="382"/>
      <c r="CT554" s="382"/>
      <c r="CU554" s="382"/>
      <c r="CV554" s="382"/>
      <c r="CW554" s="800"/>
      <c r="CX554" s="382"/>
      <c r="CY554" s="382"/>
      <c r="CZ554" s="382"/>
      <c r="DA554" s="382"/>
      <c r="DB554" s="382"/>
      <c r="DC554" s="382"/>
      <c r="DD554" s="382"/>
      <c r="DE554" s="382"/>
      <c r="DF554" s="382"/>
      <c r="DG554" s="382"/>
      <c r="DH554" s="382"/>
      <c r="DI554" s="382"/>
      <c r="DJ554" s="382"/>
      <c r="DK554" s="382"/>
      <c r="DL554" s="382"/>
      <c r="DM554" s="382"/>
      <c r="DN554" s="382"/>
      <c r="DO554" s="382"/>
      <c r="DP554" s="382"/>
      <c r="DQ554" s="382"/>
      <c r="DR554" s="382"/>
      <c r="DS554" s="382"/>
      <c r="DT554" s="382"/>
      <c r="DU554" s="382"/>
      <c r="DV554" s="382"/>
      <c r="DW554" s="382"/>
      <c r="DX554" s="382"/>
      <c r="DY554" s="382"/>
      <c r="DZ554" s="228"/>
    </row>
    <row r="555" spans="2:130" s="180" customFormat="1" x14ac:dyDescent="0.2">
      <c r="B555" s="800"/>
      <c r="C555" s="800"/>
      <c r="D555" s="800"/>
      <c r="E555" s="769"/>
      <c r="F555" s="769"/>
      <c r="G555" s="802"/>
      <c r="H555" s="802"/>
      <c r="I555" s="802"/>
      <c r="J555" s="802"/>
      <c r="K555" s="802"/>
      <c r="L555" s="802"/>
      <c r="M555" s="802"/>
      <c r="N555" s="802"/>
      <c r="O555" s="802"/>
      <c r="P555" s="802"/>
      <c r="Q555" s="802"/>
      <c r="R555" s="802"/>
      <c r="S555" s="802"/>
      <c r="T555" s="802"/>
      <c r="U555" s="802"/>
      <c r="V555" s="802"/>
      <c r="W555" s="802"/>
      <c r="X555" s="802"/>
      <c r="Y555" s="802"/>
      <c r="Z555" s="802"/>
      <c r="AA555" s="802"/>
      <c r="AB555" s="802"/>
      <c r="AC555" s="802"/>
      <c r="AD555" s="802"/>
      <c r="AE555" s="802"/>
      <c r="AF555" s="802"/>
      <c r="AG555" s="802"/>
      <c r="AH555" s="382"/>
      <c r="AI555" s="382"/>
      <c r="AJ555" s="382"/>
      <c r="AK555" s="382"/>
      <c r="AL555" s="382"/>
      <c r="AM555" s="382"/>
      <c r="AN555" s="382"/>
      <c r="AO555" s="382"/>
      <c r="AP555" s="382"/>
      <c r="AQ555" s="382"/>
      <c r="AR555" s="382"/>
      <c r="AS555" s="382"/>
      <c r="AT555" s="382"/>
      <c r="AU555" s="382"/>
      <c r="AV555" s="382"/>
      <c r="AW555" s="382"/>
      <c r="AX555" s="382"/>
      <c r="AY555" s="382"/>
      <c r="AZ555" s="382"/>
      <c r="BA555" s="382"/>
      <c r="BB555" s="382"/>
      <c r="BC555" s="382"/>
      <c r="BD555" s="382"/>
      <c r="BE555" s="382"/>
      <c r="BF555" s="382"/>
      <c r="BG555" s="382"/>
      <c r="BH555" s="382"/>
      <c r="BI555" s="382"/>
      <c r="BJ555" s="382"/>
      <c r="BK555" s="382"/>
      <c r="BL555" s="382"/>
      <c r="BM555" s="382"/>
      <c r="BN555" s="382"/>
      <c r="BO555" s="382"/>
      <c r="BP555" s="382"/>
      <c r="BQ555" s="382"/>
      <c r="BR555" s="382"/>
      <c r="BS555" s="382"/>
      <c r="BT555" s="382"/>
      <c r="BU555" s="496"/>
      <c r="BV555" s="382"/>
      <c r="BW555" s="382"/>
      <c r="BX555" s="382"/>
      <c r="BY555" s="382"/>
      <c r="BZ555" s="382"/>
      <c r="CA555" s="382"/>
      <c r="CB555" s="382"/>
      <c r="CC555" s="382"/>
      <c r="CD555" s="382"/>
      <c r="CE555" s="382"/>
      <c r="CF555" s="382"/>
      <c r="CG555" s="382"/>
      <c r="CH555" s="382"/>
      <c r="CI555" s="382"/>
      <c r="CJ555" s="382"/>
      <c r="CK555" s="382"/>
      <c r="CL555" s="382"/>
      <c r="CM555" s="382"/>
      <c r="CN555" s="382"/>
      <c r="CO555" s="382"/>
      <c r="CP555" s="382"/>
      <c r="CQ555" s="382"/>
      <c r="CR555" s="382"/>
      <c r="CS555" s="382"/>
      <c r="CT555" s="382"/>
      <c r="CU555" s="382"/>
      <c r="CV555" s="382"/>
      <c r="CW555" s="800"/>
      <c r="CX555" s="382"/>
      <c r="CY555" s="382"/>
      <c r="CZ555" s="382"/>
      <c r="DA555" s="382"/>
      <c r="DB555" s="382"/>
      <c r="DC555" s="382"/>
      <c r="DD555" s="382"/>
      <c r="DE555" s="382"/>
      <c r="DF555" s="382"/>
      <c r="DG555" s="382"/>
      <c r="DH555" s="382"/>
      <c r="DI555" s="382"/>
      <c r="DJ555" s="382"/>
      <c r="DK555" s="382"/>
      <c r="DL555" s="382"/>
      <c r="DM555" s="382"/>
      <c r="DN555" s="382"/>
      <c r="DO555" s="382"/>
      <c r="DP555" s="382"/>
      <c r="DQ555" s="382"/>
      <c r="DR555" s="382"/>
      <c r="DS555" s="382"/>
      <c r="DT555" s="382"/>
      <c r="DU555" s="382"/>
      <c r="DV555" s="382"/>
      <c r="DW555" s="382"/>
      <c r="DX555" s="382"/>
      <c r="DY555" s="382"/>
      <c r="DZ555" s="228"/>
    </row>
    <row r="556" spans="2:130" s="180" customFormat="1" x14ac:dyDescent="0.2">
      <c r="B556" s="800"/>
      <c r="C556" s="800"/>
      <c r="D556" s="800"/>
      <c r="E556" s="769"/>
      <c r="F556" s="769"/>
      <c r="G556" s="802"/>
      <c r="H556" s="802"/>
      <c r="I556" s="802"/>
      <c r="J556" s="802"/>
      <c r="K556" s="802"/>
      <c r="L556" s="802"/>
      <c r="M556" s="802"/>
      <c r="N556" s="802"/>
      <c r="O556" s="802"/>
      <c r="P556" s="802"/>
      <c r="Q556" s="802"/>
      <c r="R556" s="802"/>
      <c r="S556" s="802"/>
      <c r="T556" s="802"/>
      <c r="U556" s="802"/>
      <c r="V556" s="802"/>
      <c r="W556" s="802"/>
      <c r="X556" s="802"/>
      <c r="Y556" s="802"/>
      <c r="Z556" s="802"/>
      <c r="AA556" s="802"/>
      <c r="AB556" s="802"/>
      <c r="AC556" s="802"/>
      <c r="AD556" s="802"/>
      <c r="AE556" s="802"/>
      <c r="AF556" s="802"/>
      <c r="AG556" s="802"/>
      <c r="AH556" s="382"/>
      <c r="AI556" s="382"/>
      <c r="AJ556" s="382"/>
      <c r="AK556" s="382"/>
      <c r="AL556" s="382"/>
      <c r="AM556" s="382"/>
      <c r="AN556" s="382"/>
      <c r="AO556" s="382"/>
      <c r="AP556" s="382"/>
      <c r="AQ556" s="382"/>
      <c r="AR556" s="382"/>
      <c r="AS556" s="382"/>
      <c r="AT556" s="382"/>
      <c r="AU556" s="382"/>
      <c r="AV556" s="382"/>
      <c r="AW556" s="382"/>
      <c r="AX556" s="382"/>
      <c r="AY556" s="382"/>
      <c r="AZ556" s="382"/>
      <c r="BA556" s="382"/>
      <c r="BB556" s="382"/>
      <c r="BC556" s="382"/>
      <c r="BD556" s="382"/>
      <c r="BE556" s="382"/>
      <c r="BF556" s="382"/>
      <c r="BG556" s="382"/>
      <c r="BH556" s="382"/>
      <c r="BI556" s="382"/>
      <c r="BJ556" s="382"/>
      <c r="BK556" s="382"/>
      <c r="BL556" s="382"/>
      <c r="BM556" s="382"/>
      <c r="BN556" s="382"/>
      <c r="BO556" s="382"/>
      <c r="BP556" s="382"/>
      <c r="BQ556" s="382"/>
      <c r="BR556" s="382"/>
      <c r="BS556" s="382"/>
      <c r="BT556" s="382"/>
      <c r="BU556" s="496"/>
      <c r="BV556" s="382"/>
      <c r="BW556" s="382"/>
      <c r="BX556" s="382"/>
      <c r="BY556" s="382"/>
      <c r="BZ556" s="382"/>
      <c r="CA556" s="382"/>
      <c r="CB556" s="382"/>
      <c r="CC556" s="382"/>
      <c r="CD556" s="382"/>
      <c r="CE556" s="382"/>
      <c r="CF556" s="382"/>
      <c r="CG556" s="382"/>
      <c r="CH556" s="382"/>
      <c r="CI556" s="382"/>
      <c r="CJ556" s="382"/>
      <c r="CK556" s="382"/>
      <c r="CL556" s="382"/>
      <c r="CM556" s="382"/>
      <c r="CN556" s="382"/>
      <c r="CO556" s="382"/>
      <c r="CP556" s="382"/>
      <c r="CQ556" s="382"/>
      <c r="CR556" s="382"/>
      <c r="CS556" s="382"/>
      <c r="CT556" s="382"/>
      <c r="CU556" s="382"/>
      <c r="CV556" s="382"/>
      <c r="CW556" s="800"/>
      <c r="CX556" s="382"/>
      <c r="CY556" s="382"/>
      <c r="CZ556" s="382"/>
      <c r="DA556" s="382"/>
      <c r="DB556" s="382"/>
      <c r="DC556" s="382"/>
      <c r="DD556" s="382"/>
      <c r="DE556" s="382"/>
      <c r="DF556" s="382"/>
      <c r="DG556" s="382"/>
      <c r="DH556" s="382"/>
      <c r="DI556" s="382"/>
      <c r="DJ556" s="382"/>
      <c r="DK556" s="382"/>
      <c r="DL556" s="382"/>
      <c r="DM556" s="382"/>
      <c r="DN556" s="382"/>
      <c r="DO556" s="382"/>
      <c r="DP556" s="382"/>
      <c r="DQ556" s="382"/>
      <c r="DR556" s="382"/>
      <c r="DS556" s="382"/>
      <c r="DT556" s="382"/>
      <c r="DU556" s="382"/>
      <c r="DV556" s="382"/>
      <c r="DW556" s="382"/>
      <c r="DX556" s="382"/>
      <c r="DY556" s="382"/>
      <c r="DZ556" s="228"/>
    </row>
    <row r="557" spans="2:130" s="180" customFormat="1" x14ac:dyDescent="0.2">
      <c r="B557" s="800"/>
      <c r="C557" s="800"/>
      <c r="D557" s="800"/>
      <c r="E557" s="769"/>
      <c r="F557" s="769"/>
      <c r="G557" s="802"/>
      <c r="H557" s="802"/>
      <c r="I557" s="802"/>
      <c r="J557" s="802"/>
      <c r="K557" s="802"/>
      <c r="L557" s="802"/>
      <c r="M557" s="802"/>
      <c r="N557" s="802"/>
      <c r="O557" s="802"/>
      <c r="P557" s="802"/>
      <c r="Q557" s="802"/>
      <c r="R557" s="802"/>
      <c r="S557" s="802"/>
      <c r="T557" s="802"/>
      <c r="U557" s="802"/>
      <c r="V557" s="802"/>
      <c r="W557" s="802"/>
      <c r="X557" s="802"/>
      <c r="Y557" s="802"/>
      <c r="Z557" s="802"/>
      <c r="AA557" s="802"/>
      <c r="AB557" s="802"/>
      <c r="AC557" s="802"/>
      <c r="AD557" s="802"/>
      <c r="AE557" s="802"/>
      <c r="AF557" s="802"/>
      <c r="AG557" s="802"/>
      <c r="AH557" s="382"/>
      <c r="AI557" s="382"/>
      <c r="AJ557" s="382"/>
      <c r="AK557" s="382"/>
      <c r="AL557" s="382"/>
      <c r="AM557" s="382"/>
      <c r="AN557" s="382"/>
      <c r="AO557" s="382"/>
      <c r="AP557" s="382"/>
      <c r="AQ557" s="382"/>
      <c r="AR557" s="382"/>
      <c r="AS557" s="382"/>
      <c r="AT557" s="382"/>
      <c r="AU557" s="382"/>
      <c r="AV557" s="382"/>
      <c r="AW557" s="382"/>
      <c r="AX557" s="382"/>
      <c r="AY557" s="382"/>
      <c r="AZ557" s="382"/>
      <c r="BA557" s="382"/>
      <c r="BB557" s="382"/>
      <c r="BC557" s="382"/>
      <c r="BD557" s="382"/>
      <c r="BE557" s="382"/>
      <c r="BF557" s="382"/>
      <c r="BG557" s="382"/>
      <c r="BH557" s="382"/>
      <c r="BI557" s="382"/>
      <c r="BJ557" s="382"/>
      <c r="BK557" s="382"/>
      <c r="BL557" s="382"/>
      <c r="BM557" s="382"/>
      <c r="BN557" s="382"/>
      <c r="BO557" s="382"/>
      <c r="BP557" s="382"/>
      <c r="BQ557" s="382"/>
      <c r="BR557" s="382"/>
      <c r="BS557" s="382"/>
      <c r="BT557" s="382"/>
      <c r="BU557" s="496"/>
      <c r="BV557" s="382"/>
      <c r="BW557" s="382"/>
      <c r="BX557" s="382"/>
      <c r="BY557" s="382"/>
      <c r="BZ557" s="382"/>
      <c r="CA557" s="382"/>
      <c r="CB557" s="382"/>
      <c r="CC557" s="382"/>
      <c r="CD557" s="382"/>
      <c r="CE557" s="382"/>
      <c r="CF557" s="382"/>
      <c r="CG557" s="382"/>
      <c r="CH557" s="382"/>
      <c r="CI557" s="382"/>
      <c r="CJ557" s="382"/>
      <c r="CK557" s="382"/>
      <c r="CL557" s="382"/>
      <c r="CM557" s="382"/>
      <c r="CN557" s="382"/>
      <c r="CO557" s="382"/>
      <c r="CP557" s="382"/>
      <c r="CQ557" s="382"/>
      <c r="CR557" s="382"/>
      <c r="CS557" s="382"/>
      <c r="CT557" s="382"/>
      <c r="CU557" s="382"/>
      <c r="CV557" s="382"/>
      <c r="CW557" s="800"/>
      <c r="CX557" s="382"/>
      <c r="CY557" s="382"/>
      <c r="CZ557" s="382"/>
      <c r="DA557" s="382"/>
      <c r="DB557" s="382"/>
      <c r="DC557" s="382"/>
      <c r="DD557" s="382"/>
      <c r="DE557" s="382"/>
      <c r="DF557" s="382"/>
      <c r="DG557" s="382"/>
      <c r="DH557" s="382"/>
      <c r="DI557" s="382"/>
      <c r="DJ557" s="382"/>
      <c r="DK557" s="382"/>
      <c r="DL557" s="382"/>
      <c r="DM557" s="382"/>
      <c r="DN557" s="382"/>
      <c r="DO557" s="382"/>
      <c r="DP557" s="382"/>
      <c r="DQ557" s="382"/>
      <c r="DR557" s="382"/>
      <c r="DS557" s="382"/>
      <c r="DT557" s="382"/>
      <c r="DU557" s="382"/>
      <c r="DV557" s="382"/>
      <c r="DW557" s="382"/>
      <c r="DX557" s="382"/>
      <c r="DY557" s="382"/>
      <c r="DZ557" s="228"/>
    </row>
    <row r="558" spans="2:130" s="180" customFormat="1" x14ac:dyDescent="0.2">
      <c r="B558" s="800"/>
      <c r="C558" s="800"/>
      <c r="D558" s="800"/>
      <c r="E558" s="769"/>
      <c r="F558" s="769"/>
      <c r="G558" s="802"/>
      <c r="H558" s="802"/>
      <c r="I558" s="802"/>
      <c r="J558" s="802"/>
      <c r="K558" s="802"/>
      <c r="L558" s="802"/>
      <c r="M558" s="802"/>
      <c r="N558" s="802"/>
      <c r="O558" s="802"/>
      <c r="P558" s="802"/>
      <c r="Q558" s="802"/>
      <c r="R558" s="802"/>
      <c r="S558" s="802"/>
      <c r="T558" s="802"/>
      <c r="U558" s="802"/>
      <c r="V558" s="802"/>
      <c r="W558" s="802"/>
      <c r="X558" s="802"/>
      <c r="Y558" s="802"/>
      <c r="Z558" s="802"/>
      <c r="AA558" s="802"/>
      <c r="AB558" s="802"/>
      <c r="AC558" s="802"/>
      <c r="AD558" s="802"/>
      <c r="AE558" s="802"/>
      <c r="AF558" s="802"/>
      <c r="AG558" s="802"/>
      <c r="AH558" s="382"/>
      <c r="AI558" s="382"/>
      <c r="AJ558" s="382"/>
      <c r="AK558" s="382"/>
      <c r="AL558" s="382"/>
      <c r="AM558" s="382"/>
      <c r="AN558" s="382"/>
      <c r="AO558" s="382"/>
      <c r="AP558" s="382"/>
      <c r="AQ558" s="382"/>
      <c r="AR558" s="382"/>
      <c r="AS558" s="382"/>
      <c r="AT558" s="382"/>
      <c r="AU558" s="382"/>
      <c r="AV558" s="382"/>
      <c r="AW558" s="382"/>
      <c r="AX558" s="382"/>
      <c r="AY558" s="382"/>
      <c r="AZ558" s="382"/>
      <c r="BA558" s="382"/>
      <c r="BB558" s="382"/>
      <c r="BC558" s="382"/>
      <c r="BD558" s="382"/>
      <c r="BE558" s="382"/>
      <c r="BF558" s="382"/>
      <c r="BG558" s="382"/>
      <c r="BH558" s="382"/>
      <c r="BI558" s="382"/>
      <c r="BJ558" s="382"/>
      <c r="BK558" s="382"/>
      <c r="BL558" s="382"/>
      <c r="BM558" s="382"/>
      <c r="BN558" s="382"/>
      <c r="BO558" s="382"/>
      <c r="BP558" s="382"/>
      <c r="BQ558" s="382"/>
      <c r="BR558" s="382"/>
      <c r="BS558" s="382"/>
      <c r="BT558" s="382"/>
      <c r="BU558" s="496"/>
      <c r="BV558" s="382"/>
      <c r="BW558" s="382"/>
      <c r="BX558" s="382"/>
      <c r="BY558" s="382"/>
      <c r="BZ558" s="382"/>
      <c r="CA558" s="382"/>
      <c r="CB558" s="382"/>
      <c r="CC558" s="382"/>
      <c r="CD558" s="382"/>
      <c r="CE558" s="382"/>
      <c r="CF558" s="382"/>
      <c r="CG558" s="382"/>
      <c r="CH558" s="382"/>
      <c r="CI558" s="382"/>
      <c r="CJ558" s="382"/>
      <c r="CK558" s="382"/>
      <c r="CL558" s="382"/>
      <c r="CM558" s="382"/>
      <c r="CN558" s="382"/>
      <c r="CO558" s="382"/>
      <c r="CP558" s="382"/>
      <c r="CQ558" s="382"/>
      <c r="CR558" s="382"/>
      <c r="CS558" s="382"/>
      <c r="CT558" s="382"/>
      <c r="CU558" s="382"/>
      <c r="CV558" s="382"/>
      <c r="CW558" s="800"/>
      <c r="CX558" s="382"/>
      <c r="CY558" s="382"/>
      <c r="CZ558" s="382"/>
      <c r="DA558" s="382"/>
      <c r="DB558" s="382"/>
      <c r="DC558" s="382"/>
      <c r="DD558" s="382"/>
      <c r="DE558" s="382"/>
      <c r="DF558" s="382"/>
      <c r="DG558" s="382"/>
      <c r="DH558" s="382"/>
      <c r="DI558" s="382"/>
      <c r="DJ558" s="382"/>
      <c r="DK558" s="382"/>
      <c r="DL558" s="382"/>
      <c r="DM558" s="382"/>
      <c r="DN558" s="382"/>
      <c r="DO558" s="382"/>
      <c r="DP558" s="382"/>
      <c r="DQ558" s="382"/>
      <c r="DR558" s="382"/>
      <c r="DS558" s="382"/>
      <c r="DT558" s="382"/>
      <c r="DU558" s="382"/>
      <c r="DV558" s="382"/>
      <c r="DW558" s="382"/>
      <c r="DX558" s="382"/>
      <c r="DY558" s="382"/>
      <c r="DZ558" s="228"/>
    </row>
    <row r="559" spans="2:130" s="180" customFormat="1" x14ac:dyDescent="0.2">
      <c r="B559" s="800"/>
      <c r="C559" s="800"/>
      <c r="D559" s="800"/>
      <c r="E559" s="769"/>
      <c r="F559" s="769"/>
      <c r="G559" s="802"/>
      <c r="H559" s="802"/>
      <c r="I559" s="802"/>
      <c r="J559" s="802"/>
      <c r="K559" s="802"/>
      <c r="L559" s="802"/>
      <c r="M559" s="802"/>
      <c r="N559" s="802"/>
      <c r="O559" s="802"/>
      <c r="P559" s="802"/>
      <c r="Q559" s="802"/>
      <c r="R559" s="802"/>
      <c r="S559" s="802"/>
      <c r="T559" s="802"/>
      <c r="U559" s="802"/>
      <c r="V559" s="802"/>
      <c r="W559" s="802"/>
      <c r="X559" s="802"/>
      <c r="Y559" s="802"/>
      <c r="Z559" s="802"/>
      <c r="AA559" s="802"/>
      <c r="AB559" s="802"/>
      <c r="AC559" s="802"/>
      <c r="AD559" s="802"/>
      <c r="AE559" s="802"/>
      <c r="AF559" s="802"/>
      <c r="AG559" s="802"/>
      <c r="AH559" s="382"/>
      <c r="AI559" s="382"/>
      <c r="AJ559" s="382"/>
      <c r="AK559" s="382"/>
      <c r="AL559" s="382"/>
      <c r="AM559" s="382"/>
      <c r="AN559" s="382"/>
      <c r="AO559" s="382"/>
      <c r="AP559" s="382"/>
      <c r="AQ559" s="382"/>
      <c r="AR559" s="382"/>
      <c r="AS559" s="382"/>
      <c r="AT559" s="382"/>
      <c r="AU559" s="382"/>
      <c r="AV559" s="382"/>
      <c r="AW559" s="382"/>
      <c r="AX559" s="382"/>
      <c r="AY559" s="382"/>
      <c r="AZ559" s="382"/>
      <c r="BA559" s="382"/>
      <c r="BB559" s="382"/>
      <c r="BC559" s="382"/>
      <c r="BD559" s="382"/>
      <c r="BE559" s="382"/>
      <c r="BF559" s="382"/>
      <c r="BG559" s="382"/>
      <c r="BH559" s="382"/>
      <c r="BI559" s="382"/>
      <c r="BJ559" s="382"/>
      <c r="BK559" s="382"/>
      <c r="BL559" s="382"/>
      <c r="BM559" s="382"/>
      <c r="BN559" s="382"/>
      <c r="BO559" s="382"/>
      <c r="BP559" s="382"/>
      <c r="BQ559" s="382"/>
      <c r="BR559" s="382"/>
      <c r="BS559" s="382"/>
      <c r="BT559" s="382"/>
      <c r="BU559" s="496"/>
      <c r="BV559" s="382"/>
      <c r="BW559" s="382"/>
      <c r="BX559" s="382"/>
      <c r="BY559" s="382"/>
      <c r="BZ559" s="382"/>
      <c r="CA559" s="382"/>
      <c r="CB559" s="382"/>
      <c r="CC559" s="382"/>
      <c r="CD559" s="382"/>
      <c r="CE559" s="382"/>
      <c r="CF559" s="382"/>
      <c r="CG559" s="382"/>
      <c r="CH559" s="382"/>
      <c r="CI559" s="382"/>
      <c r="CJ559" s="382"/>
      <c r="CK559" s="382"/>
      <c r="CL559" s="382"/>
      <c r="CM559" s="382"/>
      <c r="CN559" s="382"/>
      <c r="CO559" s="382"/>
      <c r="CP559" s="382"/>
      <c r="CQ559" s="382"/>
      <c r="CR559" s="382"/>
      <c r="CS559" s="382"/>
      <c r="CT559" s="382"/>
      <c r="CU559" s="382"/>
      <c r="CV559" s="382"/>
      <c r="CW559" s="800"/>
      <c r="CX559" s="382"/>
      <c r="CY559" s="382"/>
      <c r="CZ559" s="382"/>
      <c r="DA559" s="382"/>
      <c r="DB559" s="382"/>
      <c r="DC559" s="382"/>
      <c r="DD559" s="382"/>
      <c r="DE559" s="382"/>
      <c r="DF559" s="382"/>
      <c r="DG559" s="382"/>
      <c r="DH559" s="382"/>
      <c r="DI559" s="382"/>
      <c r="DJ559" s="382"/>
      <c r="DK559" s="382"/>
      <c r="DL559" s="382"/>
      <c r="DM559" s="382"/>
      <c r="DN559" s="382"/>
      <c r="DO559" s="382"/>
      <c r="DP559" s="382"/>
      <c r="DQ559" s="382"/>
      <c r="DR559" s="382"/>
      <c r="DS559" s="382"/>
      <c r="DT559" s="382"/>
      <c r="DU559" s="382"/>
      <c r="DV559" s="382"/>
      <c r="DW559" s="382"/>
      <c r="DX559" s="382"/>
      <c r="DY559" s="382"/>
      <c r="DZ559" s="228"/>
    </row>
    <row r="560" spans="2:130" s="180" customFormat="1" x14ac:dyDescent="0.2">
      <c r="B560" s="800"/>
      <c r="C560" s="800"/>
      <c r="D560" s="800"/>
      <c r="E560" s="769"/>
      <c r="F560" s="769"/>
      <c r="G560" s="802"/>
      <c r="H560" s="802"/>
      <c r="I560" s="802"/>
      <c r="J560" s="802"/>
      <c r="K560" s="802"/>
      <c r="L560" s="802"/>
      <c r="M560" s="802"/>
      <c r="N560" s="802"/>
      <c r="O560" s="802"/>
      <c r="P560" s="802"/>
      <c r="Q560" s="802"/>
      <c r="R560" s="802"/>
      <c r="S560" s="802"/>
      <c r="T560" s="802"/>
      <c r="U560" s="802"/>
      <c r="V560" s="802"/>
      <c r="W560" s="802"/>
      <c r="X560" s="802"/>
      <c r="Y560" s="802"/>
      <c r="Z560" s="802"/>
      <c r="AA560" s="802"/>
      <c r="AB560" s="802"/>
      <c r="AC560" s="802"/>
      <c r="AD560" s="802"/>
      <c r="AE560" s="802"/>
      <c r="AF560" s="802"/>
      <c r="AG560" s="802"/>
      <c r="AH560" s="382"/>
      <c r="AI560" s="382"/>
      <c r="AJ560" s="382"/>
      <c r="AK560" s="382"/>
      <c r="AL560" s="382"/>
      <c r="AM560" s="382"/>
      <c r="AN560" s="382"/>
      <c r="AO560" s="382"/>
      <c r="AP560" s="382"/>
      <c r="AQ560" s="382"/>
      <c r="AR560" s="382"/>
      <c r="AS560" s="382"/>
      <c r="AT560" s="382"/>
      <c r="AU560" s="382"/>
      <c r="AV560" s="382"/>
      <c r="AW560" s="382"/>
      <c r="AX560" s="382"/>
      <c r="AY560" s="382"/>
      <c r="AZ560" s="382"/>
      <c r="BA560" s="382"/>
      <c r="BB560" s="382"/>
      <c r="BC560" s="382"/>
      <c r="BD560" s="382"/>
      <c r="BE560" s="382"/>
      <c r="BF560" s="382"/>
      <c r="BG560" s="382"/>
      <c r="BH560" s="382"/>
      <c r="BI560" s="382"/>
      <c r="BJ560" s="382"/>
      <c r="BK560" s="382"/>
      <c r="BL560" s="382"/>
      <c r="BM560" s="382"/>
      <c r="BN560" s="382"/>
      <c r="BO560" s="382"/>
      <c r="BP560" s="382"/>
      <c r="BQ560" s="382"/>
      <c r="BR560" s="382"/>
      <c r="BS560" s="382"/>
      <c r="BT560" s="382"/>
      <c r="BU560" s="496"/>
      <c r="BV560" s="382"/>
      <c r="BW560" s="382"/>
      <c r="BX560" s="382"/>
      <c r="BY560" s="382"/>
      <c r="BZ560" s="382"/>
      <c r="CA560" s="382"/>
      <c r="CB560" s="382"/>
      <c r="CC560" s="382"/>
      <c r="CD560" s="382"/>
      <c r="CE560" s="382"/>
      <c r="CF560" s="382"/>
      <c r="CG560" s="382"/>
      <c r="CH560" s="382"/>
      <c r="CI560" s="382"/>
      <c r="CJ560" s="382"/>
      <c r="CK560" s="382"/>
      <c r="CL560" s="382"/>
      <c r="CM560" s="382"/>
      <c r="CN560" s="382"/>
      <c r="CO560" s="382"/>
      <c r="CP560" s="382"/>
      <c r="CQ560" s="382"/>
      <c r="CR560" s="382"/>
      <c r="CS560" s="382"/>
      <c r="CT560" s="382"/>
      <c r="CU560" s="382"/>
      <c r="CV560" s="382"/>
      <c r="CW560" s="800"/>
      <c r="CX560" s="382"/>
      <c r="CY560" s="382"/>
      <c r="CZ560" s="382"/>
      <c r="DA560" s="382"/>
      <c r="DB560" s="382"/>
      <c r="DC560" s="382"/>
      <c r="DD560" s="382"/>
      <c r="DE560" s="382"/>
      <c r="DF560" s="382"/>
      <c r="DG560" s="382"/>
      <c r="DH560" s="382"/>
      <c r="DI560" s="382"/>
      <c r="DJ560" s="382"/>
      <c r="DK560" s="382"/>
      <c r="DL560" s="382"/>
      <c r="DM560" s="382"/>
      <c r="DN560" s="382"/>
      <c r="DO560" s="382"/>
      <c r="DP560" s="382"/>
      <c r="DQ560" s="382"/>
      <c r="DR560" s="382"/>
      <c r="DS560" s="382"/>
      <c r="DT560" s="382"/>
      <c r="DU560" s="382"/>
      <c r="DV560" s="382"/>
      <c r="DW560" s="382"/>
      <c r="DX560" s="382"/>
      <c r="DY560" s="382"/>
      <c r="DZ560" s="228"/>
    </row>
    <row r="561" spans="2:130" s="180" customFormat="1" x14ac:dyDescent="0.2">
      <c r="B561" s="800"/>
      <c r="C561" s="800"/>
      <c r="D561" s="800"/>
      <c r="E561" s="769"/>
      <c r="F561" s="769"/>
      <c r="G561" s="802"/>
      <c r="H561" s="802"/>
      <c r="I561" s="802"/>
      <c r="J561" s="802"/>
      <c r="K561" s="802"/>
      <c r="L561" s="802"/>
      <c r="M561" s="802"/>
      <c r="N561" s="802"/>
      <c r="O561" s="802"/>
      <c r="P561" s="802"/>
      <c r="Q561" s="802"/>
      <c r="R561" s="802"/>
      <c r="S561" s="802"/>
      <c r="T561" s="802"/>
      <c r="U561" s="802"/>
      <c r="V561" s="802"/>
      <c r="W561" s="802"/>
      <c r="X561" s="802"/>
      <c r="Y561" s="802"/>
      <c r="Z561" s="802"/>
      <c r="AA561" s="802"/>
      <c r="AB561" s="802"/>
      <c r="AC561" s="802"/>
      <c r="AD561" s="802"/>
      <c r="AE561" s="802"/>
      <c r="AF561" s="802"/>
      <c r="AG561" s="802"/>
      <c r="AH561" s="382"/>
      <c r="AI561" s="382"/>
      <c r="AJ561" s="382"/>
      <c r="AK561" s="382"/>
      <c r="AL561" s="382"/>
      <c r="AM561" s="382"/>
      <c r="AN561" s="382"/>
      <c r="AO561" s="382"/>
      <c r="AP561" s="382"/>
      <c r="AQ561" s="382"/>
      <c r="AR561" s="382"/>
      <c r="AS561" s="382"/>
      <c r="AT561" s="382"/>
      <c r="AU561" s="382"/>
      <c r="AV561" s="382"/>
      <c r="AW561" s="382"/>
      <c r="AX561" s="382"/>
      <c r="AY561" s="382"/>
      <c r="AZ561" s="382"/>
      <c r="BA561" s="382"/>
      <c r="BB561" s="382"/>
      <c r="BC561" s="382"/>
      <c r="BD561" s="382"/>
      <c r="BE561" s="382"/>
      <c r="BF561" s="382"/>
      <c r="BG561" s="382"/>
      <c r="BH561" s="382"/>
      <c r="BI561" s="382"/>
      <c r="BJ561" s="382"/>
      <c r="BK561" s="382"/>
      <c r="BL561" s="382"/>
      <c r="BM561" s="382"/>
      <c r="BN561" s="382"/>
      <c r="BO561" s="382"/>
      <c r="BP561" s="382"/>
      <c r="BQ561" s="382"/>
      <c r="BR561" s="382"/>
      <c r="BS561" s="382"/>
      <c r="BT561" s="382"/>
      <c r="BU561" s="496"/>
      <c r="BV561" s="382"/>
      <c r="BW561" s="382"/>
      <c r="BX561" s="382"/>
      <c r="BY561" s="382"/>
      <c r="BZ561" s="382"/>
      <c r="CA561" s="382"/>
      <c r="CB561" s="382"/>
      <c r="CC561" s="382"/>
      <c r="CD561" s="382"/>
      <c r="CE561" s="382"/>
      <c r="CF561" s="382"/>
      <c r="CG561" s="382"/>
      <c r="CH561" s="382"/>
      <c r="CI561" s="382"/>
      <c r="CJ561" s="382"/>
      <c r="CK561" s="382"/>
      <c r="CL561" s="382"/>
      <c r="CM561" s="382"/>
      <c r="CN561" s="382"/>
      <c r="CO561" s="382"/>
      <c r="CP561" s="382"/>
      <c r="CQ561" s="382"/>
      <c r="CR561" s="382"/>
      <c r="CS561" s="382"/>
      <c r="CT561" s="382"/>
      <c r="CU561" s="382"/>
      <c r="CV561" s="382"/>
      <c r="CW561" s="800"/>
      <c r="CX561" s="382"/>
      <c r="CY561" s="382"/>
      <c r="CZ561" s="382"/>
      <c r="DA561" s="382"/>
      <c r="DB561" s="382"/>
      <c r="DC561" s="382"/>
      <c r="DD561" s="382"/>
      <c r="DE561" s="382"/>
      <c r="DF561" s="382"/>
      <c r="DG561" s="382"/>
      <c r="DH561" s="382"/>
      <c r="DI561" s="382"/>
      <c r="DJ561" s="382"/>
      <c r="DK561" s="382"/>
      <c r="DL561" s="382"/>
      <c r="DM561" s="382"/>
      <c r="DN561" s="382"/>
      <c r="DO561" s="382"/>
      <c r="DP561" s="382"/>
      <c r="DQ561" s="382"/>
      <c r="DR561" s="382"/>
      <c r="DS561" s="382"/>
      <c r="DT561" s="382"/>
      <c r="DU561" s="382"/>
      <c r="DV561" s="382"/>
      <c r="DW561" s="382"/>
      <c r="DX561" s="382"/>
      <c r="DY561" s="382"/>
      <c r="DZ561" s="228"/>
    </row>
    <row r="562" spans="2:130" s="180" customFormat="1" x14ac:dyDescent="0.2">
      <c r="B562" s="800"/>
      <c r="C562" s="800"/>
      <c r="D562" s="800"/>
      <c r="E562" s="769"/>
      <c r="F562" s="769"/>
      <c r="G562" s="802"/>
      <c r="H562" s="802"/>
      <c r="I562" s="802"/>
      <c r="J562" s="802"/>
      <c r="K562" s="802"/>
      <c r="L562" s="802"/>
      <c r="M562" s="802"/>
      <c r="N562" s="802"/>
      <c r="O562" s="802"/>
      <c r="P562" s="802"/>
      <c r="Q562" s="802"/>
      <c r="R562" s="802"/>
      <c r="S562" s="802"/>
      <c r="T562" s="802"/>
      <c r="U562" s="802"/>
      <c r="V562" s="802"/>
      <c r="W562" s="802"/>
      <c r="X562" s="802"/>
      <c r="Y562" s="802"/>
      <c r="Z562" s="802"/>
      <c r="AA562" s="802"/>
      <c r="AB562" s="802"/>
      <c r="AC562" s="802"/>
      <c r="AD562" s="802"/>
      <c r="AE562" s="802"/>
      <c r="AF562" s="802"/>
      <c r="AG562" s="802"/>
      <c r="AH562" s="382"/>
      <c r="AI562" s="382"/>
      <c r="AJ562" s="382"/>
      <c r="AK562" s="382"/>
      <c r="AL562" s="382"/>
      <c r="AM562" s="382"/>
      <c r="AN562" s="382"/>
      <c r="AO562" s="382"/>
      <c r="AP562" s="382"/>
      <c r="AQ562" s="382"/>
      <c r="AR562" s="382"/>
      <c r="AS562" s="382"/>
      <c r="AT562" s="382"/>
      <c r="AU562" s="382"/>
      <c r="AV562" s="382"/>
      <c r="AW562" s="382"/>
      <c r="AX562" s="382"/>
      <c r="AY562" s="382"/>
      <c r="AZ562" s="382"/>
      <c r="BA562" s="382"/>
      <c r="BB562" s="382"/>
      <c r="BC562" s="382"/>
      <c r="BD562" s="382"/>
      <c r="BE562" s="382"/>
      <c r="BF562" s="382"/>
      <c r="BG562" s="382"/>
      <c r="BH562" s="382"/>
      <c r="BI562" s="382"/>
      <c r="BJ562" s="382"/>
      <c r="BK562" s="382"/>
      <c r="BL562" s="382"/>
      <c r="BM562" s="382"/>
      <c r="BN562" s="382"/>
      <c r="BO562" s="382"/>
      <c r="BP562" s="382"/>
      <c r="BQ562" s="382"/>
      <c r="BR562" s="382"/>
      <c r="BS562" s="382"/>
      <c r="BT562" s="382"/>
      <c r="BU562" s="496"/>
      <c r="BV562" s="382"/>
      <c r="BW562" s="382"/>
      <c r="BX562" s="382"/>
      <c r="BY562" s="382"/>
      <c r="BZ562" s="382"/>
      <c r="CA562" s="382"/>
      <c r="CB562" s="382"/>
      <c r="CC562" s="382"/>
      <c r="CD562" s="382"/>
      <c r="CE562" s="382"/>
      <c r="CF562" s="382"/>
      <c r="CG562" s="382"/>
      <c r="CH562" s="382"/>
      <c r="CI562" s="382"/>
      <c r="CJ562" s="382"/>
      <c r="CK562" s="382"/>
      <c r="CL562" s="382"/>
      <c r="CM562" s="382"/>
      <c r="CN562" s="382"/>
      <c r="CO562" s="382"/>
      <c r="CP562" s="382"/>
      <c r="CQ562" s="382"/>
      <c r="CR562" s="382"/>
      <c r="CS562" s="382"/>
      <c r="CT562" s="382"/>
      <c r="CU562" s="382"/>
      <c r="CV562" s="382"/>
      <c r="CW562" s="800"/>
      <c r="CX562" s="382"/>
      <c r="CY562" s="382"/>
      <c r="CZ562" s="382"/>
      <c r="DA562" s="382"/>
      <c r="DB562" s="382"/>
      <c r="DC562" s="382"/>
      <c r="DD562" s="382"/>
      <c r="DE562" s="382"/>
      <c r="DF562" s="382"/>
      <c r="DG562" s="382"/>
      <c r="DH562" s="382"/>
      <c r="DI562" s="382"/>
      <c r="DJ562" s="382"/>
      <c r="DK562" s="382"/>
      <c r="DL562" s="382"/>
      <c r="DM562" s="382"/>
      <c r="DN562" s="382"/>
      <c r="DO562" s="382"/>
      <c r="DP562" s="382"/>
      <c r="DQ562" s="382"/>
      <c r="DR562" s="382"/>
      <c r="DS562" s="382"/>
      <c r="DT562" s="382"/>
      <c r="DU562" s="382"/>
      <c r="DV562" s="382"/>
      <c r="DW562" s="382"/>
      <c r="DX562" s="382"/>
      <c r="DY562" s="382"/>
      <c r="DZ562" s="228"/>
    </row>
    <row r="563" spans="2:130" s="180" customFormat="1" x14ac:dyDescent="0.2">
      <c r="B563" s="800"/>
      <c r="C563" s="800"/>
      <c r="D563" s="800"/>
      <c r="E563" s="769"/>
      <c r="F563" s="769"/>
      <c r="G563" s="802"/>
      <c r="H563" s="802"/>
      <c r="I563" s="802"/>
      <c r="J563" s="802"/>
      <c r="K563" s="802"/>
      <c r="L563" s="802"/>
      <c r="M563" s="802"/>
      <c r="N563" s="802"/>
      <c r="O563" s="802"/>
      <c r="P563" s="802"/>
      <c r="Q563" s="802"/>
      <c r="R563" s="802"/>
      <c r="S563" s="802"/>
      <c r="T563" s="802"/>
      <c r="U563" s="802"/>
      <c r="V563" s="802"/>
      <c r="W563" s="802"/>
      <c r="X563" s="802"/>
      <c r="Y563" s="802"/>
      <c r="Z563" s="802"/>
      <c r="AA563" s="802"/>
      <c r="AB563" s="802"/>
      <c r="AC563" s="802"/>
      <c r="AD563" s="802"/>
      <c r="AE563" s="802"/>
      <c r="AF563" s="802"/>
      <c r="AG563" s="802"/>
      <c r="AH563" s="382"/>
      <c r="AI563" s="382"/>
      <c r="AJ563" s="382"/>
      <c r="AK563" s="382"/>
      <c r="AL563" s="382"/>
      <c r="AM563" s="382"/>
      <c r="AN563" s="382"/>
      <c r="AO563" s="382"/>
      <c r="AP563" s="382"/>
      <c r="AQ563" s="382"/>
      <c r="AR563" s="382"/>
      <c r="AS563" s="382"/>
      <c r="AT563" s="382"/>
      <c r="AU563" s="382"/>
      <c r="AV563" s="382"/>
      <c r="AW563" s="382"/>
      <c r="AX563" s="382"/>
      <c r="AY563" s="382"/>
      <c r="AZ563" s="382"/>
      <c r="BA563" s="382"/>
      <c r="BB563" s="382"/>
      <c r="BC563" s="382"/>
      <c r="BD563" s="382"/>
      <c r="BE563" s="382"/>
      <c r="BF563" s="382"/>
      <c r="BG563" s="382"/>
      <c r="BH563" s="382"/>
      <c r="BI563" s="382"/>
      <c r="BJ563" s="382"/>
      <c r="BK563" s="382"/>
      <c r="BL563" s="382"/>
      <c r="BM563" s="382"/>
      <c r="BN563" s="382"/>
      <c r="BO563" s="382"/>
      <c r="BP563" s="382"/>
      <c r="BQ563" s="382"/>
      <c r="BR563" s="382"/>
      <c r="BS563" s="382"/>
      <c r="BT563" s="382"/>
      <c r="BU563" s="496"/>
      <c r="BV563" s="382"/>
      <c r="BW563" s="382"/>
      <c r="BX563" s="382"/>
      <c r="BY563" s="382"/>
      <c r="BZ563" s="382"/>
      <c r="CA563" s="382"/>
      <c r="CB563" s="382"/>
      <c r="CC563" s="382"/>
      <c r="CD563" s="382"/>
      <c r="CE563" s="382"/>
      <c r="CF563" s="382"/>
      <c r="CG563" s="382"/>
      <c r="CH563" s="382"/>
      <c r="CI563" s="382"/>
      <c r="CJ563" s="382"/>
      <c r="CK563" s="382"/>
      <c r="CL563" s="382"/>
      <c r="CM563" s="382"/>
      <c r="CN563" s="382"/>
      <c r="CO563" s="382"/>
      <c r="CP563" s="382"/>
      <c r="CQ563" s="382"/>
      <c r="CR563" s="382"/>
      <c r="CS563" s="382"/>
      <c r="CT563" s="382"/>
      <c r="CU563" s="382"/>
      <c r="CV563" s="382"/>
      <c r="CW563" s="800"/>
      <c r="CX563" s="382"/>
      <c r="CY563" s="382"/>
      <c r="CZ563" s="382"/>
      <c r="DA563" s="382"/>
      <c r="DB563" s="382"/>
      <c r="DC563" s="382"/>
      <c r="DD563" s="382"/>
      <c r="DE563" s="382"/>
      <c r="DF563" s="382"/>
      <c r="DG563" s="382"/>
      <c r="DH563" s="382"/>
      <c r="DI563" s="382"/>
      <c r="DJ563" s="382"/>
      <c r="DK563" s="382"/>
      <c r="DL563" s="382"/>
      <c r="DM563" s="382"/>
      <c r="DN563" s="382"/>
      <c r="DO563" s="382"/>
      <c r="DP563" s="382"/>
      <c r="DQ563" s="382"/>
      <c r="DR563" s="382"/>
      <c r="DS563" s="382"/>
      <c r="DT563" s="382"/>
      <c r="DU563" s="382"/>
      <c r="DV563" s="382"/>
      <c r="DW563" s="382"/>
      <c r="DX563" s="382"/>
      <c r="DY563" s="382"/>
      <c r="DZ563" s="228"/>
    </row>
    <row r="564" spans="2:130" s="180" customFormat="1" x14ac:dyDescent="0.2">
      <c r="B564" s="800"/>
      <c r="C564" s="800"/>
      <c r="D564" s="800"/>
      <c r="E564" s="769"/>
      <c r="F564" s="769"/>
      <c r="G564" s="802"/>
      <c r="H564" s="802"/>
      <c r="I564" s="802"/>
      <c r="J564" s="802"/>
      <c r="K564" s="802"/>
      <c r="L564" s="802"/>
      <c r="M564" s="802"/>
      <c r="N564" s="802"/>
      <c r="O564" s="802"/>
      <c r="P564" s="802"/>
      <c r="Q564" s="802"/>
      <c r="R564" s="802"/>
      <c r="S564" s="802"/>
      <c r="T564" s="802"/>
      <c r="U564" s="802"/>
      <c r="V564" s="802"/>
      <c r="W564" s="802"/>
      <c r="X564" s="802"/>
      <c r="Y564" s="802"/>
      <c r="Z564" s="802"/>
      <c r="AA564" s="802"/>
      <c r="AB564" s="802"/>
      <c r="AC564" s="802"/>
      <c r="AD564" s="802"/>
      <c r="AE564" s="802"/>
      <c r="AF564" s="802"/>
      <c r="AG564" s="802"/>
      <c r="AH564" s="382"/>
      <c r="AI564" s="382"/>
      <c r="AJ564" s="382"/>
      <c r="AK564" s="382"/>
      <c r="AL564" s="382"/>
      <c r="AM564" s="382"/>
      <c r="AN564" s="382"/>
      <c r="AO564" s="382"/>
      <c r="AP564" s="382"/>
      <c r="AQ564" s="382"/>
      <c r="AR564" s="382"/>
      <c r="AS564" s="382"/>
      <c r="AT564" s="382"/>
      <c r="AU564" s="382"/>
      <c r="AV564" s="382"/>
      <c r="AW564" s="382"/>
      <c r="AX564" s="382"/>
      <c r="AY564" s="382"/>
      <c r="AZ564" s="382"/>
      <c r="BA564" s="382"/>
      <c r="BB564" s="382"/>
      <c r="BC564" s="382"/>
      <c r="BD564" s="382"/>
      <c r="BE564" s="382"/>
      <c r="BF564" s="382"/>
      <c r="BG564" s="382"/>
      <c r="BH564" s="382"/>
      <c r="BI564" s="382"/>
      <c r="BJ564" s="382"/>
      <c r="BK564" s="382"/>
      <c r="BL564" s="382"/>
      <c r="BM564" s="382"/>
      <c r="BN564" s="382"/>
      <c r="BO564" s="382"/>
      <c r="BP564" s="382"/>
      <c r="BQ564" s="382"/>
      <c r="BR564" s="382"/>
      <c r="BS564" s="382"/>
      <c r="BT564" s="382"/>
      <c r="BU564" s="496"/>
      <c r="BV564" s="382"/>
      <c r="BW564" s="382"/>
      <c r="BX564" s="382"/>
      <c r="BY564" s="382"/>
      <c r="BZ564" s="382"/>
      <c r="CA564" s="382"/>
      <c r="CB564" s="382"/>
      <c r="CC564" s="382"/>
      <c r="CD564" s="382"/>
      <c r="CE564" s="382"/>
      <c r="CF564" s="382"/>
      <c r="CG564" s="382"/>
      <c r="CH564" s="382"/>
      <c r="CI564" s="382"/>
      <c r="CJ564" s="382"/>
      <c r="CK564" s="382"/>
      <c r="CL564" s="382"/>
      <c r="CM564" s="382"/>
      <c r="CN564" s="382"/>
      <c r="CO564" s="382"/>
      <c r="CP564" s="382"/>
      <c r="CQ564" s="382"/>
      <c r="CR564" s="382"/>
      <c r="CS564" s="382"/>
      <c r="CT564" s="382"/>
      <c r="CU564" s="382"/>
      <c r="CV564" s="382"/>
      <c r="CW564" s="800"/>
      <c r="CX564" s="382"/>
      <c r="CY564" s="382"/>
      <c r="CZ564" s="382"/>
      <c r="DA564" s="382"/>
      <c r="DB564" s="382"/>
      <c r="DC564" s="382"/>
      <c r="DD564" s="382"/>
      <c r="DE564" s="382"/>
      <c r="DF564" s="382"/>
      <c r="DG564" s="382"/>
      <c r="DH564" s="382"/>
      <c r="DI564" s="382"/>
      <c r="DJ564" s="382"/>
      <c r="DK564" s="382"/>
      <c r="DL564" s="382"/>
      <c r="DM564" s="382"/>
      <c r="DN564" s="382"/>
      <c r="DO564" s="382"/>
      <c r="DP564" s="382"/>
      <c r="DQ564" s="382"/>
      <c r="DR564" s="382"/>
      <c r="DS564" s="382"/>
      <c r="DT564" s="382"/>
      <c r="DU564" s="382"/>
      <c r="DV564" s="382"/>
      <c r="DW564" s="382"/>
      <c r="DX564" s="382"/>
      <c r="DY564" s="382"/>
      <c r="DZ564" s="228"/>
    </row>
    <row r="565" spans="2:130" s="180" customFormat="1" x14ac:dyDescent="0.2">
      <c r="B565" s="800"/>
      <c r="C565" s="800"/>
      <c r="D565" s="800"/>
      <c r="E565" s="769"/>
      <c r="F565" s="769"/>
      <c r="G565" s="802"/>
      <c r="H565" s="802"/>
      <c r="I565" s="802"/>
      <c r="J565" s="802"/>
      <c r="K565" s="802"/>
      <c r="L565" s="802"/>
      <c r="M565" s="802"/>
      <c r="N565" s="802"/>
      <c r="O565" s="802"/>
      <c r="P565" s="802"/>
      <c r="Q565" s="802"/>
      <c r="R565" s="802"/>
      <c r="S565" s="802"/>
      <c r="T565" s="802"/>
      <c r="U565" s="802"/>
      <c r="V565" s="802"/>
      <c r="W565" s="802"/>
      <c r="X565" s="802"/>
      <c r="Y565" s="802"/>
      <c r="Z565" s="802"/>
      <c r="AA565" s="802"/>
      <c r="AB565" s="802"/>
      <c r="AC565" s="802"/>
      <c r="AD565" s="802"/>
      <c r="AE565" s="802"/>
      <c r="AF565" s="802"/>
      <c r="AG565" s="802"/>
      <c r="AH565" s="382"/>
      <c r="AI565" s="382"/>
      <c r="AJ565" s="382"/>
      <c r="AK565" s="382"/>
      <c r="AL565" s="382"/>
      <c r="AM565" s="382"/>
      <c r="AN565" s="382"/>
      <c r="AO565" s="382"/>
      <c r="AP565" s="382"/>
      <c r="AQ565" s="382"/>
      <c r="AR565" s="382"/>
      <c r="AS565" s="382"/>
      <c r="AT565" s="382"/>
      <c r="AU565" s="382"/>
      <c r="AV565" s="382"/>
      <c r="AW565" s="382"/>
      <c r="AX565" s="382"/>
      <c r="AY565" s="382"/>
      <c r="AZ565" s="382"/>
      <c r="BA565" s="382"/>
      <c r="BB565" s="382"/>
      <c r="BC565" s="382"/>
      <c r="BD565" s="382"/>
      <c r="BE565" s="382"/>
      <c r="BF565" s="382"/>
      <c r="BG565" s="382"/>
      <c r="BH565" s="382"/>
      <c r="BI565" s="382"/>
      <c r="BJ565" s="382"/>
      <c r="BK565" s="382"/>
      <c r="BL565" s="382"/>
      <c r="BM565" s="382"/>
      <c r="BN565" s="382"/>
      <c r="BO565" s="382"/>
      <c r="BP565" s="382"/>
      <c r="BQ565" s="382"/>
      <c r="BR565" s="382"/>
      <c r="BS565" s="382"/>
      <c r="BT565" s="382"/>
      <c r="BU565" s="496"/>
      <c r="BV565" s="382"/>
      <c r="BW565" s="382"/>
      <c r="BX565" s="382"/>
      <c r="BY565" s="382"/>
      <c r="BZ565" s="382"/>
      <c r="CA565" s="382"/>
      <c r="CB565" s="382"/>
      <c r="CC565" s="382"/>
      <c r="CD565" s="382"/>
      <c r="CE565" s="382"/>
      <c r="CF565" s="382"/>
      <c r="CG565" s="382"/>
      <c r="CH565" s="382"/>
      <c r="CI565" s="382"/>
      <c r="CJ565" s="382"/>
      <c r="CK565" s="382"/>
      <c r="CL565" s="382"/>
      <c r="CM565" s="382"/>
      <c r="CN565" s="382"/>
      <c r="CO565" s="382"/>
      <c r="CP565" s="382"/>
      <c r="CQ565" s="382"/>
      <c r="CR565" s="382"/>
      <c r="CS565" s="382"/>
      <c r="CT565" s="382"/>
      <c r="CU565" s="382"/>
      <c r="CV565" s="382"/>
      <c r="CW565" s="800"/>
      <c r="CX565" s="382"/>
      <c r="CY565" s="382"/>
      <c r="CZ565" s="382"/>
      <c r="DA565" s="382"/>
      <c r="DB565" s="382"/>
      <c r="DC565" s="382"/>
      <c r="DD565" s="382"/>
      <c r="DE565" s="382"/>
      <c r="DF565" s="382"/>
      <c r="DG565" s="382"/>
      <c r="DH565" s="382"/>
      <c r="DI565" s="382"/>
      <c r="DJ565" s="382"/>
      <c r="DK565" s="382"/>
      <c r="DL565" s="382"/>
      <c r="DM565" s="382"/>
      <c r="DN565" s="382"/>
      <c r="DO565" s="382"/>
      <c r="DP565" s="382"/>
      <c r="DQ565" s="382"/>
      <c r="DR565" s="382"/>
      <c r="DS565" s="382"/>
      <c r="DT565" s="382"/>
      <c r="DU565" s="382"/>
      <c r="DV565" s="382"/>
      <c r="DW565" s="382"/>
      <c r="DX565" s="382"/>
      <c r="DY565" s="382"/>
      <c r="DZ565" s="228"/>
    </row>
    <row r="566" spans="2:130" s="180" customFormat="1" x14ac:dyDescent="0.2">
      <c r="B566" s="800"/>
      <c r="C566" s="800"/>
      <c r="D566" s="800"/>
      <c r="E566" s="769"/>
      <c r="F566" s="769"/>
      <c r="G566" s="802"/>
      <c r="H566" s="802"/>
      <c r="I566" s="802"/>
      <c r="J566" s="802"/>
      <c r="K566" s="802"/>
      <c r="L566" s="802"/>
      <c r="M566" s="802"/>
      <c r="N566" s="802"/>
      <c r="O566" s="802"/>
      <c r="P566" s="802"/>
      <c r="Q566" s="802"/>
      <c r="R566" s="802"/>
      <c r="S566" s="802"/>
      <c r="T566" s="802"/>
      <c r="U566" s="802"/>
      <c r="V566" s="802"/>
      <c r="W566" s="802"/>
      <c r="X566" s="802"/>
      <c r="Y566" s="802"/>
      <c r="Z566" s="802"/>
      <c r="AA566" s="802"/>
      <c r="AB566" s="802"/>
      <c r="AC566" s="802"/>
      <c r="AD566" s="802"/>
      <c r="AE566" s="802"/>
      <c r="AF566" s="802"/>
      <c r="AG566" s="802"/>
      <c r="AH566" s="382"/>
      <c r="AI566" s="382"/>
      <c r="AJ566" s="382"/>
      <c r="AK566" s="382"/>
      <c r="AL566" s="382"/>
      <c r="AM566" s="382"/>
      <c r="AN566" s="382"/>
      <c r="AO566" s="382"/>
      <c r="AP566" s="382"/>
      <c r="AQ566" s="382"/>
      <c r="AR566" s="382"/>
      <c r="AS566" s="382"/>
      <c r="AT566" s="382"/>
      <c r="AU566" s="382"/>
      <c r="AV566" s="382"/>
      <c r="AW566" s="382"/>
      <c r="AX566" s="382"/>
      <c r="AY566" s="382"/>
      <c r="AZ566" s="382"/>
      <c r="BA566" s="382"/>
      <c r="BB566" s="382"/>
      <c r="BC566" s="382"/>
      <c r="BD566" s="382"/>
      <c r="BE566" s="382"/>
      <c r="BF566" s="382"/>
      <c r="BG566" s="382"/>
      <c r="BH566" s="382"/>
      <c r="BI566" s="382"/>
      <c r="BJ566" s="382"/>
      <c r="BK566" s="382"/>
      <c r="BL566" s="382"/>
      <c r="BM566" s="382"/>
      <c r="BN566" s="382"/>
      <c r="BO566" s="382"/>
      <c r="BP566" s="382"/>
      <c r="BQ566" s="382"/>
      <c r="BR566" s="382"/>
      <c r="BS566" s="382"/>
      <c r="BT566" s="382"/>
      <c r="BU566" s="496"/>
      <c r="BV566" s="382"/>
      <c r="BW566" s="382"/>
      <c r="BX566" s="382"/>
      <c r="BY566" s="382"/>
      <c r="BZ566" s="382"/>
      <c r="CA566" s="382"/>
      <c r="CB566" s="382"/>
      <c r="CC566" s="382"/>
      <c r="CD566" s="382"/>
      <c r="CE566" s="382"/>
      <c r="CF566" s="382"/>
      <c r="CG566" s="382"/>
      <c r="CH566" s="382"/>
      <c r="CI566" s="382"/>
      <c r="CJ566" s="382"/>
      <c r="CK566" s="382"/>
      <c r="CL566" s="382"/>
      <c r="CM566" s="382"/>
      <c r="CN566" s="382"/>
      <c r="CO566" s="382"/>
      <c r="CP566" s="382"/>
      <c r="CQ566" s="382"/>
      <c r="CR566" s="382"/>
      <c r="CS566" s="382"/>
      <c r="CT566" s="382"/>
      <c r="CU566" s="382"/>
      <c r="CV566" s="382"/>
      <c r="CW566" s="800"/>
      <c r="CX566" s="382"/>
      <c r="CY566" s="382"/>
      <c r="CZ566" s="382"/>
      <c r="DA566" s="382"/>
      <c r="DB566" s="382"/>
      <c r="DC566" s="382"/>
      <c r="DD566" s="382"/>
      <c r="DE566" s="382"/>
      <c r="DF566" s="382"/>
      <c r="DG566" s="382"/>
      <c r="DH566" s="382"/>
      <c r="DI566" s="382"/>
      <c r="DJ566" s="382"/>
      <c r="DK566" s="382"/>
      <c r="DL566" s="382"/>
      <c r="DM566" s="382"/>
      <c r="DN566" s="382"/>
      <c r="DO566" s="382"/>
      <c r="DP566" s="382"/>
      <c r="DQ566" s="382"/>
      <c r="DR566" s="382"/>
      <c r="DS566" s="382"/>
      <c r="DT566" s="382"/>
      <c r="DU566" s="382"/>
      <c r="DV566" s="382"/>
      <c r="DW566" s="382"/>
      <c r="DX566" s="382"/>
      <c r="DY566" s="382"/>
      <c r="DZ566" s="228"/>
    </row>
    <row r="567" spans="2:130" s="180" customFormat="1" x14ac:dyDescent="0.2">
      <c r="B567" s="800"/>
      <c r="C567" s="800"/>
      <c r="D567" s="800"/>
      <c r="E567" s="769"/>
      <c r="F567" s="769"/>
      <c r="G567" s="802"/>
      <c r="H567" s="802"/>
      <c r="I567" s="802"/>
      <c r="J567" s="802"/>
      <c r="K567" s="802"/>
      <c r="L567" s="802"/>
      <c r="M567" s="802"/>
      <c r="N567" s="802"/>
      <c r="O567" s="802"/>
      <c r="P567" s="802"/>
      <c r="Q567" s="802"/>
      <c r="R567" s="802"/>
      <c r="S567" s="802"/>
      <c r="T567" s="802"/>
      <c r="U567" s="802"/>
      <c r="V567" s="802"/>
      <c r="W567" s="802"/>
      <c r="X567" s="802"/>
      <c r="Y567" s="802"/>
      <c r="Z567" s="802"/>
      <c r="AA567" s="802"/>
      <c r="AB567" s="802"/>
      <c r="AC567" s="802"/>
      <c r="AD567" s="802"/>
      <c r="AE567" s="802"/>
      <c r="AF567" s="802"/>
      <c r="AG567" s="802"/>
      <c r="AH567" s="382"/>
      <c r="AI567" s="382"/>
      <c r="AJ567" s="382"/>
      <c r="AK567" s="382"/>
      <c r="AL567" s="382"/>
      <c r="AM567" s="382"/>
      <c r="AN567" s="382"/>
      <c r="AO567" s="382"/>
      <c r="AP567" s="382"/>
      <c r="AQ567" s="382"/>
      <c r="AR567" s="382"/>
      <c r="AS567" s="382"/>
      <c r="AT567" s="382"/>
      <c r="AU567" s="382"/>
      <c r="AV567" s="382"/>
      <c r="AW567" s="382"/>
      <c r="AX567" s="382"/>
      <c r="AY567" s="382"/>
      <c r="AZ567" s="382"/>
      <c r="BA567" s="382"/>
      <c r="BB567" s="382"/>
      <c r="BC567" s="382"/>
      <c r="BD567" s="382"/>
      <c r="BE567" s="382"/>
      <c r="BF567" s="382"/>
      <c r="BG567" s="382"/>
      <c r="BH567" s="382"/>
      <c r="BI567" s="382"/>
      <c r="BJ567" s="382"/>
      <c r="BK567" s="382"/>
      <c r="BL567" s="382"/>
      <c r="BM567" s="382"/>
      <c r="BN567" s="382"/>
      <c r="BO567" s="382"/>
      <c r="BP567" s="382"/>
      <c r="BQ567" s="382"/>
      <c r="BR567" s="382"/>
      <c r="BS567" s="382"/>
      <c r="BT567" s="382"/>
      <c r="BU567" s="496"/>
      <c r="BV567" s="382"/>
      <c r="BW567" s="382"/>
      <c r="BX567" s="382"/>
      <c r="BY567" s="382"/>
      <c r="BZ567" s="382"/>
      <c r="CA567" s="382"/>
      <c r="CB567" s="382"/>
      <c r="CC567" s="382"/>
      <c r="CD567" s="382"/>
      <c r="CE567" s="382"/>
      <c r="CF567" s="382"/>
      <c r="CG567" s="382"/>
      <c r="CH567" s="382"/>
      <c r="CI567" s="382"/>
      <c r="CJ567" s="382"/>
      <c r="CK567" s="382"/>
      <c r="CL567" s="382"/>
      <c r="CM567" s="382"/>
      <c r="CN567" s="382"/>
      <c r="CO567" s="382"/>
      <c r="CP567" s="382"/>
      <c r="CQ567" s="382"/>
      <c r="CR567" s="382"/>
      <c r="CS567" s="382"/>
      <c r="CT567" s="382"/>
      <c r="CU567" s="382"/>
      <c r="CV567" s="382"/>
      <c r="CW567" s="800"/>
      <c r="CX567" s="382"/>
      <c r="CY567" s="382"/>
      <c r="CZ567" s="382"/>
      <c r="DA567" s="382"/>
      <c r="DB567" s="382"/>
      <c r="DC567" s="382"/>
      <c r="DD567" s="382"/>
      <c r="DE567" s="382"/>
      <c r="DF567" s="382"/>
      <c r="DG567" s="382"/>
      <c r="DH567" s="382"/>
      <c r="DI567" s="382"/>
      <c r="DJ567" s="382"/>
      <c r="DK567" s="382"/>
      <c r="DL567" s="382"/>
      <c r="DM567" s="382"/>
      <c r="DN567" s="382"/>
      <c r="DO567" s="382"/>
      <c r="DP567" s="382"/>
      <c r="DQ567" s="382"/>
      <c r="DR567" s="382"/>
      <c r="DS567" s="382"/>
      <c r="DT567" s="382"/>
      <c r="DU567" s="382"/>
      <c r="DV567" s="382"/>
      <c r="DW567" s="382"/>
      <c r="DX567" s="382"/>
      <c r="DY567" s="382"/>
      <c r="DZ567" s="228"/>
    </row>
    <row r="568" spans="2:130" s="180" customFormat="1" x14ac:dyDescent="0.2">
      <c r="B568" s="800"/>
      <c r="C568" s="800"/>
      <c r="D568" s="800"/>
      <c r="E568" s="769"/>
      <c r="F568" s="769"/>
      <c r="G568" s="802"/>
      <c r="H568" s="802"/>
      <c r="I568" s="802"/>
      <c r="J568" s="802"/>
      <c r="K568" s="802"/>
      <c r="L568" s="802"/>
      <c r="M568" s="802"/>
      <c r="N568" s="802"/>
      <c r="O568" s="802"/>
      <c r="P568" s="802"/>
      <c r="Q568" s="802"/>
      <c r="R568" s="802"/>
      <c r="S568" s="802"/>
      <c r="T568" s="802"/>
      <c r="U568" s="802"/>
      <c r="V568" s="802"/>
      <c r="W568" s="802"/>
      <c r="X568" s="802"/>
      <c r="Y568" s="802"/>
      <c r="Z568" s="802"/>
      <c r="AA568" s="802"/>
      <c r="AB568" s="802"/>
      <c r="AC568" s="802"/>
      <c r="AD568" s="802"/>
      <c r="AE568" s="802"/>
      <c r="AF568" s="802"/>
      <c r="AG568" s="802"/>
      <c r="AH568" s="382"/>
      <c r="AI568" s="382"/>
      <c r="AJ568" s="382"/>
      <c r="AK568" s="382"/>
      <c r="AL568" s="382"/>
      <c r="AM568" s="382"/>
      <c r="AN568" s="382"/>
      <c r="AO568" s="382"/>
      <c r="AP568" s="382"/>
      <c r="AQ568" s="382"/>
      <c r="AR568" s="382"/>
      <c r="AS568" s="382"/>
      <c r="AT568" s="382"/>
      <c r="AU568" s="382"/>
      <c r="AV568" s="382"/>
      <c r="AW568" s="382"/>
      <c r="AX568" s="382"/>
      <c r="AY568" s="382"/>
      <c r="AZ568" s="382"/>
      <c r="BA568" s="382"/>
      <c r="BB568" s="382"/>
      <c r="BC568" s="382"/>
      <c r="BD568" s="382"/>
      <c r="BE568" s="382"/>
      <c r="BF568" s="382"/>
      <c r="BG568" s="382"/>
      <c r="BH568" s="382"/>
      <c r="BI568" s="382"/>
      <c r="BJ568" s="382"/>
      <c r="BK568" s="382"/>
      <c r="BL568" s="382"/>
      <c r="BM568" s="382"/>
      <c r="BN568" s="382"/>
      <c r="BO568" s="382"/>
      <c r="BP568" s="382"/>
      <c r="BQ568" s="382"/>
      <c r="BR568" s="382"/>
      <c r="BS568" s="382"/>
      <c r="BT568" s="382"/>
      <c r="BU568" s="496"/>
      <c r="BV568" s="382"/>
      <c r="BW568" s="382"/>
      <c r="BX568" s="382"/>
      <c r="BY568" s="382"/>
      <c r="BZ568" s="382"/>
      <c r="CA568" s="382"/>
      <c r="CB568" s="382"/>
      <c r="CC568" s="382"/>
      <c r="CD568" s="382"/>
      <c r="CE568" s="382"/>
      <c r="CF568" s="382"/>
      <c r="CG568" s="382"/>
      <c r="CH568" s="382"/>
      <c r="CI568" s="382"/>
      <c r="CJ568" s="382"/>
      <c r="CK568" s="382"/>
      <c r="CL568" s="382"/>
      <c r="CM568" s="382"/>
      <c r="CN568" s="382"/>
      <c r="CO568" s="382"/>
      <c r="CP568" s="382"/>
      <c r="CQ568" s="382"/>
      <c r="CR568" s="382"/>
      <c r="CS568" s="382"/>
      <c r="CT568" s="382"/>
      <c r="CU568" s="382"/>
      <c r="CV568" s="382"/>
      <c r="CW568" s="800"/>
      <c r="CX568" s="382"/>
      <c r="CY568" s="382"/>
      <c r="CZ568" s="382"/>
      <c r="DA568" s="382"/>
      <c r="DB568" s="382"/>
      <c r="DC568" s="382"/>
      <c r="DD568" s="382"/>
      <c r="DE568" s="382"/>
      <c r="DF568" s="382"/>
      <c r="DG568" s="382"/>
      <c r="DH568" s="382"/>
      <c r="DI568" s="382"/>
      <c r="DJ568" s="382"/>
      <c r="DK568" s="382"/>
      <c r="DL568" s="382"/>
      <c r="DM568" s="382"/>
      <c r="DN568" s="382"/>
      <c r="DO568" s="382"/>
      <c r="DP568" s="382"/>
      <c r="DQ568" s="382"/>
      <c r="DR568" s="382"/>
      <c r="DS568" s="382"/>
      <c r="DT568" s="382"/>
      <c r="DU568" s="382"/>
      <c r="DV568" s="382"/>
      <c r="DW568" s="382"/>
      <c r="DX568" s="382"/>
      <c r="DY568" s="382"/>
      <c r="DZ568" s="228"/>
    </row>
    <row r="569" spans="2:130" s="180" customFormat="1" x14ac:dyDescent="0.2">
      <c r="B569" s="800"/>
      <c r="C569" s="800"/>
      <c r="D569" s="800"/>
      <c r="E569" s="769"/>
      <c r="F569" s="769"/>
      <c r="G569" s="802"/>
      <c r="H569" s="802"/>
      <c r="I569" s="802"/>
      <c r="J569" s="802"/>
      <c r="K569" s="802"/>
      <c r="L569" s="802"/>
      <c r="M569" s="802"/>
      <c r="N569" s="802"/>
      <c r="O569" s="802"/>
      <c r="P569" s="802"/>
      <c r="Q569" s="802"/>
      <c r="R569" s="802"/>
      <c r="S569" s="802"/>
      <c r="T569" s="802"/>
      <c r="U569" s="802"/>
      <c r="V569" s="802"/>
      <c r="W569" s="802"/>
      <c r="X569" s="802"/>
      <c r="Y569" s="802"/>
      <c r="Z569" s="802"/>
      <c r="AA569" s="802"/>
      <c r="AB569" s="802"/>
      <c r="AC569" s="802"/>
      <c r="AD569" s="802"/>
      <c r="AE569" s="802"/>
      <c r="AF569" s="802"/>
      <c r="AG569" s="802"/>
      <c r="AH569" s="382"/>
      <c r="AI569" s="382"/>
      <c r="AJ569" s="382"/>
      <c r="AK569" s="382"/>
      <c r="AL569" s="382"/>
      <c r="AM569" s="382"/>
      <c r="AN569" s="382"/>
      <c r="AO569" s="382"/>
      <c r="AP569" s="382"/>
      <c r="AQ569" s="382"/>
      <c r="AR569" s="382"/>
      <c r="AS569" s="382"/>
      <c r="AT569" s="382"/>
      <c r="AU569" s="382"/>
      <c r="AV569" s="382"/>
      <c r="AW569" s="382"/>
      <c r="AX569" s="382"/>
      <c r="AY569" s="382"/>
      <c r="AZ569" s="382"/>
      <c r="BA569" s="382"/>
      <c r="BB569" s="382"/>
      <c r="BC569" s="382"/>
      <c r="BD569" s="382"/>
      <c r="BE569" s="382"/>
      <c r="BF569" s="382"/>
      <c r="BG569" s="382"/>
      <c r="BH569" s="382"/>
      <c r="BI569" s="382"/>
      <c r="BJ569" s="382"/>
      <c r="BK569" s="382"/>
      <c r="BL569" s="382"/>
      <c r="BM569" s="382"/>
      <c r="BN569" s="382"/>
      <c r="BO569" s="382"/>
      <c r="BP569" s="382"/>
      <c r="BQ569" s="382"/>
      <c r="BR569" s="382"/>
      <c r="BS569" s="382"/>
      <c r="BT569" s="382"/>
      <c r="BU569" s="496"/>
      <c r="BV569" s="382"/>
      <c r="BW569" s="382"/>
      <c r="BX569" s="382"/>
      <c r="BY569" s="382"/>
      <c r="BZ569" s="382"/>
      <c r="CA569" s="382"/>
      <c r="CB569" s="382"/>
      <c r="CC569" s="382"/>
      <c r="CD569" s="382"/>
      <c r="CE569" s="382"/>
      <c r="CF569" s="382"/>
      <c r="CG569" s="382"/>
      <c r="CH569" s="382"/>
      <c r="CI569" s="382"/>
      <c r="CJ569" s="382"/>
      <c r="CK569" s="382"/>
      <c r="CL569" s="382"/>
      <c r="CM569" s="382"/>
      <c r="CN569" s="382"/>
      <c r="CO569" s="382"/>
      <c r="CP569" s="382"/>
      <c r="CQ569" s="382"/>
      <c r="CR569" s="382"/>
      <c r="CS569" s="382"/>
      <c r="CT569" s="382"/>
      <c r="CU569" s="382"/>
      <c r="CV569" s="382"/>
      <c r="CW569" s="800"/>
      <c r="CX569" s="382"/>
      <c r="CY569" s="382"/>
      <c r="CZ569" s="382"/>
      <c r="DA569" s="382"/>
      <c r="DB569" s="382"/>
      <c r="DC569" s="382"/>
      <c r="DD569" s="382"/>
      <c r="DE569" s="382"/>
      <c r="DF569" s="382"/>
      <c r="DG569" s="382"/>
      <c r="DH569" s="382"/>
      <c r="DI569" s="382"/>
      <c r="DJ569" s="382"/>
      <c r="DK569" s="382"/>
      <c r="DL569" s="382"/>
      <c r="DM569" s="382"/>
      <c r="DN569" s="382"/>
      <c r="DO569" s="382"/>
      <c r="DP569" s="382"/>
      <c r="DQ569" s="382"/>
      <c r="DR569" s="382"/>
      <c r="DS569" s="382"/>
      <c r="DT569" s="382"/>
      <c r="DU569" s="382"/>
      <c r="DV569" s="382"/>
      <c r="DW569" s="382"/>
      <c r="DX569" s="382"/>
      <c r="DY569" s="382"/>
      <c r="DZ569" s="228"/>
    </row>
    <row r="570" spans="2:130" s="180" customFormat="1" x14ac:dyDescent="0.2">
      <c r="B570" s="800"/>
      <c r="C570" s="800"/>
      <c r="D570" s="800"/>
      <c r="E570" s="769"/>
      <c r="F570" s="769"/>
      <c r="G570" s="802"/>
      <c r="H570" s="802"/>
      <c r="I570" s="802"/>
      <c r="J570" s="802"/>
      <c r="K570" s="802"/>
      <c r="L570" s="802"/>
      <c r="M570" s="802"/>
      <c r="N570" s="802"/>
      <c r="O570" s="802"/>
      <c r="P570" s="802"/>
      <c r="Q570" s="802"/>
      <c r="R570" s="802"/>
      <c r="S570" s="802"/>
      <c r="T570" s="802"/>
      <c r="U570" s="802"/>
      <c r="V570" s="802"/>
      <c r="W570" s="802"/>
      <c r="X570" s="802"/>
      <c r="Y570" s="802"/>
      <c r="Z570" s="802"/>
      <c r="AA570" s="802"/>
      <c r="AB570" s="802"/>
      <c r="AC570" s="802"/>
      <c r="AD570" s="802"/>
      <c r="AE570" s="802"/>
      <c r="AF570" s="802"/>
      <c r="AG570" s="802"/>
      <c r="AH570" s="382"/>
      <c r="AI570" s="382"/>
      <c r="AJ570" s="382"/>
      <c r="AK570" s="382"/>
      <c r="AL570" s="382"/>
      <c r="AM570" s="382"/>
      <c r="AN570" s="382"/>
      <c r="AO570" s="382"/>
      <c r="AP570" s="382"/>
      <c r="AQ570" s="382"/>
      <c r="AR570" s="382"/>
      <c r="AS570" s="382"/>
      <c r="AT570" s="382"/>
      <c r="AU570" s="382"/>
      <c r="AV570" s="382"/>
      <c r="AW570" s="382"/>
      <c r="AX570" s="382"/>
      <c r="AY570" s="382"/>
      <c r="AZ570" s="382"/>
      <c r="BA570" s="382"/>
      <c r="BB570" s="382"/>
      <c r="BC570" s="382"/>
      <c r="BD570" s="382"/>
      <c r="BE570" s="382"/>
      <c r="BF570" s="382"/>
      <c r="BG570" s="382"/>
      <c r="BH570" s="382"/>
      <c r="BI570" s="382"/>
      <c r="BJ570" s="382"/>
      <c r="BK570" s="382"/>
      <c r="BL570" s="382"/>
      <c r="BM570" s="382"/>
      <c r="BN570" s="382"/>
      <c r="BO570" s="382"/>
      <c r="BP570" s="382"/>
      <c r="BQ570" s="382"/>
      <c r="BR570" s="382"/>
      <c r="BS570" s="382"/>
      <c r="BT570" s="382"/>
      <c r="BU570" s="496"/>
      <c r="BV570" s="382"/>
      <c r="BW570" s="382"/>
      <c r="BX570" s="382"/>
      <c r="BY570" s="382"/>
      <c r="BZ570" s="382"/>
      <c r="CA570" s="382"/>
      <c r="CB570" s="382"/>
      <c r="CC570" s="382"/>
      <c r="CD570" s="382"/>
      <c r="CE570" s="382"/>
      <c r="CF570" s="382"/>
      <c r="CG570" s="382"/>
      <c r="CH570" s="382"/>
      <c r="CI570" s="382"/>
      <c r="CJ570" s="382"/>
      <c r="CK570" s="382"/>
      <c r="CL570" s="382"/>
      <c r="CM570" s="382"/>
      <c r="CN570" s="382"/>
      <c r="CO570" s="382"/>
      <c r="CP570" s="382"/>
      <c r="CQ570" s="382"/>
      <c r="CR570" s="382"/>
      <c r="CS570" s="382"/>
      <c r="CT570" s="382"/>
      <c r="CU570" s="382"/>
      <c r="CV570" s="382"/>
      <c r="CW570" s="800"/>
      <c r="CX570" s="382"/>
      <c r="CY570" s="382"/>
      <c r="CZ570" s="382"/>
      <c r="DA570" s="382"/>
      <c r="DB570" s="382"/>
      <c r="DC570" s="382"/>
      <c r="DD570" s="382"/>
      <c r="DE570" s="382"/>
      <c r="DF570" s="382"/>
      <c r="DG570" s="382"/>
      <c r="DH570" s="382"/>
      <c r="DI570" s="382"/>
      <c r="DJ570" s="382"/>
      <c r="DK570" s="382"/>
      <c r="DL570" s="382"/>
      <c r="DM570" s="382"/>
      <c r="DN570" s="382"/>
      <c r="DO570" s="382"/>
      <c r="DP570" s="382"/>
      <c r="DQ570" s="382"/>
      <c r="DR570" s="382"/>
      <c r="DS570" s="382"/>
      <c r="DT570" s="382"/>
      <c r="DU570" s="382"/>
      <c r="DV570" s="382"/>
      <c r="DW570" s="382"/>
      <c r="DX570" s="382"/>
      <c r="DY570" s="382"/>
      <c r="DZ570" s="228"/>
    </row>
    <row r="571" spans="2:130" s="180" customFormat="1" x14ac:dyDescent="0.2">
      <c r="B571" s="800"/>
      <c r="C571" s="800"/>
      <c r="D571" s="800"/>
      <c r="E571" s="769"/>
      <c r="F571" s="769"/>
      <c r="G571" s="802"/>
      <c r="H571" s="802"/>
      <c r="I571" s="802"/>
      <c r="J571" s="802"/>
      <c r="K571" s="802"/>
      <c r="L571" s="802"/>
      <c r="M571" s="802"/>
      <c r="N571" s="802"/>
      <c r="O571" s="802"/>
      <c r="P571" s="802"/>
      <c r="Q571" s="802"/>
      <c r="R571" s="802"/>
      <c r="S571" s="802"/>
      <c r="T571" s="802"/>
      <c r="U571" s="802"/>
      <c r="V571" s="802"/>
      <c r="W571" s="802"/>
      <c r="X571" s="802"/>
      <c r="Y571" s="802"/>
      <c r="Z571" s="802"/>
      <c r="AA571" s="802"/>
      <c r="AB571" s="802"/>
      <c r="AC571" s="802"/>
      <c r="AD571" s="802"/>
      <c r="AE571" s="802"/>
      <c r="AF571" s="802"/>
      <c r="AG571" s="802"/>
      <c r="AH571" s="382"/>
      <c r="AI571" s="382"/>
      <c r="AJ571" s="382"/>
      <c r="AK571" s="382"/>
      <c r="AL571" s="382"/>
      <c r="AM571" s="382"/>
      <c r="AN571" s="382"/>
      <c r="AO571" s="382"/>
      <c r="AP571" s="382"/>
      <c r="AQ571" s="382"/>
      <c r="AR571" s="382"/>
      <c r="AS571" s="382"/>
      <c r="AT571" s="382"/>
      <c r="AU571" s="382"/>
      <c r="AV571" s="382"/>
      <c r="AW571" s="382"/>
      <c r="AX571" s="382"/>
      <c r="AY571" s="382"/>
      <c r="AZ571" s="382"/>
      <c r="BA571" s="382"/>
      <c r="BB571" s="382"/>
      <c r="BC571" s="382"/>
      <c r="BD571" s="382"/>
      <c r="BE571" s="382"/>
      <c r="BF571" s="382"/>
      <c r="BG571" s="382"/>
      <c r="BH571" s="382"/>
      <c r="BI571" s="382"/>
      <c r="BJ571" s="382"/>
      <c r="BK571" s="382"/>
      <c r="BL571" s="382"/>
      <c r="BM571" s="382"/>
      <c r="BN571" s="382"/>
      <c r="BO571" s="382"/>
      <c r="BP571" s="382"/>
      <c r="BQ571" s="382"/>
      <c r="BR571" s="382"/>
      <c r="BS571" s="382"/>
      <c r="BT571" s="382"/>
      <c r="BU571" s="496"/>
      <c r="BV571" s="382"/>
      <c r="BW571" s="382"/>
      <c r="BX571" s="382"/>
      <c r="BY571" s="382"/>
      <c r="BZ571" s="382"/>
      <c r="CA571" s="382"/>
      <c r="CB571" s="382"/>
      <c r="CC571" s="382"/>
      <c r="CD571" s="382"/>
      <c r="CE571" s="382"/>
      <c r="CF571" s="382"/>
      <c r="CG571" s="382"/>
      <c r="CH571" s="382"/>
      <c r="CI571" s="382"/>
      <c r="CJ571" s="382"/>
      <c r="CK571" s="382"/>
      <c r="CL571" s="382"/>
      <c r="CM571" s="382"/>
      <c r="CN571" s="382"/>
      <c r="CO571" s="382"/>
      <c r="CP571" s="382"/>
      <c r="CQ571" s="382"/>
      <c r="CR571" s="382"/>
      <c r="CS571" s="382"/>
      <c r="CT571" s="382"/>
      <c r="CU571" s="382"/>
      <c r="CV571" s="382"/>
      <c r="CW571" s="800"/>
      <c r="CX571" s="382"/>
      <c r="CY571" s="382"/>
      <c r="CZ571" s="382"/>
      <c r="DA571" s="382"/>
      <c r="DB571" s="382"/>
      <c r="DC571" s="382"/>
      <c r="DD571" s="382"/>
      <c r="DE571" s="382"/>
      <c r="DF571" s="382"/>
      <c r="DG571" s="382"/>
      <c r="DH571" s="382"/>
      <c r="DI571" s="382"/>
      <c r="DJ571" s="382"/>
      <c r="DK571" s="382"/>
      <c r="DL571" s="382"/>
      <c r="DM571" s="382"/>
      <c r="DN571" s="382"/>
      <c r="DO571" s="382"/>
      <c r="DP571" s="382"/>
      <c r="DQ571" s="382"/>
      <c r="DR571" s="382"/>
      <c r="DS571" s="382"/>
      <c r="DT571" s="382"/>
      <c r="DU571" s="382"/>
      <c r="DV571" s="382"/>
      <c r="DW571" s="382"/>
      <c r="DX571" s="382"/>
      <c r="DY571" s="382"/>
      <c r="DZ571" s="228"/>
    </row>
    <row r="572" spans="2:130" s="180" customFormat="1" x14ac:dyDescent="0.2">
      <c r="B572" s="800"/>
      <c r="C572" s="800"/>
      <c r="D572" s="800"/>
      <c r="E572" s="769"/>
      <c r="F572" s="769"/>
      <c r="G572" s="802"/>
      <c r="H572" s="802"/>
      <c r="I572" s="802"/>
      <c r="J572" s="802"/>
      <c r="K572" s="802"/>
      <c r="L572" s="802"/>
      <c r="M572" s="802"/>
      <c r="N572" s="802"/>
      <c r="O572" s="802"/>
      <c r="P572" s="802"/>
      <c r="Q572" s="802"/>
      <c r="R572" s="802"/>
      <c r="S572" s="802"/>
      <c r="T572" s="802"/>
      <c r="U572" s="802"/>
      <c r="V572" s="802"/>
      <c r="W572" s="802"/>
      <c r="X572" s="802"/>
      <c r="Y572" s="802"/>
      <c r="Z572" s="802"/>
      <c r="AA572" s="802"/>
      <c r="AB572" s="802"/>
      <c r="AC572" s="802"/>
      <c r="AD572" s="802"/>
      <c r="AE572" s="802"/>
      <c r="AF572" s="802"/>
      <c r="AG572" s="802"/>
      <c r="AH572" s="382"/>
      <c r="AI572" s="382"/>
      <c r="AJ572" s="382"/>
      <c r="AK572" s="382"/>
      <c r="AL572" s="382"/>
      <c r="AM572" s="382"/>
      <c r="AN572" s="382"/>
      <c r="AO572" s="382"/>
      <c r="AP572" s="382"/>
      <c r="AQ572" s="382"/>
      <c r="AR572" s="382"/>
      <c r="AS572" s="382"/>
      <c r="AT572" s="382"/>
      <c r="AU572" s="382"/>
      <c r="AV572" s="382"/>
      <c r="AW572" s="382"/>
      <c r="AX572" s="382"/>
      <c r="AY572" s="382"/>
      <c r="AZ572" s="382"/>
      <c r="BA572" s="382"/>
      <c r="BB572" s="382"/>
      <c r="BC572" s="382"/>
      <c r="BD572" s="382"/>
      <c r="BE572" s="382"/>
      <c r="BF572" s="382"/>
      <c r="BG572" s="382"/>
      <c r="BH572" s="382"/>
      <c r="BI572" s="382"/>
      <c r="BJ572" s="382"/>
      <c r="BK572" s="382"/>
      <c r="BL572" s="382"/>
      <c r="BM572" s="382"/>
      <c r="BN572" s="382"/>
      <c r="BO572" s="382"/>
      <c r="BP572" s="382"/>
      <c r="BQ572" s="382"/>
      <c r="BR572" s="382"/>
      <c r="BS572" s="382"/>
      <c r="BT572" s="382"/>
      <c r="BU572" s="496"/>
      <c r="BV572" s="382"/>
      <c r="BW572" s="382"/>
      <c r="BX572" s="382"/>
      <c r="BY572" s="382"/>
      <c r="BZ572" s="382"/>
      <c r="CA572" s="382"/>
      <c r="CB572" s="382"/>
      <c r="CC572" s="382"/>
      <c r="CD572" s="382"/>
      <c r="CE572" s="382"/>
      <c r="CF572" s="382"/>
      <c r="CG572" s="382"/>
      <c r="CH572" s="382"/>
      <c r="CI572" s="382"/>
      <c r="CJ572" s="382"/>
      <c r="CK572" s="382"/>
      <c r="CL572" s="382"/>
      <c r="CM572" s="382"/>
      <c r="CN572" s="382"/>
      <c r="CO572" s="382"/>
      <c r="CP572" s="382"/>
      <c r="CQ572" s="382"/>
      <c r="CR572" s="382"/>
      <c r="CS572" s="382"/>
      <c r="CT572" s="382"/>
      <c r="CU572" s="382"/>
      <c r="CV572" s="382"/>
      <c r="CW572" s="800"/>
      <c r="CX572" s="382"/>
      <c r="CY572" s="382"/>
      <c r="CZ572" s="382"/>
      <c r="DA572" s="382"/>
      <c r="DB572" s="382"/>
      <c r="DC572" s="382"/>
      <c r="DD572" s="382"/>
      <c r="DE572" s="382"/>
      <c r="DF572" s="382"/>
      <c r="DG572" s="382"/>
      <c r="DH572" s="382"/>
      <c r="DI572" s="382"/>
      <c r="DJ572" s="382"/>
      <c r="DK572" s="382"/>
      <c r="DL572" s="382"/>
      <c r="DM572" s="382"/>
      <c r="DN572" s="382"/>
      <c r="DO572" s="382"/>
      <c r="DP572" s="382"/>
      <c r="DQ572" s="382"/>
      <c r="DR572" s="382"/>
      <c r="DS572" s="382"/>
      <c r="DT572" s="382"/>
      <c r="DU572" s="382"/>
      <c r="DV572" s="382"/>
      <c r="DW572" s="382"/>
      <c r="DX572" s="382"/>
      <c r="DY572" s="382"/>
      <c r="DZ572" s="228"/>
    </row>
    <row r="573" spans="2:130" s="180" customFormat="1" x14ac:dyDescent="0.2">
      <c r="B573" s="800"/>
      <c r="C573" s="800"/>
      <c r="D573" s="800"/>
      <c r="E573" s="769"/>
      <c r="F573" s="769"/>
      <c r="G573" s="802"/>
      <c r="H573" s="802"/>
      <c r="I573" s="802"/>
      <c r="J573" s="802"/>
      <c r="K573" s="802"/>
      <c r="L573" s="802"/>
      <c r="M573" s="802"/>
      <c r="N573" s="802"/>
      <c r="O573" s="802"/>
      <c r="P573" s="802"/>
      <c r="Q573" s="802"/>
      <c r="R573" s="802"/>
      <c r="S573" s="802"/>
      <c r="T573" s="802"/>
      <c r="U573" s="802"/>
      <c r="V573" s="802"/>
      <c r="W573" s="802"/>
      <c r="X573" s="802"/>
      <c r="Y573" s="802"/>
      <c r="Z573" s="802"/>
      <c r="AA573" s="802"/>
      <c r="AB573" s="802"/>
      <c r="AC573" s="802"/>
      <c r="AD573" s="802"/>
      <c r="AE573" s="802"/>
      <c r="AF573" s="802"/>
      <c r="AG573" s="802"/>
      <c r="AH573" s="382"/>
      <c r="AI573" s="382"/>
      <c r="AJ573" s="382"/>
      <c r="AK573" s="382"/>
      <c r="AL573" s="382"/>
      <c r="AM573" s="382"/>
      <c r="AN573" s="382"/>
      <c r="AO573" s="382"/>
      <c r="AP573" s="382"/>
      <c r="AQ573" s="382"/>
      <c r="AR573" s="382"/>
      <c r="AS573" s="382"/>
      <c r="AT573" s="382"/>
      <c r="AU573" s="382"/>
      <c r="AV573" s="382"/>
      <c r="AW573" s="382"/>
      <c r="AX573" s="382"/>
      <c r="AY573" s="382"/>
      <c r="AZ573" s="382"/>
      <c r="BA573" s="382"/>
      <c r="BB573" s="382"/>
      <c r="BC573" s="382"/>
      <c r="BD573" s="382"/>
      <c r="BE573" s="382"/>
      <c r="BF573" s="382"/>
      <c r="BG573" s="382"/>
      <c r="BH573" s="382"/>
      <c r="BI573" s="382"/>
      <c r="BJ573" s="382"/>
      <c r="BK573" s="382"/>
      <c r="BL573" s="382"/>
      <c r="BM573" s="382"/>
      <c r="BN573" s="382"/>
      <c r="BO573" s="382"/>
      <c r="BP573" s="382"/>
      <c r="BQ573" s="382"/>
      <c r="BR573" s="382"/>
      <c r="BS573" s="382"/>
      <c r="BT573" s="382"/>
      <c r="BU573" s="496"/>
      <c r="BV573" s="382"/>
      <c r="BW573" s="382"/>
      <c r="BX573" s="382"/>
      <c r="BY573" s="382"/>
      <c r="BZ573" s="382"/>
      <c r="CA573" s="382"/>
      <c r="CB573" s="382"/>
      <c r="CC573" s="382"/>
      <c r="CD573" s="382"/>
      <c r="CE573" s="382"/>
      <c r="CF573" s="382"/>
      <c r="CG573" s="382"/>
      <c r="CH573" s="382"/>
      <c r="CI573" s="382"/>
      <c r="CJ573" s="382"/>
      <c r="CK573" s="382"/>
      <c r="CL573" s="382"/>
      <c r="CM573" s="382"/>
      <c r="CN573" s="382"/>
      <c r="CO573" s="382"/>
      <c r="CP573" s="382"/>
      <c r="CQ573" s="382"/>
      <c r="CR573" s="382"/>
      <c r="CS573" s="382"/>
      <c r="CT573" s="382"/>
      <c r="CU573" s="382"/>
      <c r="CV573" s="382"/>
      <c r="CW573" s="800"/>
      <c r="CX573" s="382"/>
      <c r="CY573" s="382"/>
      <c r="CZ573" s="382"/>
      <c r="DA573" s="382"/>
      <c r="DB573" s="382"/>
      <c r="DC573" s="382"/>
      <c r="DD573" s="382"/>
      <c r="DE573" s="382"/>
      <c r="DF573" s="382"/>
      <c r="DG573" s="382"/>
      <c r="DH573" s="382"/>
      <c r="DI573" s="382"/>
      <c r="DJ573" s="382"/>
      <c r="DK573" s="382"/>
      <c r="DL573" s="382"/>
      <c r="DM573" s="382"/>
      <c r="DN573" s="382"/>
      <c r="DO573" s="382"/>
      <c r="DP573" s="382"/>
      <c r="DQ573" s="382"/>
      <c r="DR573" s="382"/>
      <c r="DS573" s="382"/>
      <c r="DT573" s="382"/>
      <c r="DU573" s="382"/>
      <c r="DV573" s="382"/>
      <c r="DW573" s="382"/>
      <c r="DX573" s="382"/>
      <c r="DY573" s="382"/>
      <c r="DZ573" s="228"/>
    </row>
    <row r="574" spans="2:130" s="180" customFormat="1" x14ac:dyDescent="0.2">
      <c r="B574" s="800"/>
      <c r="C574" s="800"/>
      <c r="D574" s="800"/>
      <c r="E574" s="769"/>
      <c r="F574" s="769"/>
      <c r="G574" s="802"/>
      <c r="H574" s="802"/>
      <c r="I574" s="802"/>
      <c r="J574" s="802"/>
      <c r="K574" s="802"/>
      <c r="L574" s="802"/>
      <c r="M574" s="802"/>
      <c r="N574" s="802"/>
      <c r="O574" s="802"/>
      <c r="P574" s="802"/>
      <c r="Q574" s="802"/>
      <c r="R574" s="802"/>
      <c r="S574" s="802"/>
      <c r="T574" s="802"/>
      <c r="U574" s="802"/>
      <c r="V574" s="802"/>
      <c r="W574" s="802"/>
      <c r="X574" s="802"/>
      <c r="Y574" s="802"/>
      <c r="Z574" s="802"/>
      <c r="AA574" s="802"/>
      <c r="AB574" s="802"/>
      <c r="AC574" s="802"/>
      <c r="AD574" s="802"/>
      <c r="AE574" s="802"/>
      <c r="AF574" s="802"/>
      <c r="AG574" s="802"/>
      <c r="AH574" s="382"/>
      <c r="AI574" s="382"/>
      <c r="AJ574" s="382"/>
      <c r="AK574" s="382"/>
      <c r="AL574" s="382"/>
      <c r="AM574" s="382"/>
      <c r="AN574" s="382"/>
      <c r="AO574" s="382"/>
      <c r="AP574" s="382"/>
      <c r="AQ574" s="382"/>
      <c r="AR574" s="382"/>
      <c r="AS574" s="382"/>
      <c r="AT574" s="382"/>
      <c r="AU574" s="382"/>
      <c r="AV574" s="382"/>
      <c r="AW574" s="382"/>
      <c r="AX574" s="382"/>
      <c r="AY574" s="382"/>
      <c r="AZ574" s="382"/>
      <c r="BA574" s="382"/>
      <c r="BB574" s="382"/>
      <c r="BC574" s="382"/>
      <c r="BD574" s="382"/>
      <c r="BE574" s="382"/>
      <c r="BF574" s="382"/>
      <c r="BG574" s="382"/>
      <c r="BH574" s="382"/>
      <c r="BI574" s="382"/>
      <c r="BJ574" s="382"/>
      <c r="BK574" s="382"/>
      <c r="BL574" s="382"/>
      <c r="BM574" s="382"/>
      <c r="BN574" s="382"/>
      <c r="BO574" s="382"/>
      <c r="BP574" s="382"/>
      <c r="BQ574" s="382"/>
      <c r="BR574" s="382"/>
      <c r="BS574" s="382"/>
      <c r="BT574" s="382"/>
      <c r="BU574" s="496"/>
      <c r="BV574" s="382"/>
      <c r="BW574" s="382"/>
      <c r="BX574" s="382"/>
      <c r="BY574" s="382"/>
      <c r="BZ574" s="382"/>
      <c r="CA574" s="382"/>
      <c r="CB574" s="382"/>
      <c r="CC574" s="382"/>
      <c r="CD574" s="382"/>
      <c r="CE574" s="382"/>
      <c r="CF574" s="382"/>
      <c r="CG574" s="382"/>
      <c r="CH574" s="382"/>
      <c r="CI574" s="382"/>
      <c r="CJ574" s="382"/>
      <c r="CK574" s="382"/>
      <c r="CL574" s="382"/>
      <c r="CM574" s="382"/>
      <c r="CN574" s="382"/>
      <c r="CO574" s="382"/>
      <c r="CP574" s="382"/>
      <c r="CQ574" s="382"/>
      <c r="CR574" s="382"/>
      <c r="CS574" s="382"/>
      <c r="CT574" s="382"/>
      <c r="CU574" s="382"/>
      <c r="CV574" s="382"/>
      <c r="CW574" s="800"/>
      <c r="CX574" s="382"/>
      <c r="CY574" s="382"/>
      <c r="CZ574" s="382"/>
      <c r="DA574" s="382"/>
      <c r="DB574" s="382"/>
      <c r="DC574" s="382"/>
      <c r="DD574" s="382"/>
      <c r="DE574" s="382"/>
      <c r="DF574" s="382"/>
      <c r="DG574" s="382"/>
      <c r="DH574" s="382"/>
      <c r="DI574" s="382"/>
      <c r="DJ574" s="382"/>
      <c r="DK574" s="382"/>
      <c r="DL574" s="382"/>
      <c r="DM574" s="382"/>
      <c r="DN574" s="382"/>
      <c r="DO574" s="382"/>
      <c r="DP574" s="382"/>
      <c r="DQ574" s="382"/>
      <c r="DR574" s="382"/>
      <c r="DS574" s="382"/>
      <c r="DT574" s="382"/>
      <c r="DU574" s="382"/>
      <c r="DV574" s="382"/>
      <c r="DW574" s="382"/>
      <c r="DX574" s="382"/>
      <c r="DY574" s="382"/>
      <c r="DZ574" s="228"/>
    </row>
    <row r="575" spans="2:130" s="180" customFormat="1" x14ac:dyDescent="0.2">
      <c r="B575" s="800"/>
      <c r="C575" s="800"/>
      <c r="D575" s="800"/>
      <c r="E575" s="769"/>
      <c r="F575" s="769"/>
      <c r="G575" s="802"/>
      <c r="H575" s="802"/>
      <c r="I575" s="802"/>
      <c r="J575" s="802"/>
      <c r="K575" s="802"/>
      <c r="L575" s="802"/>
      <c r="M575" s="802"/>
      <c r="N575" s="802"/>
      <c r="O575" s="802"/>
      <c r="P575" s="802"/>
      <c r="Q575" s="802"/>
      <c r="R575" s="802"/>
      <c r="S575" s="802"/>
      <c r="T575" s="802"/>
      <c r="U575" s="802"/>
      <c r="V575" s="802"/>
      <c r="W575" s="802"/>
      <c r="X575" s="802"/>
      <c r="Y575" s="802"/>
      <c r="Z575" s="802"/>
      <c r="AA575" s="802"/>
      <c r="AB575" s="802"/>
      <c r="AC575" s="802"/>
      <c r="AD575" s="802"/>
      <c r="AE575" s="802"/>
      <c r="AF575" s="802"/>
      <c r="AG575" s="802"/>
      <c r="AH575" s="382"/>
      <c r="AI575" s="382"/>
      <c r="AJ575" s="382"/>
      <c r="AK575" s="382"/>
      <c r="AL575" s="382"/>
      <c r="AM575" s="382"/>
      <c r="AN575" s="382"/>
      <c r="AO575" s="382"/>
      <c r="AP575" s="382"/>
      <c r="AQ575" s="382"/>
      <c r="AR575" s="382"/>
      <c r="AS575" s="382"/>
      <c r="AT575" s="382"/>
      <c r="AU575" s="382"/>
      <c r="AV575" s="382"/>
      <c r="AW575" s="382"/>
      <c r="AX575" s="382"/>
      <c r="AY575" s="382"/>
      <c r="AZ575" s="382"/>
      <c r="BA575" s="382"/>
      <c r="BB575" s="382"/>
      <c r="BC575" s="382"/>
      <c r="BD575" s="382"/>
      <c r="BE575" s="382"/>
      <c r="BF575" s="382"/>
      <c r="BG575" s="382"/>
      <c r="BH575" s="382"/>
      <c r="BI575" s="382"/>
      <c r="BJ575" s="382"/>
      <c r="BK575" s="382"/>
      <c r="BL575" s="382"/>
      <c r="BM575" s="382"/>
      <c r="BN575" s="382"/>
      <c r="BO575" s="382"/>
      <c r="BP575" s="382"/>
      <c r="BQ575" s="382"/>
      <c r="BR575" s="382"/>
      <c r="BS575" s="382"/>
      <c r="BT575" s="382"/>
      <c r="BU575" s="496"/>
      <c r="BV575" s="382"/>
      <c r="BW575" s="382"/>
      <c r="BX575" s="382"/>
      <c r="BY575" s="382"/>
      <c r="BZ575" s="382"/>
      <c r="CA575" s="382"/>
      <c r="CB575" s="382"/>
      <c r="CC575" s="382"/>
      <c r="CD575" s="382"/>
      <c r="CE575" s="382"/>
      <c r="CF575" s="382"/>
      <c r="CG575" s="382"/>
      <c r="CH575" s="382"/>
      <c r="CI575" s="382"/>
      <c r="CJ575" s="382"/>
      <c r="CK575" s="382"/>
      <c r="CL575" s="382"/>
      <c r="CM575" s="382"/>
      <c r="CN575" s="382"/>
      <c r="CO575" s="382"/>
      <c r="CP575" s="382"/>
      <c r="CQ575" s="382"/>
      <c r="CR575" s="382"/>
      <c r="CS575" s="382"/>
      <c r="CT575" s="382"/>
      <c r="CU575" s="382"/>
      <c r="CV575" s="382"/>
      <c r="CW575" s="800"/>
      <c r="CX575" s="382"/>
      <c r="CY575" s="382"/>
      <c r="CZ575" s="382"/>
      <c r="DA575" s="382"/>
      <c r="DB575" s="382"/>
      <c r="DC575" s="382"/>
      <c r="DD575" s="382"/>
      <c r="DE575" s="382"/>
      <c r="DF575" s="382"/>
      <c r="DG575" s="382"/>
      <c r="DH575" s="382"/>
      <c r="DI575" s="382"/>
      <c r="DJ575" s="382"/>
      <c r="DK575" s="382"/>
      <c r="DL575" s="382"/>
      <c r="DM575" s="382"/>
      <c r="DN575" s="382"/>
      <c r="DO575" s="382"/>
      <c r="DP575" s="382"/>
      <c r="DQ575" s="382"/>
      <c r="DR575" s="382"/>
      <c r="DS575" s="382"/>
      <c r="DT575" s="382"/>
      <c r="DU575" s="382"/>
      <c r="DV575" s="382"/>
      <c r="DW575" s="382"/>
      <c r="DX575" s="382"/>
      <c r="DY575" s="382"/>
      <c r="DZ575" s="228"/>
    </row>
    <row r="576" spans="2:130" s="180" customFormat="1" x14ac:dyDescent="0.2">
      <c r="B576" s="800"/>
      <c r="C576" s="800"/>
      <c r="D576" s="800"/>
      <c r="E576" s="769"/>
      <c r="F576" s="769"/>
      <c r="G576" s="802"/>
      <c r="H576" s="802"/>
      <c r="I576" s="802"/>
      <c r="J576" s="802"/>
      <c r="K576" s="802"/>
      <c r="L576" s="802"/>
      <c r="M576" s="802"/>
      <c r="N576" s="802"/>
      <c r="O576" s="802"/>
      <c r="P576" s="802"/>
      <c r="Q576" s="802"/>
      <c r="R576" s="802"/>
      <c r="S576" s="802"/>
      <c r="T576" s="802"/>
      <c r="U576" s="802"/>
      <c r="V576" s="802"/>
      <c r="W576" s="802"/>
      <c r="X576" s="802"/>
      <c r="Y576" s="802"/>
      <c r="Z576" s="802"/>
      <c r="AA576" s="802"/>
      <c r="AB576" s="802"/>
      <c r="AC576" s="802"/>
      <c r="AD576" s="802"/>
      <c r="AE576" s="802"/>
      <c r="AF576" s="802"/>
      <c r="AG576" s="802"/>
      <c r="AH576" s="382"/>
      <c r="AI576" s="382"/>
      <c r="AJ576" s="382"/>
      <c r="AK576" s="382"/>
      <c r="AL576" s="382"/>
      <c r="AM576" s="382"/>
      <c r="AN576" s="382"/>
      <c r="AO576" s="382"/>
      <c r="AP576" s="382"/>
      <c r="AQ576" s="382"/>
      <c r="AR576" s="382"/>
      <c r="AS576" s="382"/>
      <c r="AT576" s="382"/>
      <c r="AU576" s="382"/>
      <c r="AV576" s="382"/>
      <c r="AW576" s="382"/>
      <c r="AX576" s="382"/>
      <c r="AY576" s="382"/>
      <c r="AZ576" s="382"/>
      <c r="BA576" s="382"/>
      <c r="BB576" s="382"/>
      <c r="BC576" s="382"/>
      <c r="BD576" s="382"/>
      <c r="BE576" s="382"/>
      <c r="BF576" s="382"/>
      <c r="BG576" s="382"/>
      <c r="BH576" s="382"/>
      <c r="BI576" s="382"/>
      <c r="BJ576" s="382"/>
      <c r="BK576" s="382"/>
      <c r="BL576" s="382"/>
      <c r="BM576" s="382"/>
      <c r="BN576" s="382"/>
      <c r="BO576" s="382"/>
      <c r="BP576" s="382"/>
      <c r="BQ576" s="382"/>
      <c r="BR576" s="382"/>
      <c r="BS576" s="382"/>
      <c r="BT576" s="382"/>
      <c r="BU576" s="496"/>
      <c r="BV576" s="382"/>
      <c r="BW576" s="382"/>
      <c r="BX576" s="382"/>
      <c r="BY576" s="382"/>
      <c r="BZ576" s="382"/>
      <c r="CA576" s="382"/>
      <c r="CB576" s="382"/>
      <c r="CC576" s="382"/>
      <c r="CD576" s="382"/>
      <c r="CE576" s="382"/>
      <c r="CF576" s="382"/>
      <c r="CG576" s="382"/>
      <c r="CH576" s="382"/>
      <c r="CI576" s="382"/>
      <c r="CJ576" s="382"/>
      <c r="CK576" s="382"/>
      <c r="CL576" s="382"/>
      <c r="CM576" s="382"/>
      <c r="CN576" s="382"/>
      <c r="CO576" s="382"/>
      <c r="CP576" s="382"/>
      <c r="CQ576" s="382"/>
      <c r="CR576" s="382"/>
      <c r="CS576" s="382"/>
      <c r="CT576" s="382"/>
      <c r="CU576" s="382"/>
      <c r="CV576" s="382"/>
      <c r="CW576" s="800"/>
      <c r="CX576" s="382"/>
      <c r="CY576" s="382"/>
      <c r="CZ576" s="382"/>
      <c r="DA576" s="382"/>
      <c r="DB576" s="382"/>
      <c r="DC576" s="382"/>
      <c r="DD576" s="382"/>
      <c r="DE576" s="382"/>
      <c r="DF576" s="382"/>
      <c r="DG576" s="382"/>
      <c r="DH576" s="382"/>
      <c r="DI576" s="382"/>
      <c r="DJ576" s="382"/>
      <c r="DK576" s="382"/>
      <c r="DL576" s="382"/>
      <c r="DM576" s="382"/>
      <c r="DN576" s="382"/>
      <c r="DO576" s="382"/>
      <c r="DP576" s="382"/>
      <c r="DQ576" s="382"/>
      <c r="DR576" s="382"/>
      <c r="DS576" s="382"/>
      <c r="DT576" s="382"/>
      <c r="DU576" s="382"/>
      <c r="DV576" s="382"/>
      <c r="DW576" s="382"/>
      <c r="DX576" s="382"/>
      <c r="DY576" s="382"/>
      <c r="DZ576" s="228"/>
    </row>
    <row r="577" spans="2:130" s="180" customFormat="1" x14ac:dyDescent="0.2">
      <c r="B577" s="800"/>
      <c r="C577" s="800"/>
      <c r="D577" s="800"/>
      <c r="E577" s="769"/>
      <c r="F577" s="769"/>
      <c r="G577" s="802"/>
      <c r="H577" s="802"/>
      <c r="I577" s="802"/>
      <c r="J577" s="802"/>
      <c r="K577" s="802"/>
      <c r="L577" s="802"/>
      <c r="M577" s="802"/>
      <c r="N577" s="802"/>
      <c r="O577" s="802"/>
      <c r="P577" s="802"/>
      <c r="Q577" s="802"/>
      <c r="R577" s="802"/>
      <c r="S577" s="802"/>
      <c r="T577" s="802"/>
      <c r="U577" s="802"/>
      <c r="V577" s="802"/>
      <c r="W577" s="802"/>
      <c r="X577" s="802"/>
      <c r="Y577" s="802"/>
      <c r="Z577" s="802"/>
      <c r="AA577" s="802"/>
      <c r="AB577" s="802"/>
      <c r="AC577" s="802"/>
      <c r="AD577" s="802"/>
      <c r="AE577" s="802"/>
      <c r="AF577" s="802"/>
      <c r="AG577" s="802"/>
      <c r="AH577" s="382"/>
      <c r="AI577" s="382"/>
      <c r="AJ577" s="382"/>
      <c r="AK577" s="382"/>
      <c r="AL577" s="382"/>
      <c r="AM577" s="382"/>
      <c r="AN577" s="382"/>
      <c r="AO577" s="382"/>
      <c r="AP577" s="382"/>
      <c r="AQ577" s="382"/>
      <c r="AR577" s="382"/>
      <c r="AS577" s="382"/>
      <c r="AT577" s="382"/>
      <c r="AU577" s="382"/>
      <c r="AV577" s="382"/>
      <c r="AW577" s="382"/>
      <c r="AX577" s="382"/>
      <c r="AY577" s="382"/>
      <c r="AZ577" s="382"/>
      <c r="BA577" s="382"/>
      <c r="BB577" s="382"/>
      <c r="BC577" s="382"/>
      <c r="BD577" s="382"/>
      <c r="BE577" s="382"/>
      <c r="BF577" s="382"/>
      <c r="BG577" s="382"/>
      <c r="BH577" s="382"/>
      <c r="BI577" s="382"/>
      <c r="BJ577" s="382"/>
      <c r="BK577" s="382"/>
      <c r="BL577" s="382"/>
      <c r="BM577" s="382"/>
      <c r="BN577" s="382"/>
      <c r="BO577" s="382"/>
      <c r="BP577" s="382"/>
      <c r="BQ577" s="382"/>
      <c r="BR577" s="382"/>
      <c r="BS577" s="382"/>
      <c r="BT577" s="382"/>
      <c r="BU577" s="496"/>
      <c r="BV577" s="382"/>
      <c r="BW577" s="382"/>
      <c r="BX577" s="382"/>
      <c r="BY577" s="382"/>
      <c r="BZ577" s="382"/>
      <c r="CA577" s="382"/>
      <c r="CB577" s="382"/>
      <c r="CC577" s="382"/>
      <c r="CD577" s="382"/>
      <c r="CE577" s="382"/>
      <c r="CF577" s="382"/>
      <c r="CG577" s="382"/>
      <c r="CH577" s="382"/>
      <c r="CI577" s="382"/>
      <c r="CJ577" s="382"/>
      <c r="CK577" s="382"/>
      <c r="CL577" s="382"/>
      <c r="CM577" s="382"/>
      <c r="CN577" s="382"/>
      <c r="CO577" s="382"/>
      <c r="CP577" s="382"/>
      <c r="CQ577" s="382"/>
      <c r="CR577" s="382"/>
      <c r="CS577" s="382"/>
      <c r="CT577" s="382"/>
      <c r="CU577" s="382"/>
      <c r="CV577" s="382"/>
      <c r="CW577" s="800"/>
      <c r="CX577" s="382"/>
      <c r="CY577" s="382"/>
      <c r="CZ577" s="382"/>
      <c r="DA577" s="382"/>
      <c r="DB577" s="382"/>
      <c r="DC577" s="382"/>
      <c r="DD577" s="382"/>
      <c r="DE577" s="382"/>
      <c r="DF577" s="382"/>
      <c r="DG577" s="382"/>
      <c r="DH577" s="382"/>
      <c r="DI577" s="382"/>
      <c r="DJ577" s="382"/>
      <c r="DK577" s="382"/>
      <c r="DL577" s="382"/>
      <c r="DM577" s="382"/>
      <c r="DN577" s="382"/>
      <c r="DO577" s="382"/>
      <c r="DP577" s="382"/>
      <c r="DQ577" s="382"/>
      <c r="DR577" s="382"/>
      <c r="DS577" s="382"/>
      <c r="DT577" s="382"/>
      <c r="DU577" s="382"/>
      <c r="DV577" s="382"/>
      <c r="DW577" s="382"/>
      <c r="DX577" s="382"/>
      <c r="DY577" s="382"/>
      <c r="DZ577" s="228"/>
    </row>
    <row r="578" spans="2:130" s="180" customFormat="1" x14ac:dyDescent="0.2">
      <c r="D578" s="805"/>
      <c r="E578" s="805"/>
      <c r="F578" s="805"/>
      <c r="G578" s="805"/>
      <c r="H578" s="805"/>
      <c r="I578" s="805"/>
      <c r="J578" s="805"/>
      <c r="K578" s="805"/>
      <c r="L578" s="805"/>
      <c r="M578" s="805"/>
      <c r="N578" s="806"/>
      <c r="O578" s="805"/>
      <c r="P578" s="805"/>
      <c r="Q578" s="807"/>
      <c r="R578" s="807"/>
      <c r="S578" s="825"/>
      <c r="T578" s="805"/>
      <c r="U578" s="805"/>
      <c r="V578" s="805"/>
      <c r="W578" s="805"/>
      <c r="X578" s="805"/>
      <c r="Y578" s="297"/>
      <c r="AB578" s="382"/>
      <c r="AC578" s="382"/>
      <c r="AD578" s="496"/>
      <c r="AE578" s="382"/>
      <c r="AF578" s="382"/>
      <c r="AG578" s="382"/>
      <c r="AH578" s="382"/>
      <c r="AI578" s="382"/>
      <c r="AJ578" s="382"/>
      <c r="AK578" s="382"/>
      <c r="AL578" s="382"/>
      <c r="AM578" s="382"/>
      <c r="AN578" s="382"/>
      <c r="AO578" s="382"/>
      <c r="AP578" s="382"/>
      <c r="AQ578" s="382"/>
      <c r="AR578" s="382"/>
      <c r="AS578" s="382"/>
      <c r="AT578" s="382"/>
      <c r="AU578" s="382"/>
      <c r="AV578" s="382"/>
      <c r="AW578" s="382"/>
      <c r="AX578" s="382"/>
      <c r="AY578" s="382"/>
      <c r="AZ578" s="382"/>
      <c r="BA578" s="382"/>
      <c r="BB578" s="382"/>
      <c r="BC578" s="382"/>
      <c r="BD578" s="382"/>
      <c r="BE578" s="382"/>
      <c r="BF578" s="382"/>
      <c r="BG578" s="382"/>
      <c r="BH578" s="382"/>
      <c r="BI578" s="382"/>
      <c r="BJ578" s="382"/>
      <c r="BK578" s="382"/>
      <c r="BL578" s="382"/>
      <c r="BM578" s="382"/>
      <c r="BN578" s="382"/>
      <c r="BO578" s="382"/>
      <c r="BP578" s="382"/>
      <c r="BQ578" s="382"/>
      <c r="BR578" s="382"/>
      <c r="BS578" s="382"/>
      <c r="BT578" s="382"/>
      <c r="BU578" s="496"/>
      <c r="BV578" s="382"/>
      <c r="BW578" s="382"/>
      <c r="BX578" s="382"/>
      <c r="BY578" s="382"/>
      <c r="BZ578" s="382"/>
      <c r="CA578" s="382"/>
      <c r="CB578" s="382"/>
      <c r="CC578" s="382"/>
      <c r="CD578" s="382"/>
      <c r="CE578" s="382"/>
      <c r="CF578" s="382"/>
      <c r="CG578" s="382"/>
      <c r="CH578" s="382"/>
      <c r="CI578" s="382"/>
      <c r="CJ578" s="382"/>
      <c r="CK578" s="382"/>
      <c r="CL578" s="382"/>
      <c r="CM578" s="382"/>
      <c r="CN578" s="382"/>
      <c r="CO578" s="382"/>
      <c r="CP578" s="382"/>
      <c r="CQ578" s="382"/>
      <c r="CR578" s="382"/>
      <c r="CS578" s="382"/>
      <c r="CT578" s="382"/>
      <c r="CU578" s="382"/>
      <c r="CV578" s="382"/>
      <c r="CW578" s="189"/>
      <c r="CX578" s="382"/>
      <c r="CY578" s="382"/>
      <c r="CZ578" s="382"/>
      <c r="DA578" s="382"/>
      <c r="DB578" s="382"/>
      <c r="DC578" s="382"/>
      <c r="DD578" s="382"/>
      <c r="DE578" s="382"/>
      <c r="DF578" s="382"/>
      <c r="DG578" s="382"/>
      <c r="DH578" s="382"/>
      <c r="DI578" s="382"/>
      <c r="DJ578" s="382"/>
      <c r="DK578" s="382"/>
      <c r="DL578" s="382"/>
      <c r="DM578" s="382"/>
      <c r="DN578" s="382"/>
      <c r="DO578" s="382"/>
      <c r="DP578" s="382"/>
      <c r="DQ578" s="382"/>
      <c r="DR578" s="382"/>
      <c r="DS578" s="382"/>
      <c r="DT578" s="382"/>
      <c r="DU578" s="382"/>
      <c r="DV578" s="382"/>
      <c r="DW578" s="382"/>
      <c r="DX578" s="382"/>
      <c r="DY578" s="382"/>
      <c r="DZ578" s="228"/>
    </row>
    <row r="579" spans="2:130" s="180" customFormat="1" x14ac:dyDescent="0.2">
      <c r="D579" s="805"/>
      <c r="E579" s="805"/>
      <c r="F579" s="805"/>
      <c r="G579" s="805"/>
      <c r="H579" s="805"/>
      <c r="I579" s="805"/>
      <c r="J579" s="805"/>
      <c r="K579" s="805"/>
      <c r="L579" s="805"/>
      <c r="M579" s="805"/>
      <c r="N579" s="806"/>
      <c r="O579" s="805"/>
      <c r="P579" s="805"/>
      <c r="Q579" s="807"/>
      <c r="R579" s="807"/>
      <c r="S579" s="825"/>
      <c r="T579" s="805"/>
      <c r="U579" s="805"/>
      <c r="V579" s="805"/>
      <c r="W579" s="805"/>
      <c r="X579" s="805"/>
      <c r="Y579" s="297"/>
      <c r="AB579" s="382"/>
      <c r="AC579" s="382"/>
      <c r="AD579" s="496"/>
      <c r="AE579" s="382"/>
      <c r="AF579" s="382"/>
      <c r="AG579" s="382"/>
      <c r="AH579" s="382"/>
      <c r="AI579" s="382"/>
      <c r="AJ579" s="382"/>
      <c r="AK579" s="382"/>
      <c r="AL579" s="382"/>
      <c r="AM579" s="382"/>
      <c r="AN579" s="382"/>
      <c r="AO579" s="382"/>
      <c r="AP579" s="382"/>
      <c r="AQ579" s="382"/>
      <c r="AR579" s="382"/>
      <c r="AS579" s="382"/>
      <c r="AT579" s="382"/>
      <c r="AU579" s="382"/>
      <c r="AV579" s="382"/>
      <c r="AW579" s="382"/>
      <c r="AX579" s="382"/>
      <c r="AY579" s="382"/>
      <c r="AZ579" s="382"/>
      <c r="BA579" s="382"/>
      <c r="BB579" s="382"/>
      <c r="BC579" s="382"/>
      <c r="BD579" s="382"/>
      <c r="BE579" s="382"/>
      <c r="BF579" s="382"/>
      <c r="BG579" s="382"/>
      <c r="BH579" s="382"/>
      <c r="BI579" s="382"/>
      <c r="BJ579" s="382"/>
      <c r="BK579" s="382"/>
      <c r="BL579" s="382"/>
      <c r="BM579" s="382"/>
      <c r="BN579" s="382"/>
      <c r="BO579" s="382"/>
      <c r="BP579" s="382"/>
      <c r="BQ579" s="382"/>
      <c r="BR579" s="382"/>
      <c r="BS579" s="382"/>
      <c r="BT579" s="382"/>
      <c r="BU579" s="496"/>
      <c r="BV579" s="382"/>
      <c r="BW579" s="382"/>
      <c r="BX579" s="382"/>
      <c r="BY579" s="382"/>
      <c r="BZ579" s="382"/>
      <c r="CA579" s="382"/>
      <c r="CB579" s="382"/>
      <c r="CC579" s="382"/>
      <c r="CD579" s="382"/>
      <c r="CE579" s="382"/>
      <c r="CF579" s="382"/>
      <c r="CG579" s="382"/>
      <c r="CH579" s="382"/>
      <c r="CI579" s="382"/>
      <c r="CJ579" s="382"/>
      <c r="CK579" s="382"/>
      <c r="CL579" s="382"/>
      <c r="CM579" s="382"/>
      <c r="CN579" s="382"/>
      <c r="CO579" s="382"/>
      <c r="CP579" s="382"/>
      <c r="CQ579" s="382"/>
      <c r="CR579" s="382"/>
      <c r="CS579" s="382"/>
      <c r="CT579" s="382"/>
      <c r="CU579" s="382"/>
      <c r="CV579" s="382"/>
      <c r="CW579" s="189"/>
      <c r="CX579" s="382"/>
      <c r="CY579" s="382"/>
      <c r="CZ579" s="382"/>
      <c r="DA579" s="382"/>
      <c r="DB579" s="382"/>
      <c r="DC579" s="382"/>
      <c r="DD579" s="382"/>
      <c r="DE579" s="382"/>
      <c r="DF579" s="382"/>
      <c r="DG579" s="382"/>
      <c r="DH579" s="382"/>
      <c r="DI579" s="382"/>
      <c r="DJ579" s="382"/>
      <c r="DK579" s="382"/>
      <c r="DL579" s="382"/>
      <c r="DM579" s="382"/>
      <c r="DN579" s="382"/>
      <c r="DO579" s="382"/>
      <c r="DP579" s="382"/>
      <c r="DQ579" s="382"/>
      <c r="DR579" s="382"/>
      <c r="DS579" s="382"/>
      <c r="DT579" s="382"/>
      <c r="DU579" s="382"/>
      <c r="DV579" s="382"/>
      <c r="DW579" s="382"/>
      <c r="DX579" s="382"/>
      <c r="DY579" s="382"/>
      <c r="DZ579" s="228"/>
    </row>
    <row r="580" spans="2:130" s="180" customFormat="1" x14ac:dyDescent="0.2">
      <c r="D580" s="805"/>
      <c r="E580" s="805"/>
      <c r="F580" s="805"/>
      <c r="G580" s="805"/>
      <c r="H580" s="805"/>
      <c r="I580" s="805"/>
      <c r="J580" s="805"/>
      <c r="K580" s="805"/>
      <c r="L580" s="805"/>
      <c r="M580" s="805"/>
      <c r="N580" s="806"/>
      <c r="O580" s="805"/>
      <c r="P580" s="805"/>
      <c r="Q580" s="807"/>
      <c r="R580" s="807"/>
      <c r="S580" s="825"/>
      <c r="T580" s="805"/>
      <c r="U580" s="805"/>
      <c r="V580" s="805"/>
      <c r="W580" s="805"/>
      <c r="X580" s="805"/>
      <c r="Y580" s="297"/>
      <c r="AB580" s="382"/>
      <c r="AC580" s="382"/>
      <c r="AD580" s="496"/>
      <c r="AE580" s="382"/>
      <c r="AF580" s="382"/>
      <c r="AG580" s="382"/>
      <c r="AH580" s="382"/>
      <c r="AI580" s="382"/>
      <c r="AJ580" s="382"/>
      <c r="AK580" s="382"/>
      <c r="AL580" s="382"/>
      <c r="AM580" s="382"/>
      <c r="AN580" s="382"/>
      <c r="AO580" s="382"/>
      <c r="AP580" s="382"/>
      <c r="AQ580" s="382"/>
      <c r="AR580" s="382"/>
      <c r="AS580" s="382"/>
      <c r="AT580" s="382"/>
      <c r="AU580" s="382"/>
      <c r="AV580" s="382"/>
      <c r="AW580" s="382"/>
      <c r="AX580" s="382"/>
      <c r="AY580" s="382"/>
      <c r="AZ580" s="382"/>
      <c r="BA580" s="382"/>
      <c r="BB580" s="382"/>
      <c r="BC580" s="382"/>
      <c r="BD580" s="382"/>
      <c r="BE580" s="382"/>
      <c r="BF580" s="382"/>
      <c r="BG580" s="382"/>
      <c r="BH580" s="382"/>
      <c r="BI580" s="382"/>
      <c r="BJ580" s="382"/>
      <c r="BK580" s="382"/>
      <c r="BL580" s="382"/>
      <c r="BM580" s="382"/>
      <c r="BN580" s="382"/>
      <c r="BO580" s="382"/>
      <c r="BP580" s="382"/>
      <c r="BQ580" s="382"/>
      <c r="BR580" s="382"/>
      <c r="BS580" s="382"/>
      <c r="BT580" s="382"/>
      <c r="BU580" s="496"/>
      <c r="BV580" s="382"/>
      <c r="BW580" s="382"/>
      <c r="BX580" s="382"/>
      <c r="BY580" s="382"/>
      <c r="BZ580" s="382"/>
      <c r="CA580" s="382"/>
      <c r="CB580" s="382"/>
      <c r="CC580" s="382"/>
      <c r="CD580" s="382"/>
      <c r="CE580" s="382"/>
      <c r="CF580" s="382"/>
      <c r="CG580" s="382"/>
      <c r="CH580" s="382"/>
      <c r="CI580" s="382"/>
      <c r="CJ580" s="382"/>
      <c r="CK580" s="382"/>
      <c r="CL580" s="382"/>
      <c r="CM580" s="382"/>
      <c r="CN580" s="382"/>
      <c r="CO580" s="382"/>
      <c r="CP580" s="382"/>
      <c r="CQ580" s="382"/>
      <c r="CR580" s="382"/>
      <c r="CS580" s="382"/>
      <c r="CT580" s="382"/>
      <c r="CU580" s="382"/>
      <c r="CV580" s="382"/>
      <c r="CW580" s="189"/>
      <c r="CX580" s="382"/>
      <c r="CY580" s="382"/>
      <c r="CZ580" s="382"/>
      <c r="DA580" s="382"/>
      <c r="DB580" s="382"/>
      <c r="DC580" s="382"/>
      <c r="DD580" s="382"/>
      <c r="DE580" s="382"/>
      <c r="DF580" s="382"/>
      <c r="DG580" s="382"/>
      <c r="DH580" s="382"/>
      <c r="DI580" s="382"/>
      <c r="DJ580" s="382"/>
      <c r="DK580" s="382"/>
      <c r="DL580" s="382"/>
      <c r="DM580" s="382"/>
      <c r="DN580" s="382"/>
      <c r="DO580" s="382"/>
      <c r="DP580" s="382"/>
      <c r="DQ580" s="382"/>
      <c r="DR580" s="382"/>
      <c r="DS580" s="382"/>
      <c r="DT580" s="382"/>
      <c r="DU580" s="382"/>
      <c r="DV580" s="382"/>
      <c r="DW580" s="382"/>
      <c r="DX580" s="382"/>
      <c r="DY580" s="382"/>
      <c r="DZ580" s="228"/>
    </row>
    <row r="581" spans="2:130" s="180" customFormat="1" x14ac:dyDescent="0.2">
      <c r="D581" s="805"/>
      <c r="E581" s="805"/>
      <c r="F581" s="805"/>
      <c r="G581" s="805"/>
      <c r="H581" s="805"/>
      <c r="I581" s="805"/>
      <c r="J581" s="805"/>
      <c r="K581" s="805"/>
      <c r="L581" s="805"/>
      <c r="M581" s="805"/>
      <c r="N581" s="806"/>
      <c r="O581" s="805"/>
      <c r="P581" s="805"/>
      <c r="Q581" s="807"/>
      <c r="R581" s="807"/>
      <c r="S581" s="825"/>
      <c r="T581" s="805"/>
      <c r="U581" s="805"/>
      <c r="V581" s="805"/>
      <c r="W581" s="805"/>
      <c r="X581" s="805"/>
      <c r="Y581" s="297"/>
      <c r="AB581" s="382"/>
      <c r="AC581" s="382"/>
      <c r="AD581" s="496"/>
      <c r="AE581" s="382"/>
      <c r="AF581" s="382"/>
      <c r="AG581" s="382"/>
      <c r="AH581" s="382"/>
      <c r="AI581" s="382"/>
      <c r="AJ581" s="382"/>
      <c r="AK581" s="382"/>
      <c r="AL581" s="382"/>
      <c r="AM581" s="382"/>
      <c r="AN581" s="382"/>
      <c r="AO581" s="382"/>
      <c r="AP581" s="382"/>
      <c r="AQ581" s="382"/>
      <c r="AR581" s="382"/>
      <c r="AS581" s="382"/>
      <c r="AT581" s="382"/>
      <c r="AU581" s="382"/>
      <c r="AV581" s="382"/>
      <c r="AW581" s="382"/>
      <c r="AX581" s="382"/>
      <c r="AY581" s="382"/>
      <c r="AZ581" s="382"/>
      <c r="BA581" s="382"/>
      <c r="BB581" s="382"/>
      <c r="BC581" s="382"/>
      <c r="BD581" s="382"/>
      <c r="BE581" s="382"/>
      <c r="BF581" s="382"/>
      <c r="BG581" s="382"/>
      <c r="BH581" s="382"/>
      <c r="BI581" s="382"/>
      <c r="BJ581" s="382"/>
      <c r="BK581" s="382"/>
      <c r="BL581" s="382"/>
      <c r="BM581" s="382"/>
      <c r="BN581" s="382"/>
      <c r="BO581" s="382"/>
      <c r="BP581" s="382"/>
      <c r="BQ581" s="382"/>
      <c r="BR581" s="382"/>
      <c r="BS581" s="382"/>
      <c r="BT581" s="382"/>
      <c r="BU581" s="496"/>
      <c r="BV581" s="382"/>
      <c r="BW581" s="382"/>
      <c r="BX581" s="382"/>
      <c r="BY581" s="382"/>
      <c r="BZ581" s="382"/>
      <c r="CA581" s="382"/>
      <c r="CB581" s="382"/>
      <c r="CC581" s="382"/>
      <c r="CD581" s="382"/>
      <c r="CE581" s="382"/>
      <c r="CF581" s="382"/>
      <c r="CG581" s="382"/>
      <c r="CH581" s="382"/>
      <c r="CI581" s="382"/>
      <c r="CJ581" s="382"/>
      <c r="CK581" s="382"/>
      <c r="CL581" s="382"/>
      <c r="CM581" s="382"/>
      <c r="CN581" s="382"/>
      <c r="CO581" s="382"/>
      <c r="CP581" s="382"/>
      <c r="CQ581" s="382"/>
      <c r="CR581" s="382"/>
      <c r="CS581" s="382"/>
      <c r="CT581" s="382"/>
      <c r="CU581" s="382"/>
      <c r="CV581" s="382"/>
      <c r="CW581" s="189"/>
      <c r="CX581" s="382"/>
      <c r="CY581" s="382"/>
      <c r="CZ581" s="382"/>
      <c r="DA581" s="382"/>
      <c r="DB581" s="382"/>
      <c r="DC581" s="382"/>
      <c r="DD581" s="382"/>
      <c r="DE581" s="382"/>
      <c r="DF581" s="382"/>
      <c r="DG581" s="382"/>
      <c r="DH581" s="382"/>
      <c r="DI581" s="382"/>
      <c r="DJ581" s="382"/>
      <c r="DK581" s="382"/>
      <c r="DL581" s="382"/>
      <c r="DM581" s="382"/>
      <c r="DN581" s="382"/>
      <c r="DO581" s="382"/>
      <c r="DP581" s="382"/>
      <c r="DQ581" s="382"/>
      <c r="DR581" s="382"/>
      <c r="DS581" s="382"/>
      <c r="DT581" s="382"/>
      <c r="DU581" s="382"/>
      <c r="DV581" s="382"/>
      <c r="DW581" s="382"/>
      <c r="DX581" s="382"/>
      <c r="DY581" s="382"/>
      <c r="DZ581" s="228"/>
    </row>
    <row r="582" spans="2:130" s="180" customFormat="1" x14ac:dyDescent="0.2">
      <c r="D582" s="805"/>
      <c r="E582" s="805"/>
      <c r="F582" s="805"/>
      <c r="G582" s="805"/>
      <c r="H582" s="805"/>
      <c r="I582" s="805"/>
      <c r="J582" s="805"/>
      <c r="K582" s="805"/>
      <c r="L582" s="805"/>
      <c r="M582" s="805"/>
      <c r="N582" s="806"/>
      <c r="O582" s="805"/>
      <c r="P582" s="805"/>
      <c r="Q582" s="807"/>
      <c r="R582" s="807"/>
      <c r="S582" s="825"/>
      <c r="T582" s="805"/>
      <c r="U582" s="805"/>
      <c r="V582" s="805"/>
      <c r="W582" s="805"/>
      <c r="X582" s="805"/>
      <c r="Y582" s="297"/>
      <c r="AB582" s="382"/>
      <c r="AC582" s="382"/>
      <c r="AD582" s="496"/>
      <c r="AE582" s="382"/>
      <c r="AF582" s="382"/>
      <c r="AG582" s="382"/>
      <c r="AH582" s="382"/>
      <c r="AI582" s="382"/>
      <c r="AJ582" s="382"/>
      <c r="AK582" s="382"/>
      <c r="AL582" s="382"/>
      <c r="AM582" s="382"/>
      <c r="AN582" s="382"/>
      <c r="AO582" s="382"/>
      <c r="AP582" s="382"/>
      <c r="AQ582" s="382"/>
      <c r="AR582" s="382"/>
      <c r="AS582" s="382"/>
      <c r="AT582" s="382"/>
      <c r="AU582" s="382"/>
      <c r="AV582" s="382"/>
      <c r="AW582" s="382"/>
      <c r="AX582" s="382"/>
      <c r="AY582" s="382"/>
      <c r="AZ582" s="382"/>
      <c r="BA582" s="382"/>
      <c r="BB582" s="382"/>
      <c r="BC582" s="382"/>
      <c r="BD582" s="382"/>
      <c r="BE582" s="382"/>
      <c r="BF582" s="382"/>
      <c r="BG582" s="382"/>
      <c r="BH582" s="382"/>
      <c r="BI582" s="382"/>
      <c r="BJ582" s="382"/>
      <c r="BK582" s="382"/>
      <c r="BL582" s="382"/>
      <c r="BM582" s="382"/>
      <c r="BN582" s="382"/>
      <c r="BO582" s="382"/>
      <c r="BP582" s="382"/>
      <c r="BQ582" s="382"/>
      <c r="BR582" s="382"/>
      <c r="BS582" s="382"/>
      <c r="BT582" s="382"/>
      <c r="BU582" s="496"/>
      <c r="BV582" s="382"/>
      <c r="BW582" s="382"/>
      <c r="BX582" s="382"/>
      <c r="BY582" s="382"/>
      <c r="BZ582" s="382"/>
      <c r="CA582" s="382"/>
      <c r="CB582" s="382"/>
      <c r="CC582" s="382"/>
      <c r="CD582" s="382"/>
      <c r="CE582" s="382"/>
      <c r="CF582" s="382"/>
      <c r="CG582" s="382"/>
      <c r="CH582" s="382"/>
      <c r="CI582" s="382"/>
      <c r="CJ582" s="382"/>
      <c r="CK582" s="382"/>
      <c r="CL582" s="382"/>
      <c r="CM582" s="382"/>
      <c r="CN582" s="382"/>
      <c r="CO582" s="382"/>
      <c r="CP582" s="382"/>
      <c r="CQ582" s="382"/>
      <c r="CR582" s="382"/>
      <c r="CS582" s="382"/>
      <c r="CT582" s="382"/>
      <c r="CU582" s="382"/>
      <c r="CV582" s="382"/>
      <c r="CW582" s="189"/>
      <c r="CX582" s="382"/>
      <c r="CY582" s="382"/>
      <c r="CZ582" s="382"/>
      <c r="DA582" s="382"/>
      <c r="DB582" s="382"/>
      <c r="DC582" s="382"/>
      <c r="DD582" s="382"/>
      <c r="DE582" s="382"/>
      <c r="DF582" s="382"/>
      <c r="DG582" s="382"/>
      <c r="DH582" s="382"/>
      <c r="DI582" s="382"/>
      <c r="DJ582" s="382"/>
      <c r="DK582" s="382"/>
      <c r="DL582" s="382"/>
      <c r="DM582" s="382"/>
      <c r="DN582" s="382"/>
      <c r="DO582" s="382"/>
      <c r="DP582" s="382"/>
      <c r="DQ582" s="382"/>
      <c r="DR582" s="382"/>
      <c r="DS582" s="382"/>
      <c r="DT582" s="382"/>
      <c r="DU582" s="382"/>
      <c r="DV582" s="382"/>
      <c r="DW582" s="382"/>
      <c r="DX582" s="382"/>
      <c r="DY582" s="382"/>
      <c r="DZ582" s="228"/>
    </row>
    <row r="583" spans="2:130" s="180" customFormat="1" x14ac:dyDescent="0.2">
      <c r="D583" s="805"/>
      <c r="E583" s="805"/>
      <c r="F583" s="805"/>
      <c r="G583" s="805"/>
      <c r="H583" s="805"/>
      <c r="I583" s="805"/>
      <c r="J583" s="805"/>
      <c r="K583" s="805"/>
      <c r="L583" s="805"/>
      <c r="M583" s="805"/>
      <c r="N583" s="806"/>
      <c r="O583" s="805"/>
      <c r="P583" s="805"/>
      <c r="Q583" s="807"/>
      <c r="R583" s="807"/>
      <c r="S583" s="825"/>
      <c r="T583" s="805"/>
      <c r="U583" s="805"/>
      <c r="V583" s="805"/>
      <c r="W583" s="805"/>
      <c r="X583" s="805"/>
      <c r="Y583" s="297"/>
      <c r="AB583" s="382"/>
      <c r="AC583" s="382"/>
      <c r="AD583" s="496"/>
      <c r="AE583" s="382"/>
      <c r="AF583" s="382"/>
      <c r="AG583" s="382"/>
      <c r="AH583" s="382"/>
      <c r="AI583" s="382"/>
      <c r="AJ583" s="382"/>
      <c r="AK583" s="382"/>
      <c r="AL583" s="382"/>
      <c r="AM583" s="382"/>
      <c r="AN583" s="382"/>
      <c r="AO583" s="382"/>
      <c r="AP583" s="382"/>
      <c r="AQ583" s="382"/>
      <c r="AR583" s="382"/>
      <c r="AS583" s="382"/>
      <c r="AT583" s="382"/>
      <c r="AU583" s="382"/>
      <c r="AV583" s="382"/>
      <c r="AW583" s="382"/>
      <c r="AX583" s="382"/>
      <c r="AY583" s="382"/>
      <c r="AZ583" s="382"/>
      <c r="BA583" s="382"/>
      <c r="BB583" s="382"/>
      <c r="BC583" s="382"/>
      <c r="BD583" s="382"/>
      <c r="BE583" s="382"/>
      <c r="BF583" s="382"/>
      <c r="BG583" s="382"/>
      <c r="BH583" s="382"/>
      <c r="BI583" s="382"/>
      <c r="BJ583" s="382"/>
      <c r="BK583" s="382"/>
      <c r="BL583" s="382"/>
      <c r="BM583" s="382"/>
      <c r="BN583" s="382"/>
      <c r="BO583" s="382"/>
      <c r="BP583" s="382"/>
      <c r="BQ583" s="382"/>
      <c r="BR583" s="382"/>
      <c r="BS583" s="382"/>
      <c r="BT583" s="382"/>
      <c r="BU583" s="496"/>
      <c r="BV583" s="382"/>
      <c r="BW583" s="382"/>
      <c r="BX583" s="382"/>
      <c r="BY583" s="382"/>
      <c r="BZ583" s="382"/>
      <c r="CA583" s="382"/>
      <c r="CB583" s="382"/>
      <c r="CC583" s="382"/>
      <c r="CD583" s="382"/>
      <c r="CE583" s="382"/>
      <c r="CF583" s="382"/>
      <c r="CG583" s="382"/>
      <c r="CH583" s="382"/>
      <c r="CI583" s="382"/>
      <c r="CJ583" s="382"/>
      <c r="CK583" s="382"/>
      <c r="CL583" s="382"/>
      <c r="CM583" s="382"/>
      <c r="CN583" s="382"/>
      <c r="CO583" s="382"/>
      <c r="CP583" s="382"/>
      <c r="CQ583" s="382"/>
      <c r="CR583" s="382"/>
      <c r="CS583" s="382"/>
      <c r="CT583" s="382"/>
      <c r="CU583" s="382"/>
      <c r="CV583" s="382"/>
      <c r="CW583" s="189"/>
      <c r="CX583" s="382"/>
      <c r="CY583" s="382"/>
      <c r="CZ583" s="382"/>
      <c r="DA583" s="382"/>
      <c r="DB583" s="382"/>
      <c r="DC583" s="382"/>
      <c r="DD583" s="382"/>
      <c r="DE583" s="382"/>
      <c r="DF583" s="382"/>
      <c r="DG583" s="382"/>
      <c r="DH583" s="382"/>
      <c r="DI583" s="382"/>
      <c r="DJ583" s="382"/>
      <c r="DK583" s="382"/>
      <c r="DL583" s="382"/>
      <c r="DM583" s="382"/>
      <c r="DN583" s="382"/>
      <c r="DO583" s="382"/>
      <c r="DP583" s="382"/>
      <c r="DQ583" s="382"/>
      <c r="DR583" s="382"/>
      <c r="DS583" s="382"/>
      <c r="DT583" s="382"/>
      <c r="DU583" s="382"/>
      <c r="DV583" s="382"/>
      <c r="DW583" s="382"/>
      <c r="DX583" s="382"/>
      <c r="DY583" s="382"/>
      <c r="DZ583" s="228"/>
    </row>
    <row r="584" spans="2:130" s="180" customFormat="1" x14ac:dyDescent="0.2">
      <c r="D584" s="805"/>
      <c r="E584" s="805"/>
      <c r="F584" s="805"/>
      <c r="G584" s="805"/>
      <c r="H584" s="805"/>
      <c r="I584" s="805"/>
      <c r="J584" s="805"/>
      <c r="K584" s="805"/>
      <c r="L584" s="805"/>
      <c r="M584" s="805"/>
      <c r="N584" s="806"/>
      <c r="O584" s="805"/>
      <c r="P584" s="805"/>
      <c r="Q584" s="807"/>
      <c r="R584" s="807"/>
      <c r="S584" s="825"/>
      <c r="T584" s="805"/>
      <c r="U584" s="805"/>
      <c r="V584" s="805"/>
      <c r="W584" s="805"/>
      <c r="X584" s="805"/>
      <c r="Y584" s="297"/>
      <c r="AB584" s="382"/>
      <c r="AC584" s="382"/>
      <c r="AD584" s="496"/>
      <c r="AE584" s="382"/>
      <c r="AF584" s="382"/>
      <c r="AG584" s="382"/>
      <c r="AH584" s="382"/>
      <c r="AI584" s="382"/>
      <c r="AJ584" s="382"/>
      <c r="AK584" s="382"/>
      <c r="AL584" s="382"/>
      <c r="AM584" s="382"/>
      <c r="AN584" s="382"/>
      <c r="AO584" s="382"/>
      <c r="AP584" s="382"/>
      <c r="AQ584" s="382"/>
      <c r="AR584" s="382"/>
      <c r="AS584" s="382"/>
      <c r="AT584" s="382"/>
      <c r="AU584" s="382"/>
      <c r="AV584" s="382"/>
      <c r="AW584" s="382"/>
      <c r="AX584" s="382"/>
      <c r="AY584" s="382"/>
      <c r="AZ584" s="382"/>
      <c r="BA584" s="382"/>
      <c r="BB584" s="382"/>
      <c r="BC584" s="382"/>
      <c r="BD584" s="382"/>
      <c r="BE584" s="382"/>
      <c r="BF584" s="382"/>
      <c r="BG584" s="382"/>
      <c r="BH584" s="382"/>
      <c r="BI584" s="382"/>
      <c r="BJ584" s="382"/>
      <c r="BK584" s="382"/>
      <c r="BL584" s="382"/>
      <c r="BM584" s="382"/>
      <c r="BN584" s="382"/>
      <c r="BO584" s="382"/>
      <c r="BP584" s="382"/>
      <c r="BQ584" s="382"/>
      <c r="BR584" s="382"/>
      <c r="BS584" s="382"/>
      <c r="BT584" s="382"/>
      <c r="BU584" s="496"/>
      <c r="BV584" s="382"/>
      <c r="BW584" s="382"/>
      <c r="BX584" s="382"/>
      <c r="BY584" s="382"/>
      <c r="BZ584" s="382"/>
      <c r="CA584" s="382"/>
      <c r="CB584" s="382"/>
      <c r="CC584" s="382"/>
      <c r="CD584" s="382"/>
      <c r="CE584" s="382"/>
      <c r="CF584" s="382"/>
      <c r="CG584" s="382"/>
      <c r="CH584" s="382"/>
      <c r="CI584" s="382"/>
      <c r="CJ584" s="382"/>
      <c r="CK584" s="382"/>
      <c r="CL584" s="382"/>
      <c r="CM584" s="382"/>
      <c r="CN584" s="382"/>
      <c r="CO584" s="382"/>
      <c r="CP584" s="382"/>
      <c r="CQ584" s="382"/>
      <c r="CR584" s="382"/>
      <c r="CS584" s="382"/>
      <c r="CT584" s="382"/>
      <c r="CU584" s="382"/>
      <c r="CV584" s="382"/>
      <c r="CW584" s="189"/>
      <c r="CX584" s="382"/>
      <c r="CY584" s="382"/>
      <c r="CZ584" s="382"/>
      <c r="DA584" s="382"/>
      <c r="DB584" s="382"/>
      <c r="DC584" s="382"/>
      <c r="DD584" s="382"/>
      <c r="DE584" s="382"/>
      <c r="DF584" s="382"/>
      <c r="DG584" s="382"/>
      <c r="DH584" s="382"/>
      <c r="DI584" s="382"/>
      <c r="DJ584" s="382"/>
      <c r="DK584" s="382"/>
      <c r="DL584" s="382"/>
      <c r="DM584" s="382"/>
      <c r="DN584" s="382"/>
      <c r="DO584" s="382"/>
      <c r="DP584" s="382"/>
      <c r="DQ584" s="382"/>
      <c r="DR584" s="382"/>
      <c r="DS584" s="382"/>
      <c r="DT584" s="382"/>
      <c r="DU584" s="382"/>
      <c r="DV584" s="382"/>
      <c r="DW584" s="382"/>
      <c r="DX584" s="382"/>
      <c r="DY584" s="382"/>
      <c r="DZ584" s="228"/>
    </row>
    <row r="585" spans="2:130" s="180" customFormat="1" x14ac:dyDescent="0.2">
      <c r="D585" s="805"/>
      <c r="E585" s="805"/>
      <c r="F585" s="805"/>
      <c r="G585" s="805"/>
      <c r="H585" s="805"/>
      <c r="I585" s="805"/>
      <c r="J585" s="805"/>
      <c r="K585" s="805"/>
      <c r="L585" s="805"/>
      <c r="M585" s="805"/>
      <c r="N585" s="806"/>
      <c r="O585" s="805"/>
      <c r="P585" s="805"/>
      <c r="Q585" s="807"/>
      <c r="R585" s="807"/>
      <c r="S585" s="825"/>
      <c r="T585" s="805"/>
      <c r="U585" s="805"/>
      <c r="V585" s="805"/>
      <c r="W585" s="805"/>
      <c r="X585" s="805"/>
      <c r="Y585" s="297"/>
      <c r="AB585" s="382"/>
      <c r="AC585" s="382"/>
      <c r="AD585" s="496"/>
      <c r="AE585" s="382"/>
      <c r="AF585" s="382"/>
      <c r="AG585" s="382"/>
      <c r="AH585" s="382"/>
      <c r="AI585" s="382"/>
      <c r="AJ585" s="382"/>
      <c r="AK585" s="382"/>
      <c r="AL585" s="382"/>
      <c r="AM585" s="382"/>
      <c r="AN585" s="382"/>
      <c r="AO585" s="382"/>
      <c r="AP585" s="382"/>
      <c r="AQ585" s="382"/>
      <c r="AR585" s="382"/>
      <c r="AS585" s="382"/>
      <c r="AT585" s="382"/>
      <c r="AU585" s="382"/>
      <c r="AV585" s="382"/>
      <c r="AW585" s="382"/>
      <c r="AX585" s="382"/>
      <c r="AY585" s="382"/>
      <c r="AZ585" s="382"/>
      <c r="BA585" s="382"/>
      <c r="BB585" s="382"/>
      <c r="BC585" s="382"/>
      <c r="BD585" s="382"/>
      <c r="BE585" s="382"/>
      <c r="BF585" s="382"/>
      <c r="BG585" s="382"/>
      <c r="BH585" s="382"/>
      <c r="BI585" s="382"/>
      <c r="BJ585" s="382"/>
      <c r="BK585" s="382"/>
      <c r="BL585" s="382"/>
      <c r="BM585" s="382"/>
      <c r="BN585" s="382"/>
      <c r="BO585" s="382"/>
      <c r="BP585" s="382"/>
      <c r="BQ585" s="382"/>
      <c r="BR585" s="382"/>
      <c r="BS585" s="382"/>
      <c r="BT585" s="382"/>
      <c r="BU585" s="496"/>
      <c r="BV585" s="382"/>
      <c r="BW585" s="382"/>
      <c r="BX585" s="382"/>
      <c r="BY585" s="382"/>
      <c r="BZ585" s="382"/>
      <c r="CA585" s="382"/>
      <c r="CB585" s="382"/>
      <c r="CC585" s="382"/>
      <c r="CD585" s="382"/>
      <c r="CE585" s="382"/>
      <c r="CF585" s="382"/>
      <c r="CG585" s="382"/>
      <c r="CH585" s="382"/>
      <c r="CI585" s="382"/>
      <c r="CJ585" s="382"/>
      <c r="CK585" s="382"/>
      <c r="CL585" s="382"/>
      <c r="CM585" s="382"/>
      <c r="CN585" s="382"/>
      <c r="CO585" s="382"/>
      <c r="CP585" s="382"/>
      <c r="CQ585" s="382"/>
      <c r="CR585" s="382"/>
      <c r="CS585" s="382"/>
      <c r="CT585" s="382"/>
      <c r="CU585" s="382"/>
      <c r="CV585" s="382"/>
      <c r="CW585" s="189"/>
      <c r="CX585" s="382"/>
      <c r="CY585" s="382"/>
      <c r="CZ585" s="382"/>
      <c r="DA585" s="382"/>
      <c r="DB585" s="382"/>
      <c r="DC585" s="382"/>
      <c r="DD585" s="382"/>
      <c r="DE585" s="382"/>
      <c r="DF585" s="382"/>
      <c r="DG585" s="382"/>
      <c r="DH585" s="382"/>
      <c r="DI585" s="382"/>
      <c r="DJ585" s="382"/>
      <c r="DK585" s="382"/>
      <c r="DL585" s="382"/>
      <c r="DM585" s="382"/>
      <c r="DN585" s="382"/>
      <c r="DO585" s="382"/>
      <c r="DP585" s="382"/>
      <c r="DQ585" s="382"/>
      <c r="DR585" s="382"/>
      <c r="DS585" s="382"/>
      <c r="DT585" s="382"/>
      <c r="DU585" s="382"/>
      <c r="DV585" s="382"/>
      <c r="DW585" s="382"/>
      <c r="DX585" s="382"/>
      <c r="DY585" s="382"/>
      <c r="DZ585" s="228"/>
    </row>
    <row r="586" spans="2:130" s="180" customFormat="1" x14ac:dyDescent="0.2">
      <c r="D586" s="805"/>
      <c r="E586" s="805"/>
      <c r="F586" s="805"/>
      <c r="G586" s="805"/>
      <c r="H586" s="805"/>
      <c r="I586" s="805"/>
      <c r="J586" s="805"/>
      <c r="K586" s="805"/>
      <c r="L586" s="805"/>
      <c r="M586" s="805"/>
      <c r="N586" s="806"/>
      <c r="O586" s="805"/>
      <c r="P586" s="805"/>
      <c r="Q586" s="807"/>
      <c r="R586" s="807"/>
      <c r="S586" s="825"/>
      <c r="T586" s="805"/>
      <c r="U586" s="805"/>
      <c r="V586" s="805"/>
      <c r="W586" s="805"/>
      <c r="X586" s="805"/>
      <c r="Y586" s="297"/>
      <c r="AB586" s="382"/>
      <c r="AC586" s="382"/>
      <c r="AD586" s="496"/>
      <c r="AE586" s="382"/>
      <c r="AF586" s="382"/>
      <c r="AG586" s="382"/>
      <c r="AH586" s="382"/>
      <c r="AI586" s="382"/>
      <c r="AJ586" s="382"/>
      <c r="AK586" s="382"/>
      <c r="AL586" s="382"/>
      <c r="AM586" s="382"/>
      <c r="AN586" s="382"/>
      <c r="AO586" s="382"/>
      <c r="AP586" s="382"/>
      <c r="AQ586" s="382"/>
      <c r="AR586" s="382"/>
      <c r="AS586" s="382"/>
      <c r="AT586" s="382"/>
      <c r="AU586" s="382"/>
      <c r="AV586" s="382"/>
      <c r="AW586" s="382"/>
      <c r="AX586" s="382"/>
      <c r="AY586" s="382"/>
      <c r="AZ586" s="382"/>
      <c r="BA586" s="382"/>
      <c r="BB586" s="382"/>
      <c r="BC586" s="382"/>
      <c r="BD586" s="382"/>
      <c r="BE586" s="382"/>
      <c r="BF586" s="382"/>
      <c r="BG586" s="382"/>
      <c r="BH586" s="382"/>
      <c r="BI586" s="382"/>
      <c r="BJ586" s="382"/>
      <c r="BK586" s="382"/>
      <c r="BL586" s="382"/>
      <c r="BM586" s="382"/>
      <c r="BN586" s="382"/>
      <c r="BO586" s="382"/>
      <c r="BP586" s="382"/>
      <c r="BQ586" s="382"/>
      <c r="BR586" s="382"/>
      <c r="BS586" s="382"/>
      <c r="BT586" s="382"/>
      <c r="BU586" s="496"/>
      <c r="BV586" s="382"/>
      <c r="BW586" s="382"/>
      <c r="BX586" s="382"/>
      <c r="BY586" s="382"/>
      <c r="BZ586" s="382"/>
      <c r="CA586" s="382"/>
      <c r="CB586" s="382"/>
      <c r="CC586" s="382"/>
      <c r="CD586" s="382"/>
      <c r="CE586" s="382"/>
      <c r="CF586" s="382"/>
      <c r="CG586" s="382"/>
      <c r="CH586" s="382"/>
      <c r="CI586" s="382"/>
      <c r="CJ586" s="382"/>
      <c r="CK586" s="382"/>
      <c r="CL586" s="382"/>
      <c r="CM586" s="382"/>
      <c r="CN586" s="382"/>
      <c r="CO586" s="382"/>
      <c r="CP586" s="382"/>
      <c r="CQ586" s="382"/>
      <c r="CR586" s="382"/>
      <c r="CS586" s="382"/>
      <c r="CT586" s="382"/>
      <c r="CU586" s="382"/>
      <c r="CV586" s="382"/>
      <c r="CW586" s="189"/>
      <c r="CX586" s="382"/>
      <c r="CY586" s="382"/>
      <c r="CZ586" s="382"/>
      <c r="DA586" s="382"/>
      <c r="DB586" s="382"/>
      <c r="DC586" s="382"/>
      <c r="DD586" s="382"/>
      <c r="DE586" s="382"/>
      <c r="DF586" s="382"/>
      <c r="DG586" s="382"/>
      <c r="DH586" s="382"/>
      <c r="DI586" s="382"/>
      <c r="DJ586" s="382"/>
      <c r="DK586" s="382"/>
      <c r="DL586" s="382"/>
      <c r="DM586" s="382"/>
      <c r="DN586" s="382"/>
      <c r="DO586" s="382"/>
      <c r="DP586" s="382"/>
      <c r="DQ586" s="382"/>
      <c r="DR586" s="382"/>
      <c r="DS586" s="382"/>
      <c r="DT586" s="382"/>
      <c r="DU586" s="382"/>
      <c r="DV586" s="382"/>
      <c r="DW586" s="382"/>
      <c r="DX586" s="382"/>
      <c r="DY586" s="382"/>
      <c r="DZ586" s="228"/>
    </row>
    <row r="587" spans="2:130" s="180" customFormat="1" x14ac:dyDescent="0.2">
      <c r="D587" s="805"/>
      <c r="E587" s="805"/>
      <c r="F587" s="805"/>
      <c r="G587" s="805"/>
      <c r="H587" s="805"/>
      <c r="I587" s="805"/>
      <c r="J587" s="805"/>
      <c r="K587" s="805"/>
      <c r="L587" s="805"/>
      <c r="M587" s="805"/>
      <c r="N587" s="806"/>
      <c r="O587" s="805"/>
      <c r="P587" s="805"/>
      <c r="Q587" s="807"/>
      <c r="R587" s="807"/>
      <c r="S587" s="825"/>
      <c r="T587" s="805"/>
      <c r="U587" s="805"/>
      <c r="V587" s="805"/>
      <c r="W587" s="805"/>
      <c r="X587" s="805"/>
      <c r="Y587" s="297"/>
      <c r="AB587" s="382"/>
      <c r="AC587" s="382"/>
      <c r="AD587" s="496"/>
      <c r="AE587" s="382"/>
      <c r="AF587" s="382"/>
      <c r="AG587" s="382"/>
      <c r="AH587" s="382"/>
      <c r="AI587" s="382"/>
      <c r="AJ587" s="382"/>
      <c r="AK587" s="382"/>
      <c r="AL587" s="382"/>
      <c r="AM587" s="382"/>
      <c r="AN587" s="382"/>
      <c r="AO587" s="382"/>
      <c r="AP587" s="382"/>
      <c r="AQ587" s="382"/>
      <c r="AR587" s="382"/>
      <c r="AS587" s="382"/>
      <c r="AT587" s="382"/>
      <c r="AU587" s="382"/>
      <c r="AV587" s="382"/>
      <c r="AW587" s="382"/>
      <c r="AX587" s="382"/>
      <c r="AY587" s="382"/>
      <c r="AZ587" s="382"/>
      <c r="BA587" s="382"/>
      <c r="BB587" s="382"/>
      <c r="BC587" s="382"/>
      <c r="BD587" s="382"/>
      <c r="BE587" s="382"/>
      <c r="BF587" s="382"/>
      <c r="BG587" s="382"/>
      <c r="BH587" s="382"/>
      <c r="BI587" s="382"/>
      <c r="BJ587" s="382"/>
      <c r="BK587" s="382"/>
      <c r="BL587" s="382"/>
      <c r="BM587" s="382"/>
      <c r="BN587" s="382"/>
      <c r="BO587" s="382"/>
      <c r="BP587" s="382"/>
      <c r="BQ587" s="382"/>
      <c r="BR587" s="382"/>
      <c r="BS587" s="382"/>
      <c r="BT587" s="382"/>
      <c r="BU587" s="496"/>
      <c r="BV587" s="382"/>
      <c r="BW587" s="382"/>
      <c r="BX587" s="382"/>
      <c r="BY587" s="382"/>
      <c r="BZ587" s="382"/>
      <c r="CA587" s="382"/>
      <c r="CB587" s="382"/>
      <c r="CC587" s="382"/>
      <c r="CD587" s="382"/>
      <c r="CE587" s="382"/>
      <c r="CF587" s="382"/>
      <c r="CG587" s="382"/>
      <c r="CH587" s="382"/>
      <c r="CI587" s="382"/>
      <c r="CJ587" s="382"/>
      <c r="CK587" s="382"/>
      <c r="CL587" s="382"/>
      <c r="CM587" s="382"/>
      <c r="CN587" s="382"/>
      <c r="CO587" s="382"/>
      <c r="CP587" s="382"/>
      <c r="CQ587" s="382"/>
      <c r="CR587" s="382"/>
      <c r="CS587" s="382"/>
      <c r="CT587" s="382"/>
      <c r="CU587" s="382"/>
      <c r="CV587" s="382"/>
      <c r="CW587" s="189"/>
      <c r="CX587" s="382"/>
      <c r="CY587" s="382"/>
      <c r="CZ587" s="382"/>
      <c r="DA587" s="382"/>
      <c r="DB587" s="382"/>
      <c r="DC587" s="382"/>
      <c r="DD587" s="382"/>
      <c r="DE587" s="382"/>
      <c r="DF587" s="382"/>
      <c r="DG587" s="382"/>
      <c r="DH587" s="382"/>
      <c r="DI587" s="382"/>
      <c r="DJ587" s="382"/>
      <c r="DK587" s="382"/>
      <c r="DL587" s="382"/>
      <c r="DM587" s="382"/>
      <c r="DN587" s="382"/>
      <c r="DO587" s="382"/>
      <c r="DP587" s="382"/>
      <c r="DQ587" s="382"/>
      <c r="DR587" s="382"/>
      <c r="DS587" s="382"/>
      <c r="DT587" s="382"/>
      <c r="DU587" s="382"/>
      <c r="DV587" s="382"/>
      <c r="DW587" s="382"/>
      <c r="DX587" s="382"/>
      <c r="DY587" s="382"/>
      <c r="DZ587" s="228"/>
    </row>
    <row r="588" spans="2:130" s="180" customFormat="1" x14ac:dyDescent="0.2">
      <c r="D588" s="805"/>
      <c r="E588" s="805"/>
      <c r="F588" s="805"/>
      <c r="G588" s="805"/>
      <c r="H588" s="805"/>
      <c r="I588" s="805"/>
      <c r="J588" s="805"/>
      <c r="K588" s="805"/>
      <c r="L588" s="805"/>
      <c r="M588" s="805"/>
      <c r="N588" s="806"/>
      <c r="O588" s="805"/>
      <c r="P588" s="805"/>
      <c r="Q588" s="807"/>
      <c r="R588" s="807"/>
      <c r="S588" s="825"/>
      <c r="T588" s="805"/>
      <c r="U588" s="805"/>
      <c r="V588" s="805"/>
      <c r="W588" s="805"/>
      <c r="X588" s="805"/>
      <c r="Y588" s="297"/>
      <c r="AB588" s="382"/>
      <c r="AC588" s="382"/>
      <c r="AD588" s="496"/>
      <c r="AE588" s="382"/>
      <c r="AF588" s="382"/>
      <c r="AG588" s="382"/>
      <c r="AH588" s="382"/>
      <c r="AI588" s="382"/>
      <c r="AJ588" s="382"/>
      <c r="AK588" s="382"/>
      <c r="AL588" s="382"/>
      <c r="AM588" s="382"/>
      <c r="AN588" s="382"/>
      <c r="AO588" s="382"/>
      <c r="AP588" s="382"/>
      <c r="AQ588" s="382"/>
      <c r="AR588" s="382"/>
      <c r="AS588" s="382"/>
      <c r="AT588" s="382"/>
      <c r="AU588" s="382"/>
      <c r="AV588" s="382"/>
      <c r="AW588" s="382"/>
      <c r="AX588" s="382"/>
      <c r="AY588" s="382"/>
      <c r="AZ588" s="382"/>
      <c r="BA588" s="382"/>
      <c r="BB588" s="382"/>
      <c r="BC588" s="382"/>
      <c r="BD588" s="382"/>
      <c r="BE588" s="382"/>
      <c r="BF588" s="382"/>
      <c r="BG588" s="382"/>
      <c r="BH588" s="382"/>
      <c r="BI588" s="382"/>
      <c r="BJ588" s="382"/>
      <c r="BK588" s="382"/>
      <c r="BL588" s="382"/>
      <c r="BM588" s="382"/>
      <c r="BN588" s="382"/>
      <c r="BO588" s="382"/>
      <c r="BP588" s="382"/>
      <c r="BQ588" s="382"/>
      <c r="BR588" s="382"/>
      <c r="BS588" s="382"/>
      <c r="BT588" s="382"/>
      <c r="BU588" s="496"/>
      <c r="BV588" s="382"/>
      <c r="BW588" s="382"/>
      <c r="BX588" s="382"/>
      <c r="BY588" s="382"/>
      <c r="BZ588" s="382"/>
      <c r="CA588" s="382"/>
      <c r="CB588" s="382"/>
      <c r="CC588" s="382"/>
      <c r="CD588" s="382"/>
      <c r="CE588" s="382"/>
      <c r="CF588" s="382"/>
      <c r="CG588" s="382"/>
      <c r="CH588" s="382"/>
      <c r="CI588" s="382"/>
      <c r="CJ588" s="382"/>
      <c r="CK588" s="382"/>
      <c r="CL588" s="382"/>
      <c r="CM588" s="382"/>
      <c r="CN588" s="382"/>
      <c r="CO588" s="382"/>
      <c r="CP588" s="382"/>
      <c r="CQ588" s="382"/>
      <c r="CR588" s="382"/>
      <c r="CS588" s="382"/>
      <c r="CT588" s="382"/>
      <c r="CU588" s="382"/>
      <c r="CV588" s="382"/>
      <c r="CW588" s="189"/>
      <c r="CX588" s="382"/>
      <c r="CY588" s="382"/>
      <c r="CZ588" s="382"/>
      <c r="DA588" s="382"/>
      <c r="DB588" s="382"/>
      <c r="DC588" s="382"/>
      <c r="DD588" s="382"/>
      <c r="DE588" s="382"/>
      <c r="DF588" s="382"/>
      <c r="DG588" s="382"/>
      <c r="DH588" s="382"/>
      <c r="DI588" s="382"/>
      <c r="DJ588" s="382"/>
      <c r="DK588" s="382"/>
      <c r="DL588" s="382"/>
      <c r="DM588" s="382"/>
      <c r="DN588" s="382"/>
      <c r="DO588" s="382"/>
      <c r="DP588" s="382"/>
      <c r="DQ588" s="382"/>
      <c r="DR588" s="382"/>
      <c r="DS588" s="382"/>
      <c r="DT588" s="382"/>
      <c r="DU588" s="382"/>
      <c r="DV588" s="382"/>
      <c r="DW588" s="382"/>
      <c r="DX588" s="382"/>
      <c r="DY588" s="382"/>
      <c r="DZ588" s="228"/>
    </row>
    <row r="589" spans="2:130" s="180" customFormat="1" x14ac:dyDescent="0.2">
      <c r="D589" s="805"/>
      <c r="E589" s="805"/>
      <c r="F589" s="805"/>
      <c r="G589" s="805"/>
      <c r="H589" s="805"/>
      <c r="I589" s="805"/>
      <c r="J589" s="805"/>
      <c r="K589" s="805"/>
      <c r="L589" s="805"/>
      <c r="M589" s="805"/>
      <c r="N589" s="806"/>
      <c r="O589" s="805"/>
      <c r="P589" s="805"/>
      <c r="Q589" s="807"/>
      <c r="R589" s="807"/>
      <c r="S589" s="825"/>
      <c r="T589" s="805"/>
      <c r="U589" s="805"/>
      <c r="V589" s="805"/>
      <c r="W589" s="805"/>
      <c r="X589" s="805"/>
      <c r="Y589" s="297"/>
      <c r="AB589" s="382"/>
      <c r="AC589" s="382"/>
      <c r="AD589" s="496"/>
      <c r="AE589" s="382"/>
      <c r="AF589" s="382"/>
      <c r="AG589" s="382"/>
      <c r="AH589" s="382"/>
      <c r="AI589" s="382"/>
      <c r="AJ589" s="382"/>
      <c r="AK589" s="382"/>
      <c r="AL589" s="382"/>
      <c r="AM589" s="382"/>
      <c r="AN589" s="382"/>
      <c r="AO589" s="382"/>
      <c r="AP589" s="382"/>
      <c r="AQ589" s="382"/>
      <c r="AR589" s="382"/>
      <c r="AS589" s="382"/>
      <c r="AT589" s="382"/>
      <c r="AU589" s="382"/>
      <c r="AV589" s="382"/>
      <c r="AW589" s="382"/>
      <c r="AX589" s="382"/>
      <c r="AY589" s="382"/>
      <c r="AZ589" s="382"/>
      <c r="BA589" s="382"/>
      <c r="BB589" s="382"/>
      <c r="BC589" s="382"/>
      <c r="BD589" s="382"/>
      <c r="BE589" s="382"/>
      <c r="BF589" s="382"/>
      <c r="BG589" s="382"/>
      <c r="BH589" s="382"/>
      <c r="BI589" s="382"/>
      <c r="BJ589" s="382"/>
      <c r="BK589" s="382"/>
      <c r="BL589" s="382"/>
      <c r="BM589" s="382"/>
      <c r="BN589" s="382"/>
      <c r="BO589" s="382"/>
      <c r="BP589" s="382"/>
      <c r="BQ589" s="382"/>
      <c r="BR589" s="382"/>
      <c r="BS589" s="382"/>
      <c r="BT589" s="382"/>
      <c r="BU589" s="496"/>
      <c r="BV589" s="382"/>
      <c r="BW589" s="382"/>
      <c r="BX589" s="382"/>
      <c r="BY589" s="382"/>
      <c r="BZ589" s="382"/>
      <c r="CA589" s="382"/>
      <c r="CB589" s="382"/>
      <c r="CC589" s="382"/>
      <c r="CD589" s="382"/>
      <c r="CE589" s="382"/>
      <c r="CF589" s="382"/>
      <c r="CG589" s="382"/>
      <c r="CH589" s="382"/>
      <c r="CI589" s="382"/>
      <c r="CJ589" s="382"/>
      <c r="CK589" s="382"/>
      <c r="CL589" s="382"/>
      <c r="CM589" s="382"/>
      <c r="CN589" s="382"/>
      <c r="CO589" s="382"/>
      <c r="CP589" s="382"/>
      <c r="CQ589" s="382"/>
      <c r="CR589" s="382"/>
      <c r="CS589" s="382"/>
      <c r="CT589" s="382"/>
      <c r="CU589" s="382"/>
      <c r="CV589" s="382"/>
      <c r="CW589" s="189"/>
      <c r="CX589" s="382"/>
      <c r="CY589" s="382"/>
      <c r="CZ589" s="382"/>
      <c r="DA589" s="382"/>
      <c r="DB589" s="382"/>
      <c r="DC589" s="382"/>
      <c r="DD589" s="382"/>
      <c r="DE589" s="382"/>
      <c r="DF589" s="382"/>
      <c r="DG589" s="382"/>
      <c r="DH589" s="382"/>
      <c r="DI589" s="382"/>
      <c r="DJ589" s="382"/>
      <c r="DK589" s="382"/>
      <c r="DL589" s="382"/>
      <c r="DM589" s="382"/>
      <c r="DN589" s="382"/>
      <c r="DO589" s="382"/>
      <c r="DP589" s="382"/>
      <c r="DQ589" s="382"/>
      <c r="DR589" s="382"/>
      <c r="DS589" s="382"/>
      <c r="DT589" s="382"/>
      <c r="DU589" s="382"/>
      <c r="DV589" s="382"/>
      <c r="DW589" s="382"/>
      <c r="DX589" s="382"/>
      <c r="DY589" s="382"/>
      <c r="DZ589" s="228"/>
    </row>
    <row r="590" spans="2:130" s="180" customFormat="1" x14ac:dyDescent="0.2">
      <c r="D590" s="805"/>
      <c r="E590" s="805"/>
      <c r="F590" s="805"/>
      <c r="G590" s="805"/>
      <c r="H590" s="805"/>
      <c r="I590" s="805"/>
      <c r="J590" s="805"/>
      <c r="K590" s="805"/>
      <c r="L590" s="805"/>
      <c r="M590" s="805"/>
      <c r="N590" s="806"/>
      <c r="O590" s="805"/>
      <c r="P590" s="805"/>
      <c r="Q590" s="807"/>
      <c r="R590" s="807"/>
      <c r="S590" s="825"/>
      <c r="T590" s="805"/>
      <c r="U590" s="805"/>
      <c r="V590" s="805"/>
      <c r="W590" s="805"/>
      <c r="X590" s="805"/>
      <c r="Y590" s="297"/>
      <c r="AB590" s="382"/>
      <c r="AC590" s="382"/>
      <c r="AD590" s="496"/>
      <c r="AE590" s="382"/>
      <c r="AF590" s="382"/>
      <c r="AG590" s="382"/>
      <c r="AH590" s="382"/>
      <c r="AI590" s="382"/>
      <c r="AJ590" s="382"/>
      <c r="AK590" s="382"/>
      <c r="AL590" s="382"/>
      <c r="AM590" s="382"/>
      <c r="AN590" s="382"/>
      <c r="AO590" s="382"/>
      <c r="AP590" s="382"/>
      <c r="AQ590" s="382"/>
      <c r="AR590" s="382"/>
      <c r="AS590" s="382"/>
      <c r="AT590" s="382"/>
      <c r="AU590" s="382"/>
      <c r="AV590" s="382"/>
      <c r="AW590" s="382"/>
      <c r="AX590" s="382"/>
      <c r="AY590" s="382"/>
      <c r="AZ590" s="382"/>
      <c r="BA590" s="382"/>
      <c r="BB590" s="382"/>
      <c r="BC590" s="382"/>
      <c r="BD590" s="382"/>
      <c r="BE590" s="382"/>
      <c r="BF590" s="382"/>
      <c r="BG590" s="382"/>
      <c r="BH590" s="382"/>
      <c r="BI590" s="382"/>
      <c r="BJ590" s="382"/>
      <c r="BK590" s="382"/>
      <c r="BL590" s="382"/>
      <c r="BM590" s="382"/>
      <c r="BN590" s="382"/>
      <c r="BO590" s="382"/>
      <c r="BP590" s="382"/>
      <c r="BQ590" s="382"/>
      <c r="BR590" s="382"/>
      <c r="BS590" s="382"/>
      <c r="BT590" s="382"/>
      <c r="BU590" s="496"/>
      <c r="BV590" s="382"/>
      <c r="BW590" s="382"/>
      <c r="BX590" s="382"/>
      <c r="BY590" s="382"/>
      <c r="BZ590" s="382"/>
      <c r="CA590" s="382"/>
      <c r="CB590" s="382"/>
      <c r="CC590" s="382"/>
      <c r="CD590" s="382"/>
      <c r="CE590" s="382"/>
      <c r="CF590" s="382"/>
      <c r="CG590" s="382"/>
      <c r="CH590" s="382"/>
      <c r="CI590" s="382"/>
      <c r="CJ590" s="382"/>
      <c r="CK590" s="382"/>
      <c r="CL590" s="382"/>
      <c r="CM590" s="382"/>
      <c r="CN590" s="382"/>
      <c r="CO590" s="382"/>
      <c r="CP590" s="382"/>
      <c r="CQ590" s="382"/>
      <c r="CR590" s="382"/>
      <c r="CS590" s="382"/>
      <c r="CT590" s="382"/>
      <c r="CU590" s="382"/>
      <c r="CV590" s="382"/>
      <c r="CW590" s="189"/>
      <c r="CX590" s="382"/>
      <c r="CY590" s="382"/>
      <c r="CZ590" s="382"/>
      <c r="DA590" s="382"/>
      <c r="DB590" s="382"/>
      <c r="DC590" s="382"/>
      <c r="DD590" s="382"/>
      <c r="DE590" s="382"/>
      <c r="DF590" s="382"/>
      <c r="DG590" s="382"/>
      <c r="DH590" s="382"/>
      <c r="DI590" s="382"/>
      <c r="DJ590" s="382"/>
      <c r="DK590" s="382"/>
      <c r="DL590" s="382"/>
      <c r="DM590" s="382"/>
      <c r="DN590" s="382"/>
      <c r="DO590" s="382"/>
      <c r="DP590" s="382"/>
      <c r="DQ590" s="382"/>
      <c r="DR590" s="382"/>
      <c r="DS590" s="382"/>
      <c r="DT590" s="382"/>
      <c r="DU590" s="382"/>
      <c r="DV590" s="382"/>
      <c r="DW590" s="382"/>
      <c r="DX590" s="382"/>
      <c r="DY590" s="382"/>
      <c r="DZ590" s="228"/>
    </row>
    <row r="591" spans="2:130" s="180" customFormat="1" x14ac:dyDescent="0.2">
      <c r="D591" s="805"/>
      <c r="E591" s="805"/>
      <c r="F591" s="805"/>
      <c r="G591" s="805"/>
      <c r="H591" s="805"/>
      <c r="I591" s="805"/>
      <c r="J591" s="805"/>
      <c r="K591" s="805"/>
      <c r="L591" s="805"/>
      <c r="M591" s="805"/>
      <c r="N591" s="806"/>
      <c r="O591" s="805"/>
      <c r="P591" s="805"/>
      <c r="Q591" s="807"/>
      <c r="R591" s="807"/>
      <c r="S591" s="825"/>
      <c r="T591" s="805"/>
      <c r="U591" s="805"/>
      <c r="V591" s="805"/>
      <c r="W591" s="805"/>
      <c r="X591" s="805"/>
      <c r="Y591" s="297"/>
      <c r="AB591" s="382"/>
      <c r="AC591" s="382"/>
      <c r="AD591" s="496"/>
      <c r="AE591" s="382"/>
      <c r="AF591" s="382"/>
      <c r="AG591" s="382"/>
      <c r="AH591" s="382"/>
      <c r="AI591" s="382"/>
      <c r="AJ591" s="382"/>
      <c r="AK591" s="382"/>
      <c r="AL591" s="382"/>
      <c r="AM591" s="382"/>
      <c r="AN591" s="382"/>
      <c r="AO591" s="382"/>
      <c r="AP591" s="382"/>
      <c r="AQ591" s="382"/>
      <c r="AR591" s="382"/>
      <c r="AS591" s="382"/>
      <c r="AT591" s="382"/>
      <c r="AU591" s="382"/>
      <c r="AV591" s="382"/>
      <c r="AW591" s="382"/>
      <c r="AX591" s="382"/>
      <c r="AY591" s="382"/>
      <c r="AZ591" s="382"/>
      <c r="BA591" s="382"/>
      <c r="BB591" s="382"/>
      <c r="BC591" s="382"/>
      <c r="BD591" s="382"/>
      <c r="BE591" s="382"/>
      <c r="BF591" s="382"/>
      <c r="BG591" s="382"/>
      <c r="BH591" s="382"/>
      <c r="BI591" s="382"/>
      <c r="BJ591" s="382"/>
      <c r="BK591" s="382"/>
      <c r="BL591" s="382"/>
      <c r="BM591" s="382"/>
      <c r="BN591" s="382"/>
      <c r="BO591" s="382"/>
      <c r="BP591" s="382"/>
      <c r="BQ591" s="382"/>
      <c r="BR591" s="382"/>
      <c r="BS591" s="382"/>
      <c r="BT591" s="382"/>
      <c r="BU591" s="496"/>
      <c r="BV591" s="382"/>
      <c r="BW591" s="382"/>
      <c r="BX591" s="382"/>
      <c r="BY591" s="382"/>
      <c r="BZ591" s="382"/>
      <c r="CA591" s="382"/>
      <c r="CB591" s="382"/>
      <c r="CC591" s="382"/>
      <c r="CD591" s="382"/>
      <c r="CE591" s="382"/>
      <c r="CF591" s="382"/>
      <c r="CG591" s="382"/>
      <c r="CH591" s="382"/>
      <c r="CI591" s="382"/>
      <c r="CJ591" s="382"/>
      <c r="CK591" s="382"/>
      <c r="CL591" s="382"/>
      <c r="CM591" s="382"/>
      <c r="CN591" s="382"/>
      <c r="CO591" s="382"/>
      <c r="CP591" s="382"/>
      <c r="CQ591" s="382"/>
      <c r="CR591" s="382"/>
      <c r="CS591" s="382"/>
      <c r="CT591" s="382"/>
      <c r="CU591" s="382"/>
      <c r="CV591" s="382"/>
      <c r="CW591" s="189"/>
      <c r="CX591" s="382"/>
      <c r="CY591" s="382"/>
      <c r="CZ591" s="382"/>
      <c r="DA591" s="382"/>
      <c r="DB591" s="382"/>
      <c r="DC591" s="382"/>
      <c r="DD591" s="382"/>
      <c r="DE591" s="382"/>
      <c r="DF591" s="382"/>
      <c r="DG591" s="382"/>
      <c r="DH591" s="382"/>
      <c r="DI591" s="382"/>
      <c r="DJ591" s="382"/>
      <c r="DK591" s="382"/>
      <c r="DL591" s="382"/>
      <c r="DM591" s="382"/>
      <c r="DN591" s="382"/>
      <c r="DO591" s="382"/>
      <c r="DP591" s="382"/>
      <c r="DQ591" s="382"/>
      <c r="DR591" s="382"/>
      <c r="DS591" s="382"/>
      <c r="DT591" s="382"/>
      <c r="DU591" s="382"/>
      <c r="DV591" s="382"/>
      <c r="DW591" s="382"/>
      <c r="DX591" s="382"/>
      <c r="DY591" s="382"/>
      <c r="DZ591" s="228"/>
    </row>
    <row r="592" spans="2:130" s="180" customFormat="1" x14ac:dyDescent="0.2">
      <c r="D592" s="805"/>
      <c r="E592" s="805"/>
      <c r="F592" s="805"/>
      <c r="G592" s="805"/>
      <c r="H592" s="805"/>
      <c r="I592" s="805"/>
      <c r="J592" s="805"/>
      <c r="K592" s="805"/>
      <c r="L592" s="805"/>
      <c r="M592" s="805"/>
      <c r="N592" s="806"/>
      <c r="O592" s="805"/>
      <c r="P592" s="805"/>
      <c r="Q592" s="807"/>
      <c r="R592" s="807"/>
      <c r="S592" s="825"/>
      <c r="T592" s="805"/>
      <c r="U592" s="805"/>
      <c r="V592" s="805"/>
      <c r="W592" s="805"/>
      <c r="X592" s="805"/>
      <c r="Y592" s="297"/>
      <c r="AB592" s="382"/>
      <c r="AC592" s="382"/>
      <c r="AD592" s="496"/>
      <c r="AE592" s="382"/>
      <c r="AF592" s="382"/>
      <c r="AG592" s="382"/>
      <c r="AH592" s="382"/>
      <c r="AI592" s="382"/>
      <c r="AJ592" s="382"/>
      <c r="AK592" s="382"/>
      <c r="AL592" s="382"/>
      <c r="AM592" s="382"/>
      <c r="AN592" s="382"/>
      <c r="AO592" s="382"/>
      <c r="AP592" s="382"/>
      <c r="AQ592" s="382"/>
      <c r="AR592" s="382"/>
      <c r="AS592" s="382"/>
      <c r="AT592" s="382"/>
      <c r="AU592" s="382"/>
      <c r="AV592" s="382"/>
      <c r="AW592" s="382"/>
      <c r="AX592" s="382"/>
      <c r="AY592" s="382"/>
      <c r="AZ592" s="382"/>
      <c r="BA592" s="382"/>
      <c r="BB592" s="382"/>
      <c r="BC592" s="382"/>
      <c r="BD592" s="382"/>
      <c r="BE592" s="382"/>
      <c r="BF592" s="382"/>
      <c r="BG592" s="382"/>
      <c r="BH592" s="382"/>
      <c r="BI592" s="382"/>
      <c r="BJ592" s="382"/>
      <c r="BK592" s="382"/>
      <c r="BL592" s="382"/>
      <c r="BM592" s="382"/>
      <c r="BN592" s="382"/>
      <c r="BO592" s="382"/>
      <c r="BP592" s="382"/>
      <c r="BQ592" s="382"/>
      <c r="BR592" s="382"/>
      <c r="BS592" s="382"/>
      <c r="BT592" s="382"/>
      <c r="BU592" s="496"/>
      <c r="BV592" s="382"/>
      <c r="BW592" s="382"/>
      <c r="BX592" s="382"/>
      <c r="BY592" s="382"/>
      <c r="BZ592" s="382"/>
      <c r="CA592" s="382"/>
      <c r="CB592" s="382"/>
      <c r="CC592" s="382"/>
      <c r="CD592" s="382"/>
      <c r="CE592" s="382"/>
      <c r="CF592" s="382"/>
      <c r="CG592" s="382"/>
      <c r="CH592" s="382"/>
      <c r="CI592" s="382"/>
      <c r="CJ592" s="382"/>
      <c r="CK592" s="382"/>
      <c r="CL592" s="382"/>
      <c r="CM592" s="382"/>
      <c r="CN592" s="382"/>
      <c r="CO592" s="382"/>
      <c r="CP592" s="382"/>
      <c r="CQ592" s="382"/>
      <c r="CR592" s="382"/>
      <c r="CS592" s="382"/>
      <c r="CT592" s="382"/>
      <c r="CU592" s="382"/>
      <c r="CV592" s="382"/>
      <c r="CW592" s="189"/>
      <c r="CX592" s="382"/>
      <c r="CY592" s="382"/>
      <c r="CZ592" s="382"/>
      <c r="DA592" s="382"/>
      <c r="DB592" s="382"/>
      <c r="DC592" s="382"/>
      <c r="DD592" s="382"/>
      <c r="DE592" s="382"/>
      <c r="DF592" s="382"/>
      <c r="DG592" s="382"/>
      <c r="DH592" s="382"/>
      <c r="DI592" s="382"/>
      <c r="DJ592" s="382"/>
      <c r="DK592" s="382"/>
      <c r="DL592" s="382"/>
      <c r="DM592" s="382"/>
      <c r="DN592" s="382"/>
      <c r="DO592" s="382"/>
      <c r="DP592" s="382"/>
      <c r="DQ592" s="382"/>
      <c r="DR592" s="382"/>
      <c r="DS592" s="382"/>
      <c r="DT592" s="382"/>
      <c r="DU592" s="382"/>
      <c r="DV592" s="382"/>
      <c r="DW592" s="382"/>
      <c r="DX592" s="382"/>
      <c r="DY592" s="382"/>
      <c r="DZ592" s="228"/>
    </row>
    <row r="593" spans="4:130" s="180" customFormat="1" x14ac:dyDescent="0.2">
      <c r="D593" s="805"/>
      <c r="E593" s="805"/>
      <c r="F593" s="805"/>
      <c r="G593" s="805"/>
      <c r="H593" s="805"/>
      <c r="I593" s="805"/>
      <c r="J593" s="805"/>
      <c r="K593" s="805"/>
      <c r="L593" s="805"/>
      <c r="M593" s="805"/>
      <c r="N593" s="806"/>
      <c r="O593" s="805"/>
      <c r="P593" s="805"/>
      <c r="Q593" s="807"/>
      <c r="R593" s="807"/>
      <c r="S593" s="825"/>
      <c r="T593" s="805"/>
      <c r="U593" s="805"/>
      <c r="V593" s="805"/>
      <c r="W593" s="805"/>
      <c r="X593" s="805"/>
      <c r="Y593" s="297"/>
      <c r="AB593" s="382"/>
      <c r="AC593" s="382"/>
      <c r="AD593" s="496"/>
      <c r="AE593" s="382"/>
      <c r="AF593" s="382"/>
      <c r="AG593" s="382"/>
      <c r="AH593" s="382"/>
      <c r="AI593" s="382"/>
      <c r="AJ593" s="382"/>
      <c r="AK593" s="382"/>
      <c r="AL593" s="382"/>
      <c r="AM593" s="382"/>
      <c r="AN593" s="382"/>
      <c r="AO593" s="382"/>
      <c r="AP593" s="382"/>
      <c r="AQ593" s="382"/>
      <c r="AR593" s="382"/>
      <c r="AS593" s="382"/>
      <c r="AT593" s="382"/>
      <c r="AU593" s="382"/>
      <c r="AV593" s="382"/>
      <c r="AW593" s="382"/>
      <c r="AX593" s="382"/>
      <c r="AY593" s="382"/>
      <c r="AZ593" s="382"/>
      <c r="BA593" s="382"/>
      <c r="BB593" s="382"/>
      <c r="BC593" s="382"/>
      <c r="BD593" s="382"/>
      <c r="BE593" s="382"/>
      <c r="BF593" s="382"/>
      <c r="BG593" s="382"/>
      <c r="BH593" s="382"/>
      <c r="BI593" s="382"/>
      <c r="BJ593" s="382"/>
      <c r="BK593" s="382"/>
      <c r="BL593" s="382"/>
      <c r="BM593" s="382"/>
      <c r="BN593" s="382"/>
      <c r="BO593" s="382"/>
      <c r="BP593" s="382"/>
      <c r="BQ593" s="382"/>
      <c r="BR593" s="382"/>
      <c r="BS593" s="382"/>
      <c r="BT593" s="382"/>
      <c r="BU593" s="496"/>
      <c r="BV593" s="382"/>
      <c r="BW593" s="382"/>
      <c r="BX593" s="382"/>
      <c r="BY593" s="382"/>
      <c r="BZ593" s="382"/>
      <c r="CA593" s="382"/>
      <c r="CB593" s="382"/>
      <c r="CC593" s="382"/>
      <c r="CD593" s="382"/>
      <c r="CE593" s="382"/>
      <c r="CF593" s="382"/>
      <c r="CG593" s="382"/>
      <c r="CH593" s="382"/>
      <c r="CI593" s="382"/>
      <c r="CJ593" s="382"/>
      <c r="CK593" s="382"/>
      <c r="CL593" s="382"/>
      <c r="CM593" s="382"/>
      <c r="CN593" s="382"/>
      <c r="CO593" s="382"/>
      <c r="CP593" s="382"/>
      <c r="CQ593" s="382"/>
      <c r="CR593" s="382"/>
      <c r="CS593" s="382"/>
      <c r="CT593" s="382"/>
      <c r="CU593" s="382"/>
      <c r="CV593" s="382"/>
      <c r="CW593" s="189"/>
      <c r="CX593" s="382"/>
      <c r="CY593" s="382"/>
      <c r="CZ593" s="382"/>
      <c r="DA593" s="382"/>
      <c r="DB593" s="382"/>
      <c r="DC593" s="382"/>
      <c r="DD593" s="382"/>
      <c r="DE593" s="382"/>
      <c r="DF593" s="382"/>
      <c r="DG593" s="382"/>
      <c r="DH593" s="382"/>
      <c r="DI593" s="382"/>
      <c r="DJ593" s="382"/>
      <c r="DK593" s="382"/>
      <c r="DL593" s="382"/>
      <c r="DM593" s="382"/>
      <c r="DN593" s="382"/>
      <c r="DO593" s="382"/>
      <c r="DP593" s="382"/>
      <c r="DQ593" s="382"/>
      <c r="DR593" s="382"/>
      <c r="DS593" s="382"/>
      <c r="DT593" s="382"/>
      <c r="DU593" s="382"/>
      <c r="DV593" s="382"/>
      <c r="DW593" s="382"/>
      <c r="DX593" s="382"/>
      <c r="DY593" s="382"/>
      <c r="DZ593" s="228"/>
    </row>
    <row r="594" spans="4:130" s="180" customFormat="1" x14ac:dyDescent="0.2">
      <c r="D594" s="805"/>
      <c r="E594" s="805"/>
      <c r="F594" s="805"/>
      <c r="G594" s="805"/>
      <c r="H594" s="805"/>
      <c r="I594" s="805"/>
      <c r="J594" s="805"/>
      <c r="K594" s="805"/>
      <c r="L594" s="805"/>
      <c r="M594" s="805"/>
      <c r="N594" s="806"/>
      <c r="O594" s="805"/>
      <c r="P594" s="805"/>
      <c r="Q594" s="807"/>
      <c r="R594" s="807"/>
      <c r="S594" s="825"/>
      <c r="T594" s="805"/>
      <c r="U594" s="805"/>
      <c r="V594" s="805"/>
      <c r="W594" s="805"/>
      <c r="X594" s="805"/>
      <c r="Y594" s="297"/>
      <c r="AB594" s="382"/>
      <c r="AC594" s="382"/>
      <c r="AD594" s="496"/>
      <c r="AE594" s="382"/>
      <c r="AF594" s="382"/>
      <c r="AG594" s="382"/>
      <c r="AH594" s="382"/>
      <c r="AI594" s="382"/>
      <c r="AJ594" s="382"/>
      <c r="AK594" s="382"/>
      <c r="AL594" s="382"/>
      <c r="AM594" s="382"/>
      <c r="AN594" s="382"/>
      <c r="AO594" s="382"/>
      <c r="AP594" s="382"/>
      <c r="AQ594" s="382"/>
      <c r="AR594" s="382"/>
      <c r="AS594" s="382"/>
      <c r="AT594" s="382"/>
      <c r="AU594" s="382"/>
      <c r="AV594" s="382"/>
      <c r="AW594" s="382"/>
      <c r="AX594" s="382"/>
      <c r="AY594" s="382"/>
      <c r="AZ594" s="382"/>
      <c r="BA594" s="382"/>
      <c r="BB594" s="382"/>
      <c r="BC594" s="382"/>
      <c r="BD594" s="382"/>
      <c r="BE594" s="382"/>
      <c r="BF594" s="382"/>
      <c r="BG594" s="382"/>
      <c r="BH594" s="382"/>
      <c r="BI594" s="382"/>
      <c r="BJ594" s="382"/>
      <c r="BK594" s="382"/>
      <c r="BL594" s="382"/>
      <c r="BM594" s="382"/>
      <c r="BN594" s="382"/>
      <c r="BO594" s="382"/>
      <c r="BP594" s="382"/>
      <c r="BQ594" s="382"/>
      <c r="BR594" s="382"/>
      <c r="BS594" s="382"/>
      <c r="BT594" s="382"/>
      <c r="BU594" s="496"/>
      <c r="BV594" s="382"/>
      <c r="BW594" s="382"/>
      <c r="BX594" s="382"/>
      <c r="BY594" s="382"/>
      <c r="BZ594" s="382"/>
      <c r="CA594" s="382"/>
      <c r="CB594" s="382"/>
      <c r="CC594" s="382"/>
      <c r="CD594" s="382"/>
      <c r="CE594" s="382"/>
      <c r="CF594" s="382"/>
      <c r="CG594" s="382"/>
      <c r="CH594" s="382"/>
      <c r="CI594" s="382"/>
      <c r="CJ594" s="382"/>
      <c r="CK594" s="382"/>
      <c r="CL594" s="382"/>
      <c r="CM594" s="382"/>
      <c r="CN594" s="382"/>
      <c r="CO594" s="382"/>
      <c r="CP594" s="382"/>
      <c r="CQ594" s="382"/>
      <c r="CR594" s="382"/>
      <c r="CS594" s="382"/>
      <c r="CT594" s="382"/>
      <c r="CU594" s="382"/>
      <c r="CV594" s="382"/>
      <c r="CW594" s="189"/>
      <c r="CX594" s="382"/>
      <c r="CY594" s="382"/>
      <c r="CZ594" s="382"/>
      <c r="DA594" s="382"/>
      <c r="DB594" s="382"/>
      <c r="DC594" s="382"/>
      <c r="DD594" s="382"/>
      <c r="DE594" s="382"/>
      <c r="DF594" s="382"/>
      <c r="DG594" s="382"/>
      <c r="DH594" s="382"/>
      <c r="DI594" s="382"/>
      <c r="DJ594" s="382"/>
      <c r="DK594" s="382"/>
      <c r="DL594" s="382"/>
      <c r="DM594" s="382"/>
      <c r="DN594" s="382"/>
      <c r="DO594" s="382"/>
      <c r="DP594" s="382"/>
      <c r="DQ594" s="382"/>
      <c r="DR594" s="382"/>
      <c r="DS594" s="382"/>
      <c r="DT594" s="382"/>
      <c r="DU594" s="382"/>
      <c r="DV594" s="382"/>
      <c r="DW594" s="382"/>
      <c r="DX594" s="382"/>
      <c r="DY594" s="382"/>
      <c r="DZ594" s="228"/>
    </row>
    <row r="595" spans="4:130" s="180" customFormat="1" x14ac:dyDescent="0.2">
      <c r="D595" s="805"/>
      <c r="E595" s="805"/>
      <c r="F595" s="805"/>
      <c r="G595" s="805"/>
      <c r="H595" s="805"/>
      <c r="I595" s="805"/>
      <c r="J595" s="805"/>
      <c r="K595" s="805"/>
      <c r="L595" s="805"/>
      <c r="M595" s="805"/>
      <c r="N595" s="806"/>
      <c r="O595" s="805"/>
      <c r="P595" s="805"/>
      <c r="Q595" s="807"/>
      <c r="R595" s="807"/>
      <c r="S595" s="825"/>
      <c r="T595" s="805"/>
      <c r="U595" s="805"/>
      <c r="V595" s="805"/>
      <c r="W595" s="805"/>
      <c r="X595" s="805"/>
      <c r="Y595" s="297"/>
      <c r="AB595" s="382"/>
      <c r="AC595" s="382"/>
      <c r="AD595" s="496"/>
      <c r="AE595" s="382"/>
      <c r="AF595" s="382"/>
      <c r="AG595" s="382"/>
      <c r="AH595" s="382"/>
      <c r="AI595" s="382"/>
      <c r="AJ595" s="382"/>
      <c r="AK595" s="382"/>
      <c r="AL595" s="382"/>
      <c r="AM595" s="382"/>
      <c r="AN595" s="382"/>
      <c r="AO595" s="382"/>
      <c r="AP595" s="382"/>
      <c r="AQ595" s="382"/>
      <c r="AR595" s="382"/>
      <c r="AS595" s="382"/>
      <c r="AT595" s="382"/>
      <c r="AU595" s="382"/>
      <c r="AV595" s="382"/>
      <c r="AW595" s="382"/>
      <c r="AX595" s="382"/>
      <c r="AY595" s="382"/>
      <c r="AZ595" s="382"/>
      <c r="BA595" s="382"/>
      <c r="BB595" s="382"/>
      <c r="BC595" s="382"/>
      <c r="BD595" s="382"/>
      <c r="BE595" s="382"/>
      <c r="BF595" s="382"/>
      <c r="BG595" s="382"/>
      <c r="BH595" s="382"/>
      <c r="BI595" s="382"/>
      <c r="BJ595" s="382"/>
      <c r="BK595" s="382"/>
      <c r="BL595" s="382"/>
      <c r="BM595" s="382"/>
      <c r="BN595" s="382"/>
      <c r="BO595" s="382"/>
      <c r="BP595" s="382"/>
      <c r="BQ595" s="382"/>
      <c r="BR595" s="382"/>
      <c r="BS595" s="382"/>
      <c r="BT595" s="382"/>
      <c r="BU595" s="496"/>
      <c r="BV595" s="382"/>
      <c r="BW595" s="382"/>
      <c r="BX595" s="382"/>
      <c r="BY595" s="382"/>
      <c r="BZ595" s="382"/>
      <c r="CA595" s="382"/>
      <c r="CB595" s="382"/>
      <c r="CC595" s="382"/>
      <c r="CD595" s="382"/>
      <c r="CE595" s="382"/>
      <c r="CF595" s="382"/>
      <c r="CG595" s="382"/>
      <c r="CH595" s="382"/>
      <c r="CI595" s="382"/>
      <c r="CJ595" s="382"/>
      <c r="CK595" s="382"/>
      <c r="CL595" s="382"/>
      <c r="CM595" s="382"/>
      <c r="CN595" s="382"/>
      <c r="CO595" s="382"/>
      <c r="CP595" s="382"/>
      <c r="CQ595" s="382"/>
      <c r="CR595" s="382"/>
      <c r="CS595" s="382"/>
      <c r="CT595" s="382"/>
      <c r="CU595" s="382"/>
      <c r="CV595" s="382"/>
      <c r="CW595" s="189"/>
      <c r="CX595" s="382"/>
      <c r="CY595" s="382"/>
      <c r="CZ595" s="382"/>
      <c r="DA595" s="382"/>
      <c r="DB595" s="382"/>
      <c r="DC595" s="382"/>
      <c r="DD595" s="382"/>
      <c r="DE595" s="382"/>
      <c r="DF595" s="382"/>
      <c r="DG595" s="382"/>
      <c r="DH595" s="382"/>
      <c r="DI595" s="382"/>
      <c r="DJ595" s="382"/>
      <c r="DK595" s="382"/>
      <c r="DL595" s="382"/>
      <c r="DM595" s="382"/>
      <c r="DN595" s="382"/>
      <c r="DO595" s="382"/>
      <c r="DP595" s="382"/>
      <c r="DQ595" s="382"/>
      <c r="DR595" s="382"/>
      <c r="DS595" s="382"/>
      <c r="DT595" s="382"/>
      <c r="DU595" s="382"/>
      <c r="DV595" s="382"/>
      <c r="DW595" s="382"/>
      <c r="DX595" s="382"/>
      <c r="DY595" s="382"/>
      <c r="DZ595" s="228"/>
    </row>
    <row r="596" spans="4:130" s="180" customFormat="1" x14ac:dyDescent="0.2">
      <c r="D596" s="805"/>
      <c r="E596" s="805"/>
      <c r="F596" s="805"/>
      <c r="G596" s="805"/>
      <c r="H596" s="805"/>
      <c r="I596" s="805"/>
      <c r="J596" s="805"/>
      <c r="K596" s="805"/>
      <c r="L596" s="805"/>
      <c r="M596" s="805"/>
      <c r="N596" s="806"/>
      <c r="O596" s="805"/>
      <c r="P596" s="805"/>
      <c r="Q596" s="807"/>
      <c r="R596" s="807"/>
      <c r="S596" s="825"/>
      <c r="T596" s="805"/>
      <c r="U596" s="805"/>
      <c r="V596" s="805"/>
      <c r="W596" s="805"/>
      <c r="X596" s="805"/>
      <c r="Y596" s="297"/>
      <c r="AB596" s="382"/>
      <c r="AC596" s="382"/>
      <c r="AD596" s="496"/>
      <c r="AE596" s="382"/>
      <c r="AF596" s="382"/>
      <c r="AG596" s="382"/>
      <c r="AH596" s="382"/>
      <c r="AI596" s="382"/>
      <c r="AJ596" s="382"/>
      <c r="AK596" s="382"/>
      <c r="AL596" s="382"/>
      <c r="AM596" s="382"/>
      <c r="AN596" s="382"/>
      <c r="AO596" s="382"/>
      <c r="AP596" s="382"/>
      <c r="AQ596" s="382"/>
      <c r="AR596" s="382"/>
      <c r="AS596" s="382"/>
      <c r="AT596" s="382"/>
      <c r="AU596" s="382"/>
      <c r="AV596" s="382"/>
      <c r="AW596" s="382"/>
      <c r="AX596" s="382"/>
      <c r="AY596" s="382"/>
      <c r="AZ596" s="382"/>
      <c r="BA596" s="382"/>
      <c r="BB596" s="382"/>
      <c r="BC596" s="382"/>
      <c r="BD596" s="382"/>
      <c r="BE596" s="382"/>
      <c r="BF596" s="382"/>
      <c r="BG596" s="382"/>
      <c r="BH596" s="382"/>
      <c r="BI596" s="382"/>
      <c r="BJ596" s="382"/>
      <c r="BK596" s="382"/>
      <c r="BL596" s="382"/>
      <c r="BM596" s="382"/>
      <c r="BN596" s="382"/>
      <c r="BO596" s="382"/>
      <c r="BP596" s="382"/>
      <c r="BQ596" s="382"/>
      <c r="BR596" s="382"/>
      <c r="BS596" s="382"/>
      <c r="BT596" s="382"/>
      <c r="BU596" s="496"/>
      <c r="BV596" s="382"/>
      <c r="BW596" s="382"/>
      <c r="BX596" s="382"/>
      <c r="BY596" s="382"/>
      <c r="BZ596" s="382"/>
      <c r="CA596" s="382"/>
      <c r="CB596" s="382"/>
      <c r="CC596" s="382"/>
      <c r="CD596" s="382"/>
      <c r="CE596" s="382"/>
      <c r="CF596" s="382"/>
      <c r="CG596" s="382"/>
      <c r="CH596" s="382"/>
      <c r="CI596" s="382"/>
      <c r="CJ596" s="382"/>
      <c r="CK596" s="382"/>
      <c r="CL596" s="382"/>
      <c r="CM596" s="382"/>
      <c r="CN596" s="382"/>
      <c r="CO596" s="382"/>
      <c r="CP596" s="382"/>
      <c r="CQ596" s="382"/>
      <c r="CR596" s="382"/>
      <c r="CS596" s="382"/>
      <c r="CT596" s="382"/>
      <c r="CU596" s="382"/>
      <c r="CV596" s="382"/>
      <c r="CW596" s="189"/>
      <c r="CX596" s="382"/>
      <c r="CY596" s="382"/>
      <c r="CZ596" s="382"/>
      <c r="DA596" s="382"/>
      <c r="DB596" s="382"/>
      <c r="DC596" s="382"/>
      <c r="DD596" s="382"/>
      <c r="DE596" s="382"/>
      <c r="DF596" s="382"/>
      <c r="DG596" s="382"/>
      <c r="DH596" s="382"/>
      <c r="DI596" s="382"/>
      <c r="DJ596" s="382"/>
      <c r="DK596" s="382"/>
      <c r="DL596" s="382"/>
      <c r="DM596" s="382"/>
      <c r="DN596" s="382"/>
      <c r="DO596" s="382"/>
      <c r="DP596" s="382"/>
      <c r="DQ596" s="382"/>
      <c r="DR596" s="382"/>
      <c r="DS596" s="382"/>
      <c r="DT596" s="382"/>
      <c r="DU596" s="382"/>
      <c r="DV596" s="382"/>
      <c r="DW596" s="382"/>
      <c r="DX596" s="382"/>
      <c r="DY596" s="382"/>
      <c r="DZ596" s="228"/>
    </row>
    <row r="597" spans="4:130" s="180" customFormat="1" x14ac:dyDescent="0.2">
      <c r="D597" s="805"/>
      <c r="E597" s="805"/>
      <c r="F597" s="805"/>
      <c r="G597" s="805"/>
      <c r="H597" s="805"/>
      <c r="I597" s="805"/>
      <c r="J597" s="805"/>
      <c r="K597" s="805"/>
      <c r="L597" s="805"/>
      <c r="M597" s="805"/>
      <c r="N597" s="806"/>
      <c r="O597" s="805"/>
      <c r="P597" s="805"/>
      <c r="Q597" s="807"/>
      <c r="R597" s="807"/>
      <c r="S597" s="825"/>
      <c r="T597" s="805"/>
      <c r="U597" s="805"/>
      <c r="V597" s="805"/>
      <c r="W597" s="805"/>
      <c r="X597" s="805"/>
      <c r="Y597" s="297"/>
      <c r="AB597" s="382"/>
      <c r="AC597" s="382"/>
      <c r="AD597" s="496"/>
      <c r="AE597" s="382"/>
      <c r="AF597" s="382"/>
      <c r="AG597" s="382"/>
      <c r="AH597" s="382"/>
      <c r="AI597" s="382"/>
      <c r="AJ597" s="382"/>
      <c r="AK597" s="382"/>
      <c r="AL597" s="382"/>
      <c r="AM597" s="382"/>
      <c r="AN597" s="382"/>
      <c r="AO597" s="382"/>
      <c r="AP597" s="382"/>
      <c r="AQ597" s="382"/>
      <c r="AR597" s="382"/>
      <c r="AS597" s="382"/>
      <c r="AT597" s="382"/>
      <c r="AU597" s="382"/>
      <c r="AV597" s="382"/>
      <c r="AW597" s="382"/>
      <c r="AX597" s="382"/>
      <c r="AY597" s="382"/>
      <c r="AZ597" s="382"/>
      <c r="BA597" s="382"/>
      <c r="BB597" s="382"/>
      <c r="BC597" s="382"/>
      <c r="BD597" s="382"/>
      <c r="BE597" s="382"/>
      <c r="BF597" s="382"/>
      <c r="BG597" s="382"/>
      <c r="BH597" s="382"/>
      <c r="BI597" s="382"/>
      <c r="BJ597" s="382"/>
      <c r="BK597" s="382"/>
      <c r="BL597" s="382"/>
      <c r="BM597" s="382"/>
      <c r="BN597" s="382"/>
      <c r="BO597" s="382"/>
      <c r="BP597" s="382"/>
      <c r="BQ597" s="382"/>
      <c r="BR597" s="382"/>
      <c r="BS597" s="382"/>
      <c r="BT597" s="382"/>
      <c r="BU597" s="496"/>
      <c r="BV597" s="382"/>
      <c r="BW597" s="382"/>
      <c r="BX597" s="382"/>
      <c r="BY597" s="382"/>
      <c r="BZ597" s="382"/>
      <c r="CA597" s="382"/>
      <c r="CB597" s="382"/>
      <c r="CC597" s="382"/>
      <c r="CD597" s="382"/>
      <c r="CE597" s="382"/>
      <c r="CF597" s="382"/>
      <c r="CG597" s="382"/>
      <c r="CH597" s="382"/>
      <c r="CI597" s="382"/>
      <c r="CJ597" s="382"/>
      <c r="CK597" s="382"/>
      <c r="CL597" s="382"/>
      <c r="CM597" s="382"/>
      <c r="CN597" s="382"/>
      <c r="CO597" s="382"/>
      <c r="CP597" s="382"/>
      <c r="CQ597" s="382"/>
      <c r="CR597" s="382"/>
      <c r="CS597" s="382"/>
      <c r="CT597" s="382"/>
      <c r="CU597" s="382"/>
      <c r="CV597" s="382"/>
      <c r="CW597" s="189"/>
      <c r="CX597" s="382"/>
      <c r="CY597" s="382"/>
      <c r="CZ597" s="382"/>
      <c r="DA597" s="382"/>
      <c r="DB597" s="382"/>
      <c r="DC597" s="382"/>
      <c r="DD597" s="382"/>
      <c r="DE597" s="382"/>
      <c r="DF597" s="382"/>
      <c r="DG597" s="382"/>
      <c r="DH597" s="382"/>
      <c r="DI597" s="382"/>
      <c r="DJ597" s="382"/>
      <c r="DK597" s="382"/>
      <c r="DL597" s="382"/>
      <c r="DM597" s="382"/>
      <c r="DN597" s="382"/>
      <c r="DO597" s="382"/>
      <c r="DP597" s="382"/>
      <c r="DQ597" s="382"/>
      <c r="DR597" s="382"/>
      <c r="DS597" s="382"/>
      <c r="DT597" s="382"/>
      <c r="DU597" s="382"/>
      <c r="DV597" s="382"/>
      <c r="DW597" s="382"/>
      <c r="DX597" s="382"/>
      <c r="DY597" s="382"/>
      <c r="DZ597" s="228"/>
    </row>
    <row r="598" spans="4:130" s="180" customFormat="1" x14ac:dyDescent="0.2">
      <c r="D598" s="805"/>
      <c r="E598" s="805"/>
      <c r="F598" s="805"/>
      <c r="G598" s="805"/>
      <c r="H598" s="805"/>
      <c r="I598" s="805"/>
      <c r="J598" s="805"/>
      <c r="K598" s="805"/>
      <c r="L598" s="805"/>
      <c r="M598" s="805"/>
      <c r="N598" s="806"/>
      <c r="O598" s="805"/>
      <c r="P598" s="805"/>
      <c r="Q598" s="807"/>
      <c r="R598" s="807"/>
      <c r="S598" s="825"/>
      <c r="T598" s="805"/>
      <c r="U598" s="805"/>
      <c r="V598" s="805"/>
      <c r="W598" s="805"/>
      <c r="X598" s="805"/>
      <c r="Y598" s="297"/>
      <c r="AB598" s="382"/>
      <c r="AC598" s="382"/>
      <c r="AD598" s="496"/>
      <c r="AE598" s="382"/>
      <c r="AF598" s="382"/>
      <c r="AG598" s="382"/>
      <c r="AH598" s="382"/>
      <c r="AI598" s="382"/>
      <c r="AJ598" s="382"/>
      <c r="AK598" s="382"/>
      <c r="AL598" s="382"/>
      <c r="AM598" s="382"/>
      <c r="AN598" s="382"/>
      <c r="AO598" s="382"/>
      <c r="AP598" s="382"/>
      <c r="AQ598" s="382"/>
      <c r="AR598" s="382"/>
      <c r="AS598" s="382"/>
      <c r="AT598" s="382"/>
      <c r="AU598" s="382"/>
      <c r="AV598" s="382"/>
      <c r="AW598" s="382"/>
      <c r="AX598" s="382"/>
      <c r="AY598" s="382"/>
      <c r="AZ598" s="382"/>
      <c r="BA598" s="382"/>
      <c r="BB598" s="382"/>
      <c r="BC598" s="382"/>
      <c r="BD598" s="382"/>
      <c r="BE598" s="382"/>
      <c r="BF598" s="382"/>
      <c r="BG598" s="382"/>
      <c r="BH598" s="382"/>
      <c r="BI598" s="382"/>
      <c r="BJ598" s="382"/>
      <c r="BK598" s="382"/>
      <c r="BL598" s="382"/>
      <c r="BM598" s="382"/>
      <c r="BN598" s="382"/>
      <c r="BO598" s="382"/>
      <c r="BP598" s="382"/>
      <c r="BQ598" s="382"/>
      <c r="BR598" s="382"/>
      <c r="BS598" s="382"/>
      <c r="BT598" s="382"/>
      <c r="BU598" s="496"/>
      <c r="BV598" s="382"/>
      <c r="BW598" s="382"/>
      <c r="BX598" s="382"/>
      <c r="BY598" s="382"/>
      <c r="BZ598" s="382"/>
      <c r="CA598" s="382"/>
      <c r="CB598" s="382"/>
      <c r="CC598" s="382"/>
      <c r="CD598" s="382"/>
      <c r="CE598" s="382"/>
      <c r="CF598" s="382"/>
      <c r="CG598" s="382"/>
      <c r="CH598" s="382"/>
      <c r="CI598" s="382"/>
      <c r="CJ598" s="382"/>
      <c r="CK598" s="382"/>
      <c r="CL598" s="382"/>
      <c r="CM598" s="382"/>
      <c r="CN598" s="382"/>
      <c r="CO598" s="382"/>
      <c r="CP598" s="382"/>
      <c r="CQ598" s="382"/>
      <c r="CR598" s="382"/>
      <c r="CS598" s="382"/>
      <c r="CT598" s="382"/>
      <c r="CU598" s="382"/>
      <c r="CV598" s="382"/>
      <c r="CW598" s="189"/>
      <c r="CX598" s="382"/>
      <c r="CY598" s="382"/>
      <c r="CZ598" s="382"/>
      <c r="DA598" s="382"/>
      <c r="DB598" s="382"/>
      <c r="DC598" s="382"/>
      <c r="DD598" s="382"/>
      <c r="DE598" s="382"/>
      <c r="DF598" s="382"/>
      <c r="DG598" s="382"/>
      <c r="DH598" s="382"/>
      <c r="DI598" s="382"/>
      <c r="DJ598" s="382"/>
      <c r="DK598" s="382"/>
      <c r="DL598" s="382"/>
      <c r="DM598" s="382"/>
      <c r="DN598" s="382"/>
      <c r="DO598" s="382"/>
      <c r="DP598" s="382"/>
      <c r="DQ598" s="382"/>
      <c r="DR598" s="382"/>
      <c r="DS598" s="382"/>
      <c r="DT598" s="382"/>
      <c r="DU598" s="382"/>
      <c r="DV598" s="382"/>
      <c r="DW598" s="382"/>
      <c r="DX598" s="382"/>
      <c r="DY598" s="382"/>
      <c r="DZ598" s="228"/>
    </row>
    <row r="599" spans="4:130" s="180" customFormat="1" x14ac:dyDescent="0.2">
      <c r="D599" s="805"/>
      <c r="E599" s="805"/>
      <c r="F599" s="805"/>
      <c r="G599" s="805"/>
      <c r="H599" s="805"/>
      <c r="I599" s="805"/>
      <c r="J599" s="805"/>
      <c r="K599" s="805"/>
      <c r="L599" s="805"/>
      <c r="M599" s="805"/>
      <c r="N599" s="806"/>
      <c r="O599" s="805"/>
      <c r="P599" s="805"/>
      <c r="Q599" s="807"/>
      <c r="R599" s="807"/>
      <c r="S599" s="825"/>
      <c r="T599" s="805"/>
      <c r="U599" s="805"/>
      <c r="V599" s="805"/>
      <c r="W599" s="805"/>
      <c r="X599" s="805"/>
      <c r="Y599" s="297"/>
      <c r="AB599" s="382"/>
      <c r="AC599" s="382"/>
      <c r="AD599" s="496"/>
      <c r="AE599" s="382"/>
      <c r="AF599" s="382"/>
      <c r="AG599" s="382"/>
      <c r="AH599" s="382"/>
      <c r="AI599" s="382"/>
      <c r="AJ599" s="382"/>
      <c r="AK599" s="382"/>
      <c r="AL599" s="382"/>
      <c r="AM599" s="382"/>
      <c r="AN599" s="382"/>
      <c r="AO599" s="382"/>
      <c r="AP599" s="382"/>
      <c r="AQ599" s="382"/>
      <c r="AR599" s="382"/>
      <c r="AS599" s="382"/>
      <c r="AT599" s="382"/>
      <c r="AU599" s="382"/>
      <c r="AV599" s="382"/>
      <c r="AW599" s="382"/>
      <c r="AX599" s="382"/>
      <c r="AY599" s="382"/>
      <c r="AZ599" s="382"/>
      <c r="BA599" s="382"/>
      <c r="BB599" s="382"/>
      <c r="BC599" s="382"/>
      <c r="BD599" s="382"/>
      <c r="BE599" s="382"/>
      <c r="BF599" s="382"/>
      <c r="BG599" s="382"/>
      <c r="BH599" s="382"/>
      <c r="BI599" s="382"/>
      <c r="BJ599" s="382"/>
      <c r="BK599" s="382"/>
      <c r="BL599" s="382"/>
      <c r="BM599" s="382"/>
      <c r="BN599" s="382"/>
      <c r="BO599" s="382"/>
      <c r="BP599" s="382"/>
      <c r="BQ599" s="382"/>
      <c r="BR599" s="382"/>
      <c r="BS599" s="382"/>
      <c r="BT599" s="382"/>
      <c r="BU599" s="496"/>
      <c r="BV599" s="382"/>
      <c r="BW599" s="382"/>
      <c r="BX599" s="382"/>
      <c r="BY599" s="382"/>
      <c r="BZ599" s="382"/>
      <c r="CA599" s="382"/>
      <c r="CB599" s="382"/>
      <c r="CC599" s="382"/>
      <c r="CD599" s="382"/>
      <c r="CE599" s="382"/>
      <c r="CF599" s="382"/>
      <c r="CG599" s="382"/>
      <c r="CH599" s="382"/>
      <c r="CI599" s="382"/>
      <c r="CJ599" s="382"/>
      <c r="CK599" s="382"/>
      <c r="CL599" s="382"/>
      <c r="CM599" s="382"/>
      <c r="CN599" s="382"/>
      <c r="CO599" s="382"/>
      <c r="CP599" s="382"/>
      <c r="CQ599" s="382"/>
      <c r="CR599" s="382"/>
      <c r="CS599" s="382"/>
      <c r="CT599" s="382"/>
      <c r="CU599" s="382"/>
      <c r="CV599" s="382"/>
      <c r="CW599" s="189"/>
      <c r="CX599" s="382"/>
      <c r="CY599" s="382"/>
      <c r="CZ599" s="382"/>
      <c r="DA599" s="382"/>
      <c r="DB599" s="382"/>
      <c r="DC599" s="382"/>
      <c r="DD599" s="382"/>
      <c r="DE599" s="382"/>
      <c r="DF599" s="382"/>
      <c r="DG599" s="382"/>
      <c r="DH599" s="382"/>
      <c r="DI599" s="382"/>
      <c r="DJ599" s="382"/>
      <c r="DK599" s="382"/>
      <c r="DL599" s="382"/>
      <c r="DM599" s="382"/>
      <c r="DN599" s="382"/>
      <c r="DO599" s="382"/>
      <c r="DP599" s="382"/>
      <c r="DQ599" s="382"/>
      <c r="DR599" s="382"/>
      <c r="DS599" s="382"/>
      <c r="DT599" s="382"/>
      <c r="DU599" s="382"/>
      <c r="DV599" s="382"/>
      <c r="DW599" s="382"/>
      <c r="DX599" s="382"/>
      <c r="DY599" s="382"/>
      <c r="DZ599" s="228"/>
    </row>
    <row r="600" spans="4:130" s="180" customFormat="1" x14ac:dyDescent="0.2">
      <c r="D600" s="805"/>
      <c r="E600" s="805"/>
      <c r="F600" s="805"/>
      <c r="G600" s="805"/>
      <c r="H600" s="805"/>
      <c r="I600" s="805"/>
      <c r="J600" s="805"/>
      <c r="K600" s="805"/>
      <c r="L600" s="805"/>
      <c r="M600" s="805"/>
      <c r="N600" s="806"/>
      <c r="O600" s="805"/>
      <c r="P600" s="805"/>
      <c r="Q600" s="807"/>
      <c r="R600" s="807"/>
      <c r="S600" s="825"/>
      <c r="T600" s="805"/>
      <c r="U600" s="805"/>
      <c r="V600" s="805"/>
      <c r="W600" s="805"/>
      <c r="X600" s="805"/>
      <c r="Y600" s="297"/>
      <c r="AB600" s="382"/>
      <c r="AC600" s="382"/>
      <c r="AD600" s="496"/>
      <c r="AE600" s="382"/>
      <c r="AF600" s="382"/>
      <c r="AG600" s="382"/>
      <c r="AH600" s="382"/>
      <c r="AI600" s="382"/>
      <c r="AJ600" s="382"/>
      <c r="AK600" s="382"/>
      <c r="AL600" s="382"/>
      <c r="AM600" s="382"/>
      <c r="AN600" s="382"/>
      <c r="AO600" s="382"/>
      <c r="AP600" s="382"/>
      <c r="AQ600" s="382"/>
      <c r="AR600" s="382"/>
      <c r="AS600" s="382"/>
      <c r="AT600" s="382"/>
      <c r="AU600" s="382"/>
      <c r="AV600" s="382"/>
      <c r="AW600" s="382"/>
      <c r="AX600" s="382"/>
      <c r="AY600" s="382"/>
      <c r="AZ600" s="382"/>
      <c r="BA600" s="382"/>
      <c r="BB600" s="382"/>
      <c r="BC600" s="382"/>
      <c r="BD600" s="382"/>
      <c r="BE600" s="382"/>
      <c r="BF600" s="382"/>
      <c r="BG600" s="382"/>
      <c r="BH600" s="382"/>
      <c r="BI600" s="382"/>
      <c r="BJ600" s="382"/>
      <c r="BK600" s="382"/>
      <c r="BL600" s="382"/>
      <c r="BM600" s="382"/>
      <c r="BN600" s="382"/>
      <c r="BO600" s="382"/>
      <c r="BP600" s="382"/>
      <c r="BQ600" s="382"/>
      <c r="BR600" s="382"/>
      <c r="BS600" s="382"/>
      <c r="BT600" s="382"/>
      <c r="BU600" s="496"/>
      <c r="BV600" s="382"/>
      <c r="BW600" s="382"/>
      <c r="BX600" s="382"/>
      <c r="BY600" s="382"/>
      <c r="BZ600" s="382"/>
      <c r="CA600" s="382"/>
      <c r="CB600" s="382"/>
      <c r="CC600" s="382"/>
      <c r="CD600" s="382"/>
      <c r="CE600" s="382"/>
      <c r="CF600" s="382"/>
      <c r="CG600" s="382"/>
      <c r="CH600" s="382"/>
      <c r="CI600" s="382"/>
      <c r="CJ600" s="382"/>
      <c r="CK600" s="382"/>
      <c r="CL600" s="382"/>
      <c r="CM600" s="382"/>
      <c r="CN600" s="382"/>
      <c r="CO600" s="382"/>
      <c r="CP600" s="382"/>
      <c r="CQ600" s="382"/>
      <c r="CR600" s="382"/>
      <c r="CS600" s="382"/>
      <c r="CT600" s="382"/>
      <c r="CU600" s="382"/>
      <c r="CV600" s="382"/>
      <c r="CW600" s="189"/>
      <c r="CX600" s="382"/>
      <c r="CY600" s="382"/>
      <c r="CZ600" s="382"/>
      <c r="DA600" s="382"/>
      <c r="DB600" s="382"/>
      <c r="DC600" s="382"/>
      <c r="DD600" s="382"/>
      <c r="DE600" s="382"/>
      <c r="DF600" s="382"/>
      <c r="DG600" s="382"/>
      <c r="DH600" s="382"/>
      <c r="DI600" s="382"/>
      <c r="DJ600" s="382"/>
      <c r="DK600" s="382"/>
      <c r="DL600" s="382"/>
      <c r="DM600" s="382"/>
      <c r="DN600" s="382"/>
      <c r="DO600" s="382"/>
      <c r="DP600" s="382"/>
      <c r="DQ600" s="382"/>
      <c r="DR600" s="382"/>
      <c r="DS600" s="382"/>
      <c r="DT600" s="382"/>
      <c r="DU600" s="382"/>
      <c r="DV600" s="382"/>
      <c r="DW600" s="382"/>
      <c r="DX600" s="382"/>
      <c r="DY600" s="382"/>
      <c r="DZ600" s="228"/>
    </row>
    <row r="601" spans="4:130" s="180" customFormat="1" x14ac:dyDescent="0.2">
      <c r="D601" s="805"/>
      <c r="E601" s="805"/>
      <c r="F601" s="805"/>
      <c r="G601" s="805"/>
      <c r="H601" s="805"/>
      <c r="I601" s="805"/>
      <c r="J601" s="805"/>
      <c r="K601" s="805"/>
      <c r="L601" s="805"/>
      <c r="M601" s="805"/>
      <c r="N601" s="806"/>
      <c r="O601" s="805"/>
      <c r="P601" s="805"/>
      <c r="Q601" s="807"/>
      <c r="R601" s="807"/>
      <c r="S601" s="825"/>
      <c r="T601" s="805"/>
      <c r="U601" s="805"/>
      <c r="V601" s="805"/>
      <c r="W601" s="805"/>
      <c r="X601" s="805"/>
      <c r="Y601" s="297"/>
      <c r="AB601" s="382"/>
      <c r="AC601" s="382"/>
      <c r="AD601" s="496"/>
      <c r="AE601" s="382"/>
      <c r="AF601" s="382"/>
      <c r="AG601" s="382"/>
      <c r="AH601" s="382"/>
      <c r="AI601" s="382"/>
      <c r="AJ601" s="382"/>
      <c r="AK601" s="382"/>
      <c r="AL601" s="382"/>
      <c r="AM601" s="382"/>
      <c r="AN601" s="382"/>
      <c r="AO601" s="382"/>
      <c r="AP601" s="382"/>
      <c r="AQ601" s="382"/>
      <c r="AR601" s="382"/>
      <c r="AS601" s="382"/>
      <c r="AT601" s="382"/>
      <c r="AU601" s="382"/>
      <c r="AV601" s="382"/>
      <c r="AW601" s="382"/>
      <c r="AX601" s="382"/>
      <c r="AY601" s="382"/>
      <c r="AZ601" s="382"/>
      <c r="BA601" s="382"/>
      <c r="BB601" s="382"/>
      <c r="BC601" s="382"/>
      <c r="BD601" s="382"/>
      <c r="BE601" s="382"/>
      <c r="BF601" s="382"/>
      <c r="BG601" s="382"/>
      <c r="BH601" s="382"/>
      <c r="BI601" s="382"/>
      <c r="BJ601" s="382"/>
      <c r="BK601" s="382"/>
      <c r="BL601" s="382"/>
      <c r="BM601" s="382"/>
      <c r="BN601" s="382"/>
      <c r="BO601" s="382"/>
      <c r="BP601" s="382"/>
      <c r="BQ601" s="382"/>
      <c r="BR601" s="382"/>
      <c r="BS601" s="382"/>
      <c r="BT601" s="382"/>
      <c r="BU601" s="496"/>
      <c r="BV601" s="382"/>
      <c r="BW601" s="382"/>
      <c r="BX601" s="382"/>
      <c r="BY601" s="382"/>
      <c r="BZ601" s="382"/>
      <c r="CA601" s="382"/>
      <c r="CB601" s="382"/>
      <c r="CC601" s="382"/>
      <c r="CD601" s="382"/>
      <c r="CE601" s="382"/>
      <c r="CF601" s="382"/>
      <c r="CG601" s="382"/>
      <c r="CH601" s="382"/>
      <c r="CI601" s="382"/>
      <c r="CJ601" s="382"/>
      <c r="CK601" s="382"/>
      <c r="CL601" s="382"/>
      <c r="CM601" s="382"/>
      <c r="CN601" s="382"/>
      <c r="CO601" s="382"/>
      <c r="CP601" s="382"/>
      <c r="CQ601" s="382"/>
      <c r="CR601" s="382"/>
      <c r="CS601" s="382"/>
      <c r="CT601" s="382"/>
      <c r="CU601" s="382"/>
      <c r="CV601" s="382"/>
      <c r="CW601" s="189"/>
      <c r="CX601" s="382"/>
      <c r="CY601" s="382"/>
      <c r="CZ601" s="382"/>
      <c r="DA601" s="382"/>
      <c r="DB601" s="382"/>
      <c r="DC601" s="382"/>
      <c r="DD601" s="382"/>
      <c r="DE601" s="382"/>
      <c r="DF601" s="382"/>
      <c r="DG601" s="382"/>
      <c r="DH601" s="382"/>
      <c r="DI601" s="382"/>
      <c r="DJ601" s="382"/>
      <c r="DK601" s="382"/>
      <c r="DL601" s="382"/>
      <c r="DM601" s="382"/>
      <c r="DN601" s="382"/>
      <c r="DO601" s="382"/>
      <c r="DP601" s="382"/>
      <c r="DQ601" s="382"/>
      <c r="DR601" s="382"/>
      <c r="DS601" s="382"/>
      <c r="DT601" s="382"/>
      <c r="DU601" s="382"/>
      <c r="DV601" s="382"/>
      <c r="DW601" s="382"/>
      <c r="DX601" s="382"/>
      <c r="DY601" s="382"/>
      <c r="DZ601" s="228"/>
    </row>
    <row r="602" spans="4:130" s="180" customFormat="1" x14ac:dyDescent="0.2">
      <c r="D602" s="805"/>
      <c r="E602" s="805"/>
      <c r="F602" s="805"/>
      <c r="G602" s="805"/>
      <c r="H602" s="805"/>
      <c r="I602" s="805"/>
      <c r="J602" s="805"/>
      <c r="K602" s="805"/>
      <c r="L602" s="805"/>
      <c r="M602" s="805"/>
      <c r="N602" s="806"/>
      <c r="O602" s="805"/>
      <c r="P602" s="805"/>
      <c r="Q602" s="807"/>
      <c r="R602" s="807"/>
      <c r="S602" s="825"/>
      <c r="T602" s="805"/>
      <c r="U602" s="805"/>
      <c r="V602" s="805"/>
      <c r="W602" s="805"/>
      <c r="X602" s="805"/>
      <c r="Y602" s="297"/>
      <c r="AB602" s="382"/>
      <c r="AC602" s="382"/>
      <c r="AD602" s="496"/>
      <c r="AE602" s="382"/>
      <c r="AF602" s="382"/>
      <c r="AG602" s="382"/>
      <c r="AH602" s="382"/>
      <c r="AI602" s="382"/>
      <c r="AJ602" s="382"/>
      <c r="AK602" s="382"/>
      <c r="AL602" s="382"/>
      <c r="AM602" s="382"/>
      <c r="AN602" s="382"/>
      <c r="AO602" s="382"/>
      <c r="AP602" s="382"/>
      <c r="AQ602" s="382"/>
      <c r="AR602" s="382"/>
      <c r="AS602" s="382"/>
      <c r="AT602" s="382"/>
      <c r="AU602" s="382"/>
      <c r="AV602" s="382"/>
      <c r="AW602" s="382"/>
      <c r="AX602" s="382"/>
      <c r="AY602" s="382"/>
      <c r="AZ602" s="382"/>
      <c r="BA602" s="382"/>
      <c r="BB602" s="382"/>
      <c r="BC602" s="382"/>
      <c r="BD602" s="382"/>
      <c r="BE602" s="382"/>
      <c r="BF602" s="382"/>
      <c r="BG602" s="382"/>
      <c r="BH602" s="382"/>
      <c r="BI602" s="382"/>
      <c r="BJ602" s="382"/>
      <c r="BK602" s="382"/>
      <c r="BL602" s="382"/>
      <c r="BM602" s="382"/>
      <c r="BN602" s="382"/>
      <c r="BO602" s="382"/>
      <c r="BP602" s="382"/>
      <c r="BQ602" s="382"/>
      <c r="BR602" s="382"/>
      <c r="BS602" s="382"/>
      <c r="BT602" s="382"/>
      <c r="BU602" s="496"/>
      <c r="BV602" s="382"/>
      <c r="BW602" s="382"/>
      <c r="BX602" s="382"/>
      <c r="BY602" s="382"/>
      <c r="BZ602" s="382"/>
      <c r="CA602" s="382"/>
      <c r="CB602" s="382"/>
      <c r="CC602" s="382"/>
      <c r="CD602" s="382"/>
      <c r="CE602" s="382"/>
      <c r="CF602" s="382"/>
      <c r="CG602" s="382"/>
      <c r="CH602" s="382"/>
      <c r="CI602" s="382"/>
      <c r="CJ602" s="382"/>
      <c r="CK602" s="382"/>
      <c r="CL602" s="382"/>
      <c r="CM602" s="382"/>
      <c r="CN602" s="382"/>
      <c r="CO602" s="382"/>
      <c r="CP602" s="382"/>
      <c r="CQ602" s="382"/>
      <c r="CR602" s="382"/>
      <c r="CS602" s="382"/>
      <c r="CT602" s="382"/>
      <c r="CU602" s="382"/>
      <c r="CV602" s="382"/>
      <c r="CW602" s="189"/>
      <c r="CX602" s="382"/>
      <c r="CY602" s="382"/>
      <c r="CZ602" s="382"/>
      <c r="DA602" s="382"/>
      <c r="DB602" s="382"/>
      <c r="DC602" s="382"/>
      <c r="DD602" s="382"/>
      <c r="DE602" s="382"/>
      <c r="DF602" s="382"/>
      <c r="DG602" s="382"/>
      <c r="DH602" s="382"/>
      <c r="DI602" s="382"/>
      <c r="DJ602" s="382"/>
      <c r="DK602" s="382"/>
      <c r="DL602" s="382"/>
      <c r="DM602" s="382"/>
      <c r="DN602" s="382"/>
      <c r="DO602" s="382"/>
      <c r="DP602" s="382"/>
      <c r="DQ602" s="382"/>
      <c r="DR602" s="382"/>
      <c r="DS602" s="382"/>
      <c r="DT602" s="382"/>
      <c r="DU602" s="382"/>
      <c r="DV602" s="382"/>
      <c r="DW602" s="382"/>
      <c r="DX602" s="382"/>
      <c r="DY602" s="382"/>
      <c r="DZ602" s="228"/>
    </row>
    <row r="603" spans="4:130" s="180" customFormat="1" x14ac:dyDescent="0.2">
      <c r="D603" s="805"/>
      <c r="E603" s="805"/>
      <c r="F603" s="805"/>
      <c r="G603" s="805"/>
      <c r="H603" s="805"/>
      <c r="I603" s="805"/>
      <c r="J603" s="805"/>
      <c r="K603" s="805"/>
      <c r="L603" s="805"/>
      <c r="M603" s="805"/>
      <c r="N603" s="806"/>
      <c r="O603" s="805"/>
      <c r="P603" s="805"/>
      <c r="Q603" s="807"/>
      <c r="R603" s="807"/>
      <c r="S603" s="825"/>
      <c r="T603" s="805"/>
      <c r="U603" s="805"/>
      <c r="V603" s="805"/>
      <c r="W603" s="805"/>
      <c r="X603" s="805"/>
      <c r="Y603" s="297"/>
      <c r="AB603" s="382"/>
      <c r="AC603" s="382"/>
      <c r="AD603" s="496"/>
      <c r="AE603" s="382"/>
      <c r="AF603" s="382"/>
      <c r="AG603" s="382"/>
      <c r="AH603" s="382"/>
      <c r="AI603" s="382"/>
      <c r="AJ603" s="382"/>
      <c r="AK603" s="382"/>
      <c r="AL603" s="382"/>
      <c r="AM603" s="382"/>
      <c r="AN603" s="382"/>
      <c r="AO603" s="382"/>
      <c r="AP603" s="382"/>
      <c r="AQ603" s="382"/>
      <c r="AR603" s="382"/>
      <c r="AS603" s="382"/>
      <c r="AT603" s="382"/>
      <c r="AU603" s="382"/>
      <c r="AV603" s="382"/>
      <c r="AW603" s="382"/>
      <c r="AX603" s="382"/>
      <c r="AY603" s="382"/>
      <c r="AZ603" s="382"/>
      <c r="BA603" s="382"/>
      <c r="BB603" s="382"/>
      <c r="BC603" s="382"/>
      <c r="BD603" s="382"/>
      <c r="BE603" s="382"/>
      <c r="BF603" s="382"/>
      <c r="BG603" s="382"/>
      <c r="BH603" s="382"/>
      <c r="BI603" s="382"/>
      <c r="BJ603" s="382"/>
      <c r="BK603" s="382"/>
      <c r="BL603" s="382"/>
      <c r="BM603" s="382"/>
      <c r="BN603" s="382"/>
      <c r="BO603" s="382"/>
      <c r="BP603" s="382"/>
      <c r="BQ603" s="382"/>
      <c r="BR603" s="382"/>
      <c r="BS603" s="382"/>
      <c r="BT603" s="382"/>
      <c r="BU603" s="496"/>
      <c r="BV603" s="382"/>
      <c r="BW603" s="382"/>
      <c r="BX603" s="382"/>
      <c r="BY603" s="382"/>
      <c r="BZ603" s="382"/>
      <c r="CA603" s="382"/>
      <c r="CB603" s="382"/>
      <c r="CC603" s="382"/>
      <c r="CD603" s="382"/>
      <c r="CE603" s="382"/>
      <c r="CF603" s="382"/>
      <c r="CG603" s="382"/>
      <c r="CH603" s="382"/>
      <c r="CI603" s="382"/>
      <c r="CJ603" s="382"/>
      <c r="CK603" s="382"/>
      <c r="CL603" s="382"/>
      <c r="CM603" s="382"/>
      <c r="CN603" s="382"/>
      <c r="CO603" s="382"/>
      <c r="CP603" s="382"/>
      <c r="CQ603" s="382"/>
      <c r="CR603" s="382"/>
      <c r="CS603" s="382"/>
      <c r="CT603" s="382"/>
      <c r="CU603" s="382"/>
      <c r="CV603" s="382"/>
      <c r="CW603" s="189"/>
      <c r="CX603" s="382"/>
      <c r="CY603" s="382"/>
      <c r="CZ603" s="382"/>
      <c r="DA603" s="382"/>
      <c r="DB603" s="382"/>
      <c r="DC603" s="382"/>
      <c r="DD603" s="382"/>
      <c r="DE603" s="382"/>
      <c r="DF603" s="382"/>
      <c r="DG603" s="382"/>
      <c r="DH603" s="382"/>
      <c r="DI603" s="382"/>
      <c r="DJ603" s="382"/>
      <c r="DK603" s="382"/>
      <c r="DL603" s="382"/>
      <c r="DM603" s="382"/>
      <c r="DN603" s="382"/>
      <c r="DO603" s="382"/>
      <c r="DP603" s="382"/>
      <c r="DQ603" s="382"/>
      <c r="DR603" s="382"/>
      <c r="DS603" s="382"/>
      <c r="DT603" s="382"/>
      <c r="DU603" s="382"/>
      <c r="DV603" s="382"/>
      <c r="DW603" s="382"/>
      <c r="DX603" s="382"/>
      <c r="DY603" s="382"/>
      <c r="DZ603" s="228"/>
    </row>
    <row r="604" spans="4:130" s="180" customFormat="1" x14ac:dyDescent="0.2">
      <c r="D604" s="805"/>
      <c r="E604" s="805"/>
      <c r="F604" s="805"/>
      <c r="G604" s="805"/>
      <c r="H604" s="805"/>
      <c r="I604" s="805"/>
      <c r="J604" s="805"/>
      <c r="K604" s="805"/>
      <c r="L604" s="805"/>
      <c r="M604" s="805"/>
      <c r="N604" s="806"/>
      <c r="O604" s="805"/>
      <c r="P604" s="805"/>
      <c r="Q604" s="807"/>
      <c r="R604" s="807"/>
      <c r="S604" s="825"/>
      <c r="T604" s="805"/>
      <c r="U604" s="805"/>
      <c r="V604" s="805"/>
      <c r="W604" s="805"/>
      <c r="X604" s="805"/>
      <c r="Y604" s="297"/>
      <c r="AB604" s="382"/>
      <c r="AC604" s="382"/>
      <c r="AD604" s="496"/>
      <c r="AE604" s="382"/>
      <c r="AF604" s="382"/>
      <c r="AG604" s="382"/>
      <c r="AH604" s="382"/>
      <c r="AI604" s="382"/>
      <c r="AJ604" s="382"/>
      <c r="AK604" s="382"/>
      <c r="AL604" s="382"/>
      <c r="AM604" s="382"/>
      <c r="AN604" s="382"/>
      <c r="AO604" s="382"/>
      <c r="AP604" s="382"/>
      <c r="AQ604" s="382"/>
      <c r="AR604" s="382"/>
      <c r="AS604" s="382"/>
      <c r="AT604" s="382"/>
      <c r="AU604" s="382"/>
      <c r="AV604" s="382"/>
      <c r="AW604" s="382"/>
      <c r="AX604" s="382"/>
      <c r="AY604" s="382"/>
      <c r="AZ604" s="382"/>
      <c r="BA604" s="382"/>
      <c r="BB604" s="382"/>
      <c r="BC604" s="382"/>
      <c r="BD604" s="382"/>
      <c r="BE604" s="382"/>
      <c r="BF604" s="382"/>
      <c r="BG604" s="382"/>
      <c r="BH604" s="382"/>
      <c r="BI604" s="382"/>
      <c r="BJ604" s="382"/>
      <c r="BK604" s="382"/>
      <c r="BL604" s="382"/>
      <c r="BM604" s="382"/>
      <c r="BN604" s="382"/>
      <c r="BO604" s="382"/>
      <c r="BP604" s="382"/>
      <c r="BQ604" s="382"/>
      <c r="BR604" s="382"/>
      <c r="BS604" s="382"/>
      <c r="BT604" s="382"/>
      <c r="BU604" s="496"/>
      <c r="BV604" s="382"/>
      <c r="BW604" s="382"/>
      <c r="BX604" s="382"/>
      <c r="BY604" s="382"/>
      <c r="BZ604" s="382"/>
      <c r="CA604" s="382"/>
      <c r="CB604" s="382"/>
      <c r="CC604" s="382"/>
      <c r="CD604" s="382"/>
      <c r="CE604" s="382"/>
      <c r="CF604" s="382"/>
      <c r="CG604" s="382"/>
      <c r="CH604" s="382"/>
      <c r="CI604" s="382"/>
      <c r="CJ604" s="382"/>
      <c r="CK604" s="382"/>
      <c r="CL604" s="382"/>
      <c r="CM604" s="382"/>
      <c r="CN604" s="382"/>
      <c r="CO604" s="382"/>
      <c r="CP604" s="382"/>
      <c r="CQ604" s="382"/>
      <c r="CR604" s="382"/>
      <c r="CS604" s="382"/>
      <c r="CT604" s="382"/>
      <c r="CU604" s="382"/>
      <c r="CV604" s="382"/>
      <c r="CW604" s="189"/>
      <c r="CX604" s="382"/>
      <c r="CY604" s="382"/>
      <c r="CZ604" s="382"/>
      <c r="DA604" s="382"/>
      <c r="DB604" s="382"/>
      <c r="DC604" s="382"/>
      <c r="DD604" s="382"/>
      <c r="DE604" s="382"/>
      <c r="DF604" s="382"/>
      <c r="DG604" s="382"/>
      <c r="DH604" s="382"/>
      <c r="DI604" s="382"/>
      <c r="DJ604" s="382"/>
      <c r="DK604" s="382"/>
      <c r="DL604" s="382"/>
      <c r="DM604" s="382"/>
      <c r="DN604" s="382"/>
      <c r="DO604" s="382"/>
      <c r="DP604" s="382"/>
      <c r="DQ604" s="382"/>
      <c r="DR604" s="382"/>
      <c r="DS604" s="382"/>
      <c r="DT604" s="382"/>
      <c r="DU604" s="382"/>
      <c r="DV604" s="382"/>
      <c r="DW604" s="382"/>
      <c r="DX604" s="382"/>
      <c r="DY604" s="382"/>
      <c r="DZ604" s="228"/>
    </row>
    <row r="605" spans="4:130" s="180" customFormat="1" x14ac:dyDescent="0.2">
      <c r="D605" s="805"/>
      <c r="E605" s="805"/>
      <c r="F605" s="805"/>
      <c r="G605" s="805"/>
      <c r="H605" s="805"/>
      <c r="I605" s="805"/>
      <c r="J605" s="805"/>
      <c r="K605" s="805"/>
      <c r="L605" s="805"/>
      <c r="M605" s="805"/>
      <c r="N605" s="806"/>
      <c r="O605" s="805"/>
      <c r="P605" s="805"/>
      <c r="Q605" s="807"/>
      <c r="R605" s="807"/>
      <c r="S605" s="825"/>
      <c r="T605" s="805"/>
      <c r="U605" s="805"/>
      <c r="V605" s="805"/>
      <c r="W605" s="805"/>
      <c r="X605" s="805"/>
      <c r="Y605" s="297"/>
      <c r="AB605" s="382"/>
      <c r="AC605" s="382"/>
      <c r="AD605" s="496"/>
      <c r="AE605" s="382"/>
      <c r="AF605" s="382"/>
      <c r="AG605" s="382"/>
      <c r="AH605" s="382"/>
      <c r="AI605" s="382"/>
      <c r="AJ605" s="382"/>
      <c r="AK605" s="382"/>
      <c r="AL605" s="382"/>
      <c r="AM605" s="382"/>
      <c r="AN605" s="382"/>
      <c r="AO605" s="382"/>
      <c r="AP605" s="382"/>
      <c r="AQ605" s="382"/>
      <c r="AR605" s="382"/>
      <c r="AS605" s="382"/>
      <c r="AT605" s="382"/>
      <c r="AU605" s="382"/>
      <c r="AV605" s="382"/>
      <c r="AW605" s="382"/>
      <c r="AX605" s="382"/>
      <c r="AY605" s="382"/>
      <c r="AZ605" s="382"/>
      <c r="BA605" s="382"/>
      <c r="BB605" s="382"/>
      <c r="BC605" s="382"/>
      <c r="BD605" s="382"/>
      <c r="BE605" s="382"/>
      <c r="BF605" s="382"/>
      <c r="BG605" s="382"/>
      <c r="BH605" s="382"/>
      <c r="BI605" s="382"/>
      <c r="BJ605" s="382"/>
      <c r="BK605" s="382"/>
      <c r="BL605" s="382"/>
      <c r="BM605" s="382"/>
      <c r="BN605" s="382"/>
      <c r="BO605" s="382"/>
      <c r="BP605" s="382"/>
      <c r="BQ605" s="382"/>
      <c r="BR605" s="382"/>
      <c r="BS605" s="382"/>
      <c r="BT605" s="382"/>
      <c r="BU605" s="496"/>
      <c r="BV605" s="382"/>
      <c r="BW605" s="382"/>
      <c r="BX605" s="382"/>
      <c r="BY605" s="382"/>
      <c r="BZ605" s="382"/>
      <c r="CA605" s="382"/>
      <c r="CB605" s="382"/>
      <c r="CC605" s="382"/>
      <c r="CD605" s="382"/>
      <c r="CE605" s="382"/>
      <c r="CF605" s="382"/>
      <c r="CG605" s="382"/>
      <c r="CH605" s="382"/>
      <c r="CI605" s="382"/>
      <c r="CJ605" s="382"/>
      <c r="CK605" s="382"/>
      <c r="CL605" s="382"/>
      <c r="CM605" s="382"/>
      <c r="CN605" s="382"/>
      <c r="CO605" s="382"/>
      <c r="CP605" s="382"/>
      <c r="CQ605" s="382"/>
      <c r="CR605" s="382"/>
      <c r="CS605" s="382"/>
      <c r="CT605" s="382"/>
      <c r="CU605" s="382"/>
      <c r="CV605" s="382"/>
      <c r="CW605" s="189"/>
      <c r="CX605" s="382"/>
      <c r="CY605" s="382"/>
      <c r="CZ605" s="382"/>
      <c r="DA605" s="382"/>
      <c r="DB605" s="382"/>
      <c r="DC605" s="382"/>
      <c r="DD605" s="382"/>
      <c r="DE605" s="382"/>
      <c r="DF605" s="382"/>
      <c r="DG605" s="382"/>
      <c r="DH605" s="382"/>
      <c r="DI605" s="382"/>
      <c r="DJ605" s="382"/>
      <c r="DK605" s="382"/>
      <c r="DL605" s="382"/>
      <c r="DM605" s="382"/>
      <c r="DN605" s="382"/>
      <c r="DO605" s="382"/>
      <c r="DP605" s="382"/>
      <c r="DQ605" s="382"/>
      <c r="DR605" s="382"/>
      <c r="DS605" s="382"/>
      <c r="DT605" s="382"/>
      <c r="DU605" s="382"/>
      <c r="DV605" s="382"/>
      <c r="DW605" s="382"/>
      <c r="DX605" s="382"/>
      <c r="DY605" s="382"/>
      <c r="DZ605" s="228"/>
    </row>
    <row r="606" spans="4:130" s="180" customFormat="1" x14ac:dyDescent="0.2">
      <c r="D606" s="805"/>
      <c r="E606" s="805"/>
      <c r="F606" s="805"/>
      <c r="G606" s="805"/>
      <c r="H606" s="805"/>
      <c r="I606" s="805"/>
      <c r="J606" s="805"/>
      <c r="K606" s="805"/>
      <c r="L606" s="805"/>
      <c r="M606" s="805"/>
      <c r="N606" s="806"/>
      <c r="O606" s="805"/>
      <c r="P606" s="805"/>
      <c r="Q606" s="807"/>
      <c r="R606" s="807"/>
      <c r="S606" s="825"/>
      <c r="T606" s="805"/>
      <c r="U606" s="805"/>
      <c r="V606" s="805"/>
      <c r="W606" s="805"/>
      <c r="X606" s="805"/>
      <c r="Y606" s="297"/>
      <c r="AB606" s="382"/>
      <c r="AC606" s="382"/>
      <c r="AD606" s="496"/>
      <c r="AE606" s="382"/>
      <c r="AF606" s="382"/>
      <c r="AG606" s="382"/>
      <c r="AH606" s="382"/>
      <c r="AI606" s="382"/>
      <c r="AJ606" s="382"/>
      <c r="AK606" s="382"/>
      <c r="AL606" s="382"/>
      <c r="AM606" s="382"/>
      <c r="AN606" s="382"/>
      <c r="AO606" s="382"/>
      <c r="AP606" s="382"/>
      <c r="AQ606" s="382"/>
      <c r="AR606" s="382"/>
      <c r="AS606" s="382"/>
      <c r="AT606" s="382"/>
      <c r="AU606" s="382"/>
      <c r="AV606" s="382"/>
      <c r="AW606" s="382"/>
      <c r="AX606" s="382"/>
      <c r="AY606" s="382"/>
      <c r="AZ606" s="382"/>
      <c r="BA606" s="382"/>
      <c r="BB606" s="382"/>
      <c r="BC606" s="382"/>
      <c r="BD606" s="382"/>
      <c r="BE606" s="382"/>
      <c r="BF606" s="382"/>
      <c r="BG606" s="382"/>
      <c r="BH606" s="382"/>
      <c r="BI606" s="382"/>
      <c r="BJ606" s="382"/>
      <c r="BK606" s="382"/>
      <c r="BL606" s="382"/>
      <c r="BM606" s="382"/>
      <c r="BN606" s="382"/>
      <c r="BO606" s="382"/>
      <c r="BP606" s="382"/>
      <c r="BQ606" s="382"/>
      <c r="BR606" s="382"/>
      <c r="BS606" s="382"/>
      <c r="BT606" s="382"/>
      <c r="BU606" s="496"/>
      <c r="BV606" s="382"/>
      <c r="BW606" s="382"/>
      <c r="BX606" s="382"/>
      <c r="BY606" s="382"/>
      <c r="BZ606" s="382"/>
      <c r="CA606" s="382"/>
      <c r="CB606" s="382"/>
      <c r="CC606" s="382"/>
      <c r="CD606" s="382"/>
      <c r="CE606" s="382"/>
      <c r="CF606" s="382"/>
      <c r="CG606" s="382"/>
      <c r="CH606" s="382"/>
      <c r="CI606" s="382"/>
      <c r="CJ606" s="382"/>
      <c r="CK606" s="382"/>
      <c r="CL606" s="382"/>
      <c r="CM606" s="382"/>
      <c r="CN606" s="382"/>
      <c r="CO606" s="382"/>
      <c r="CP606" s="382"/>
      <c r="CQ606" s="382"/>
      <c r="CR606" s="382"/>
      <c r="CS606" s="382"/>
      <c r="CT606" s="382"/>
      <c r="CU606" s="382"/>
      <c r="CV606" s="382"/>
      <c r="CW606" s="189"/>
      <c r="CX606" s="382"/>
      <c r="CY606" s="382"/>
      <c r="CZ606" s="382"/>
      <c r="DA606" s="382"/>
      <c r="DB606" s="382"/>
      <c r="DC606" s="382"/>
      <c r="DD606" s="382"/>
      <c r="DE606" s="382"/>
      <c r="DF606" s="382"/>
      <c r="DG606" s="382"/>
      <c r="DH606" s="382"/>
      <c r="DI606" s="382"/>
      <c r="DJ606" s="382"/>
      <c r="DK606" s="382"/>
      <c r="DL606" s="382"/>
      <c r="DM606" s="382"/>
      <c r="DN606" s="382"/>
      <c r="DO606" s="382"/>
      <c r="DP606" s="382"/>
      <c r="DQ606" s="382"/>
      <c r="DR606" s="382"/>
      <c r="DS606" s="382"/>
      <c r="DT606" s="382"/>
      <c r="DU606" s="382"/>
      <c r="DV606" s="382"/>
      <c r="DW606" s="382"/>
      <c r="DX606" s="382"/>
      <c r="DY606" s="382"/>
      <c r="DZ606" s="228"/>
    </row>
    <row r="607" spans="4:130" s="180" customFormat="1" x14ac:dyDescent="0.2">
      <c r="D607" s="805"/>
      <c r="E607" s="805"/>
      <c r="F607" s="805"/>
      <c r="G607" s="805"/>
      <c r="H607" s="805"/>
      <c r="I607" s="805"/>
      <c r="J607" s="805"/>
      <c r="K607" s="805"/>
      <c r="L607" s="805"/>
      <c r="M607" s="805"/>
      <c r="N607" s="806"/>
      <c r="O607" s="805"/>
      <c r="P607" s="805"/>
      <c r="Q607" s="807"/>
      <c r="R607" s="807"/>
      <c r="S607" s="825"/>
      <c r="T607" s="805"/>
      <c r="U607" s="805"/>
      <c r="V607" s="805"/>
      <c r="W607" s="805"/>
      <c r="X607" s="805"/>
      <c r="Y607" s="297"/>
      <c r="AB607" s="382"/>
      <c r="AC607" s="382"/>
      <c r="AD607" s="496"/>
      <c r="AE607" s="382"/>
      <c r="AF607" s="382"/>
      <c r="AG607" s="382"/>
      <c r="AH607" s="382"/>
      <c r="AI607" s="382"/>
      <c r="AJ607" s="382"/>
      <c r="AK607" s="382"/>
      <c r="AL607" s="382"/>
      <c r="AM607" s="382"/>
      <c r="AN607" s="382"/>
      <c r="AO607" s="382"/>
      <c r="AP607" s="382"/>
      <c r="AQ607" s="382"/>
      <c r="AR607" s="382"/>
      <c r="AS607" s="382"/>
      <c r="AT607" s="382"/>
      <c r="AU607" s="382"/>
      <c r="AV607" s="382"/>
      <c r="AW607" s="382"/>
      <c r="AX607" s="382"/>
      <c r="AY607" s="382"/>
      <c r="AZ607" s="382"/>
      <c r="BA607" s="382"/>
      <c r="BB607" s="382"/>
      <c r="BC607" s="382"/>
      <c r="BD607" s="382"/>
      <c r="BE607" s="382"/>
      <c r="BF607" s="382"/>
      <c r="BG607" s="382"/>
      <c r="BH607" s="382"/>
      <c r="BI607" s="382"/>
      <c r="BJ607" s="382"/>
      <c r="BK607" s="382"/>
      <c r="BL607" s="382"/>
      <c r="BM607" s="382"/>
      <c r="BN607" s="382"/>
      <c r="BO607" s="382"/>
      <c r="BP607" s="382"/>
      <c r="BQ607" s="382"/>
      <c r="BR607" s="382"/>
      <c r="BS607" s="382"/>
      <c r="BT607" s="382"/>
      <c r="BU607" s="496"/>
      <c r="BV607" s="382"/>
      <c r="BW607" s="382"/>
      <c r="BX607" s="382"/>
      <c r="BY607" s="382"/>
      <c r="BZ607" s="382"/>
      <c r="CA607" s="382"/>
      <c r="CB607" s="382"/>
      <c r="CC607" s="382"/>
      <c r="CD607" s="382"/>
      <c r="CE607" s="382"/>
      <c r="CF607" s="382"/>
      <c r="CG607" s="382"/>
      <c r="CH607" s="382"/>
      <c r="CI607" s="382"/>
      <c r="CJ607" s="382"/>
      <c r="CK607" s="382"/>
      <c r="CL607" s="382"/>
      <c r="CM607" s="382"/>
      <c r="CN607" s="382"/>
      <c r="CO607" s="382"/>
      <c r="CP607" s="382"/>
      <c r="CQ607" s="382"/>
      <c r="CR607" s="382"/>
      <c r="CS607" s="382"/>
      <c r="CT607" s="382"/>
      <c r="CU607" s="382"/>
      <c r="CV607" s="382"/>
      <c r="CW607" s="189"/>
      <c r="CX607" s="382"/>
      <c r="CY607" s="382"/>
      <c r="CZ607" s="382"/>
      <c r="DA607" s="382"/>
      <c r="DB607" s="382"/>
      <c r="DC607" s="382"/>
      <c r="DD607" s="382"/>
      <c r="DE607" s="382"/>
      <c r="DF607" s="382"/>
      <c r="DG607" s="382"/>
      <c r="DH607" s="382"/>
      <c r="DI607" s="382"/>
      <c r="DJ607" s="382"/>
      <c r="DK607" s="382"/>
      <c r="DL607" s="382"/>
      <c r="DM607" s="382"/>
      <c r="DN607" s="382"/>
      <c r="DO607" s="382"/>
      <c r="DP607" s="382"/>
      <c r="DQ607" s="382"/>
      <c r="DR607" s="382"/>
      <c r="DS607" s="382"/>
      <c r="DT607" s="382"/>
      <c r="DU607" s="382"/>
      <c r="DV607" s="382"/>
      <c r="DW607" s="382"/>
      <c r="DX607" s="382"/>
      <c r="DY607" s="382"/>
      <c r="DZ607" s="228"/>
    </row>
    <row r="608" spans="4:130" s="180" customFormat="1" x14ac:dyDescent="0.2">
      <c r="D608" s="805"/>
      <c r="E608" s="805"/>
      <c r="F608" s="805"/>
      <c r="G608" s="805"/>
      <c r="H608" s="805"/>
      <c r="I608" s="805"/>
      <c r="J608" s="805"/>
      <c r="K608" s="805"/>
      <c r="L608" s="805"/>
      <c r="M608" s="805"/>
      <c r="N608" s="806"/>
      <c r="O608" s="805"/>
      <c r="P608" s="805"/>
      <c r="Q608" s="807"/>
      <c r="R608" s="807"/>
      <c r="S608" s="825"/>
      <c r="T608" s="805"/>
      <c r="U608" s="805"/>
      <c r="V608" s="805"/>
      <c r="W608" s="805"/>
      <c r="X608" s="805"/>
      <c r="Y608" s="297"/>
      <c r="AB608" s="382"/>
      <c r="AC608" s="382"/>
      <c r="AD608" s="496"/>
      <c r="AE608" s="382"/>
      <c r="AF608" s="382"/>
      <c r="AG608" s="382"/>
      <c r="AH608" s="382"/>
      <c r="AI608" s="382"/>
      <c r="AJ608" s="382"/>
      <c r="AK608" s="382"/>
      <c r="AL608" s="382"/>
      <c r="AM608" s="382"/>
      <c r="AN608" s="382"/>
      <c r="AO608" s="382"/>
      <c r="AP608" s="382"/>
      <c r="AQ608" s="382"/>
      <c r="AR608" s="382"/>
      <c r="AS608" s="382"/>
      <c r="AT608" s="382"/>
      <c r="AU608" s="382"/>
      <c r="AV608" s="382"/>
      <c r="AW608" s="382"/>
      <c r="AX608" s="382"/>
      <c r="AY608" s="382"/>
      <c r="AZ608" s="382"/>
      <c r="BA608" s="382"/>
      <c r="BB608" s="382"/>
      <c r="BC608" s="382"/>
      <c r="BD608" s="382"/>
      <c r="BE608" s="382"/>
      <c r="BF608" s="382"/>
      <c r="BG608" s="382"/>
      <c r="BH608" s="382"/>
      <c r="BI608" s="382"/>
      <c r="BJ608" s="382"/>
      <c r="BK608" s="382"/>
      <c r="BL608" s="382"/>
      <c r="BM608" s="382"/>
      <c r="BN608" s="382"/>
      <c r="BO608" s="382"/>
      <c r="BP608" s="382"/>
      <c r="BQ608" s="382"/>
      <c r="BR608" s="382"/>
      <c r="BS608" s="382"/>
      <c r="BT608" s="382"/>
      <c r="BU608" s="496"/>
      <c r="BV608" s="382"/>
      <c r="BW608" s="382"/>
      <c r="BX608" s="382"/>
      <c r="BY608" s="382"/>
      <c r="BZ608" s="382"/>
      <c r="CA608" s="382"/>
      <c r="CB608" s="382"/>
      <c r="CC608" s="382"/>
      <c r="CD608" s="382"/>
      <c r="CE608" s="382"/>
      <c r="CF608" s="382"/>
      <c r="CG608" s="382"/>
      <c r="CH608" s="382"/>
      <c r="CI608" s="382"/>
      <c r="CJ608" s="382"/>
      <c r="CK608" s="382"/>
      <c r="CL608" s="382"/>
      <c r="CM608" s="382"/>
      <c r="CN608" s="382"/>
      <c r="CO608" s="382"/>
      <c r="CP608" s="382"/>
      <c r="CQ608" s="382"/>
      <c r="CR608" s="382"/>
      <c r="CS608" s="382"/>
      <c r="CT608" s="382"/>
      <c r="CU608" s="382"/>
      <c r="CV608" s="382"/>
      <c r="CW608" s="189"/>
      <c r="CX608" s="382"/>
      <c r="CY608" s="382"/>
      <c r="CZ608" s="382"/>
      <c r="DA608" s="382"/>
      <c r="DB608" s="382"/>
      <c r="DC608" s="382"/>
      <c r="DD608" s="382"/>
      <c r="DE608" s="382"/>
      <c r="DF608" s="382"/>
      <c r="DG608" s="382"/>
      <c r="DH608" s="382"/>
      <c r="DI608" s="382"/>
      <c r="DJ608" s="382"/>
      <c r="DK608" s="382"/>
      <c r="DL608" s="382"/>
      <c r="DM608" s="382"/>
      <c r="DN608" s="382"/>
      <c r="DO608" s="382"/>
      <c r="DP608" s="382"/>
      <c r="DQ608" s="382"/>
      <c r="DR608" s="382"/>
      <c r="DS608" s="382"/>
      <c r="DT608" s="382"/>
      <c r="DU608" s="382"/>
      <c r="DV608" s="382"/>
      <c r="DW608" s="382"/>
      <c r="DX608" s="382"/>
      <c r="DY608" s="382"/>
      <c r="DZ608" s="228"/>
    </row>
    <row r="609" spans="4:130" s="180" customFormat="1" x14ac:dyDescent="0.2">
      <c r="D609" s="805"/>
      <c r="E609" s="805"/>
      <c r="F609" s="805"/>
      <c r="G609" s="805"/>
      <c r="H609" s="805"/>
      <c r="I609" s="805"/>
      <c r="J609" s="805"/>
      <c r="K609" s="805"/>
      <c r="L609" s="805"/>
      <c r="M609" s="805"/>
      <c r="N609" s="806"/>
      <c r="O609" s="805"/>
      <c r="P609" s="805"/>
      <c r="Q609" s="807"/>
      <c r="R609" s="807"/>
      <c r="S609" s="825"/>
      <c r="T609" s="805"/>
      <c r="U609" s="805"/>
      <c r="V609" s="805"/>
      <c r="W609" s="805"/>
      <c r="X609" s="805"/>
      <c r="Y609" s="297"/>
      <c r="AB609" s="382"/>
      <c r="AC609" s="382"/>
      <c r="AD609" s="496"/>
      <c r="AE609" s="382"/>
      <c r="AF609" s="382"/>
      <c r="AG609" s="382"/>
      <c r="AH609" s="382"/>
      <c r="AI609" s="382"/>
      <c r="AJ609" s="382"/>
      <c r="AK609" s="382"/>
      <c r="AL609" s="382"/>
      <c r="AM609" s="382"/>
      <c r="AN609" s="382"/>
      <c r="AO609" s="382"/>
      <c r="AP609" s="382"/>
      <c r="AQ609" s="382"/>
      <c r="AR609" s="382"/>
      <c r="AS609" s="382"/>
      <c r="AT609" s="382"/>
      <c r="AU609" s="382"/>
      <c r="AV609" s="382"/>
      <c r="AW609" s="382"/>
      <c r="AX609" s="382"/>
      <c r="AY609" s="382"/>
      <c r="AZ609" s="382"/>
      <c r="BA609" s="382"/>
      <c r="BB609" s="382"/>
      <c r="BC609" s="382"/>
      <c r="BD609" s="382"/>
      <c r="BE609" s="382"/>
      <c r="BF609" s="382"/>
      <c r="BG609" s="382"/>
      <c r="BH609" s="382"/>
      <c r="BI609" s="382"/>
      <c r="BJ609" s="382"/>
      <c r="BK609" s="382"/>
      <c r="BL609" s="382"/>
      <c r="BM609" s="382"/>
      <c r="BN609" s="382"/>
      <c r="BO609" s="382"/>
      <c r="BP609" s="382"/>
      <c r="BQ609" s="382"/>
      <c r="BR609" s="382"/>
      <c r="BS609" s="382"/>
      <c r="BT609" s="382"/>
      <c r="BU609" s="496"/>
      <c r="BV609" s="382"/>
      <c r="BW609" s="382"/>
      <c r="BX609" s="382"/>
      <c r="BY609" s="382"/>
      <c r="BZ609" s="382"/>
      <c r="CA609" s="382"/>
      <c r="CB609" s="382"/>
      <c r="CC609" s="382"/>
      <c r="CD609" s="382"/>
      <c r="CE609" s="382"/>
      <c r="CF609" s="382"/>
      <c r="CG609" s="382"/>
      <c r="CH609" s="382"/>
      <c r="CI609" s="382"/>
      <c r="CJ609" s="382"/>
      <c r="CK609" s="382"/>
      <c r="CL609" s="382"/>
      <c r="CM609" s="382"/>
      <c r="CN609" s="382"/>
      <c r="CO609" s="382"/>
      <c r="CP609" s="382"/>
      <c r="CQ609" s="382"/>
      <c r="CR609" s="382"/>
      <c r="CS609" s="382"/>
      <c r="CT609" s="382"/>
      <c r="CU609" s="382"/>
      <c r="CV609" s="382"/>
      <c r="CW609" s="189"/>
      <c r="CX609" s="382"/>
      <c r="CY609" s="382"/>
      <c r="CZ609" s="382"/>
      <c r="DA609" s="382"/>
      <c r="DB609" s="382"/>
      <c r="DC609" s="382"/>
      <c r="DD609" s="382"/>
      <c r="DE609" s="382"/>
      <c r="DF609" s="382"/>
      <c r="DG609" s="382"/>
      <c r="DH609" s="382"/>
      <c r="DI609" s="382"/>
      <c r="DJ609" s="382"/>
      <c r="DK609" s="382"/>
      <c r="DL609" s="382"/>
      <c r="DM609" s="382"/>
      <c r="DN609" s="382"/>
      <c r="DO609" s="382"/>
      <c r="DP609" s="382"/>
      <c r="DQ609" s="382"/>
      <c r="DR609" s="382"/>
      <c r="DS609" s="382"/>
      <c r="DT609" s="382"/>
      <c r="DU609" s="382"/>
      <c r="DV609" s="382"/>
      <c r="DW609" s="382"/>
      <c r="DX609" s="382"/>
      <c r="DY609" s="382"/>
      <c r="DZ609" s="228"/>
    </row>
    <row r="610" spans="4:130" s="180" customFormat="1" x14ac:dyDescent="0.2">
      <c r="D610" s="805"/>
      <c r="E610" s="805"/>
      <c r="F610" s="805"/>
      <c r="G610" s="805"/>
      <c r="H610" s="805"/>
      <c r="I610" s="805"/>
      <c r="J610" s="805"/>
      <c r="K610" s="805"/>
      <c r="L610" s="805"/>
      <c r="M610" s="805"/>
      <c r="N610" s="806"/>
      <c r="O610" s="805"/>
      <c r="P610" s="805"/>
      <c r="Q610" s="807"/>
      <c r="R610" s="807"/>
      <c r="S610" s="825"/>
      <c r="T610" s="805"/>
      <c r="U610" s="805"/>
      <c r="V610" s="805"/>
      <c r="W610" s="805"/>
      <c r="X610" s="805"/>
      <c r="Y610" s="297"/>
      <c r="AB610" s="382"/>
      <c r="AC610" s="382"/>
      <c r="AD610" s="496"/>
      <c r="AE610" s="382"/>
      <c r="AF610" s="382"/>
      <c r="AG610" s="382"/>
      <c r="AH610" s="382"/>
      <c r="AI610" s="382"/>
      <c r="AJ610" s="382"/>
      <c r="AK610" s="382"/>
      <c r="AL610" s="382"/>
      <c r="AM610" s="382"/>
      <c r="AN610" s="382"/>
      <c r="AO610" s="382"/>
      <c r="AP610" s="382"/>
      <c r="AQ610" s="382"/>
      <c r="AR610" s="382"/>
      <c r="AS610" s="382"/>
      <c r="AT610" s="382"/>
      <c r="AU610" s="382"/>
      <c r="AV610" s="382"/>
      <c r="AW610" s="382"/>
      <c r="AX610" s="382"/>
      <c r="AY610" s="382"/>
      <c r="AZ610" s="382"/>
      <c r="BA610" s="382"/>
      <c r="BB610" s="382"/>
      <c r="BC610" s="382"/>
      <c r="BD610" s="382"/>
      <c r="BE610" s="382"/>
      <c r="BF610" s="382"/>
      <c r="BG610" s="382"/>
      <c r="BH610" s="382"/>
      <c r="BI610" s="382"/>
      <c r="BJ610" s="382"/>
      <c r="BK610" s="382"/>
      <c r="BL610" s="382"/>
      <c r="BM610" s="382"/>
      <c r="BN610" s="382"/>
      <c r="BO610" s="382"/>
      <c r="BP610" s="382"/>
      <c r="BQ610" s="382"/>
      <c r="BR610" s="382"/>
      <c r="BS610" s="382"/>
      <c r="BT610" s="382"/>
      <c r="BU610" s="496"/>
      <c r="BV610" s="382"/>
      <c r="BW610" s="382"/>
      <c r="BX610" s="382"/>
      <c r="BY610" s="382"/>
      <c r="BZ610" s="382"/>
      <c r="CA610" s="382"/>
      <c r="CB610" s="382"/>
      <c r="CC610" s="382"/>
      <c r="CD610" s="382"/>
      <c r="CE610" s="382"/>
      <c r="CF610" s="382"/>
      <c r="CG610" s="382"/>
      <c r="CH610" s="382"/>
      <c r="CI610" s="382"/>
      <c r="CJ610" s="382"/>
      <c r="CK610" s="382"/>
      <c r="CL610" s="382"/>
      <c r="CM610" s="382"/>
      <c r="CN610" s="382"/>
      <c r="CO610" s="382"/>
      <c r="CP610" s="382"/>
      <c r="CQ610" s="382"/>
      <c r="CR610" s="382"/>
      <c r="CS610" s="382"/>
      <c r="CT610" s="382"/>
      <c r="CU610" s="382"/>
      <c r="CV610" s="382"/>
      <c r="CW610" s="189"/>
      <c r="CX610" s="382"/>
      <c r="CY610" s="382"/>
      <c r="CZ610" s="382"/>
      <c r="DA610" s="382"/>
      <c r="DB610" s="382"/>
      <c r="DC610" s="382"/>
      <c r="DD610" s="382"/>
      <c r="DE610" s="382"/>
      <c r="DF610" s="382"/>
      <c r="DG610" s="382"/>
      <c r="DH610" s="382"/>
      <c r="DI610" s="382"/>
      <c r="DJ610" s="382"/>
      <c r="DK610" s="382"/>
      <c r="DL610" s="382"/>
      <c r="DM610" s="382"/>
      <c r="DN610" s="382"/>
      <c r="DO610" s="382"/>
      <c r="DP610" s="382"/>
      <c r="DQ610" s="382"/>
      <c r="DR610" s="382"/>
      <c r="DS610" s="382"/>
      <c r="DT610" s="382"/>
      <c r="DU610" s="382"/>
      <c r="DV610" s="382"/>
      <c r="DW610" s="382"/>
      <c r="DX610" s="382"/>
      <c r="DY610" s="382"/>
      <c r="DZ610" s="228"/>
    </row>
    <row r="611" spans="4:130" s="180" customFormat="1" x14ac:dyDescent="0.2">
      <c r="D611" s="805"/>
      <c r="E611" s="805"/>
      <c r="F611" s="805"/>
      <c r="G611" s="805"/>
      <c r="H611" s="805"/>
      <c r="I611" s="805"/>
      <c r="J611" s="805"/>
      <c r="K611" s="805"/>
      <c r="L611" s="805"/>
      <c r="M611" s="805"/>
      <c r="N611" s="806"/>
      <c r="O611" s="805"/>
      <c r="P611" s="805"/>
      <c r="Q611" s="807"/>
      <c r="R611" s="807"/>
      <c r="S611" s="825"/>
      <c r="T611" s="805"/>
      <c r="U611" s="805"/>
      <c r="V611" s="805"/>
      <c r="W611" s="805"/>
      <c r="X611" s="805"/>
      <c r="Y611" s="297"/>
      <c r="AB611" s="382"/>
      <c r="AC611" s="382"/>
      <c r="AD611" s="496"/>
      <c r="AE611" s="382"/>
      <c r="AF611" s="382"/>
      <c r="AG611" s="382"/>
      <c r="AH611" s="382"/>
      <c r="AI611" s="382"/>
      <c r="AJ611" s="382"/>
      <c r="AK611" s="382"/>
      <c r="AL611" s="382"/>
      <c r="AM611" s="382"/>
      <c r="AN611" s="382"/>
      <c r="AO611" s="382"/>
      <c r="AP611" s="382"/>
      <c r="AQ611" s="382"/>
      <c r="AR611" s="382"/>
      <c r="AS611" s="382"/>
      <c r="AT611" s="382"/>
      <c r="AU611" s="382"/>
      <c r="AV611" s="382"/>
      <c r="AW611" s="382"/>
      <c r="AX611" s="382"/>
      <c r="AY611" s="382"/>
      <c r="AZ611" s="382"/>
      <c r="BA611" s="382"/>
      <c r="BB611" s="382"/>
      <c r="BC611" s="382"/>
      <c r="BD611" s="382"/>
      <c r="BE611" s="382"/>
      <c r="BF611" s="382"/>
      <c r="BG611" s="382"/>
      <c r="BH611" s="382"/>
      <c r="BI611" s="382"/>
      <c r="BJ611" s="382"/>
      <c r="BK611" s="382"/>
      <c r="BL611" s="382"/>
      <c r="BM611" s="382"/>
      <c r="BN611" s="382"/>
      <c r="BO611" s="382"/>
      <c r="BP611" s="382"/>
      <c r="BQ611" s="382"/>
      <c r="BR611" s="382"/>
      <c r="BS611" s="382"/>
      <c r="BT611" s="382"/>
      <c r="BU611" s="496"/>
      <c r="BV611" s="382"/>
      <c r="BW611" s="382"/>
      <c r="BX611" s="382"/>
      <c r="BY611" s="382"/>
      <c r="BZ611" s="382"/>
      <c r="CA611" s="382"/>
      <c r="CB611" s="382"/>
      <c r="CC611" s="382"/>
      <c r="CD611" s="382"/>
      <c r="CE611" s="382"/>
      <c r="CF611" s="382"/>
      <c r="CG611" s="382"/>
      <c r="CH611" s="382"/>
      <c r="CI611" s="382"/>
      <c r="CJ611" s="382"/>
      <c r="CK611" s="382"/>
      <c r="CL611" s="382"/>
      <c r="CM611" s="382"/>
      <c r="CN611" s="382"/>
      <c r="CO611" s="382"/>
      <c r="CP611" s="382"/>
      <c r="CQ611" s="382"/>
      <c r="CR611" s="382"/>
      <c r="CS611" s="382"/>
      <c r="CT611" s="382"/>
      <c r="CU611" s="382"/>
      <c r="CV611" s="382"/>
      <c r="CW611" s="189"/>
      <c r="CX611" s="382"/>
      <c r="CY611" s="382"/>
      <c r="CZ611" s="382"/>
      <c r="DA611" s="382"/>
      <c r="DB611" s="382"/>
      <c r="DC611" s="382"/>
      <c r="DD611" s="382"/>
      <c r="DE611" s="382"/>
      <c r="DF611" s="382"/>
      <c r="DG611" s="382"/>
      <c r="DH611" s="382"/>
      <c r="DI611" s="382"/>
      <c r="DJ611" s="382"/>
      <c r="DK611" s="382"/>
      <c r="DL611" s="382"/>
      <c r="DM611" s="382"/>
      <c r="DN611" s="382"/>
      <c r="DO611" s="382"/>
      <c r="DP611" s="382"/>
      <c r="DQ611" s="382"/>
      <c r="DR611" s="382"/>
      <c r="DS611" s="382"/>
      <c r="DT611" s="382"/>
      <c r="DU611" s="382"/>
      <c r="DV611" s="382"/>
      <c r="DW611" s="382"/>
      <c r="DX611" s="382"/>
      <c r="DY611" s="382"/>
      <c r="DZ611" s="228"/>
    </row>
    <row r="612" spans="4:130" s="180" customFormat="1" x14ac:dyDescent="0.2">
      <c r="D612" s="805"/>
      <c r="E612" s="805"/>
      <c r="F612" s="805"/>
      <c r="G612" s="805"/>
      <c r="H612" s="805"/>
      <c r="I612" s="805"/>
      <c r="J612" s="805"/>
      <c r="K612" s="805"/>
      <c r="L612" s="805"/>
      <c r="M612" s="805"/>
      <c r="N612" s="806"/>
      <c r="O612" s="805"/>
      <c r="P612" s="805"/>
      <c r="Q612" s="807"/>
      <c r="R612" s="807"/>
      <c r="S612" s="825"/>
      <c r="T612" s="805"/>
      <c r="U612" s="805"/>
      <c r="V612" s="805"/>
      <c r="W612" s="805"/>
      <c r="X612" s="805"/>
      <c r="Y612" s="297"/>
      <c r="AB612" s="382"/>
      <c r="AC612" s="382"/>
      <c r="AD612" s="496"/>
      <c r="AE612" s="382"/>
      <c r="AF612" s="382"/>
      <c r="AG612" s="382"/>
      <c r="AH612" s="382"/>
      <c r="AI612" s="382"/>
      <c r="AJ612" s="382"/>
      <c r="AK612" s="382"/>
      <c r="AL612" s="382"/>
      <c r="AM612" s="382"/>
      <c r="AN612" s="382"/>
      <c r="AO612" s="382"/>
      <c r="AP612" s="382"/>
      <c r="AQ612" s="382"/>
      <c r="AR612" s="382"/>
      <c r="AS612" s="382"/>
      <c r="AT612" s="382"/>
      <c r="AU612" s="382"/>
      <c r="AV612" s="382"/>
      <c r="AW612" s="382"/>
      <c r="AX612" s="382"/>
      <c r="AY612" s="382"/>
      <c r="AZ612" s="382"/>
      <c r="BA612" s="382"/>
      <c r="BB612" s="382"/>
      <c r="BC612" s="382"/>
      <c r="BD612" s="382"/>
      <c r="BE612" s="382"/>
      <c r="BF612" s="382"/>
      <c r="BG612" s="382"/>
      <c r="BH612" s="382"/>
      <c r="BI612" s="382"/>
      <c r="BJ612" s="382"/>
      <c r="BK612" s="382"/>
      <c r="BL612" s="382"/>
      <c r="BM612" s="382"/>
      <c r="BN612" s="382"/>
      <c r="BO612" s="382"/>
      <c r="BP612" s="382"/>
      <c r="BQ612" s="382"/>
      <c r="BR612" s="382"/>
      <c r="BS612" s="382"/>
      <c r="BT612" s="382"/>
      <c r="BU612" s="496"/>
      <c r="BV612" s="382"/>
      <c r="BW612" s="382"/>
      <c r="BX612" s="382"/>
      <c r="BY612" s="382"/>
      <c r="BZ612" s="382"/>
      <c r="CA612" s="382"/>
      <c r="CB612" s="382"/>
      <c r="CC612" s="382"/>
      <c r="CD612" s="382"/>
      <c r="CE612" s="382"/>
      <c r="CF612" s="382"/>
      <c r="CG612" s="382"/>
      <c r="CH612" s="382"/>
      <c r="CI612" s="382"/>
      <c r="CJ612" s="382"/>
      <c r="CK612" s="382"/>
      <c r="CL612" s="382"/>
      <c r="CM612" s="382"/>
      <c r="CN612" s="382"/>
      <c r="CO612" s="382"/>
      <c r="CP612" s="382"/>
      <c r="CQ612" s="382"/>
      <c r="CR612" s="382"/>
      <c r="CS612" s="382"/>
      <c r="CT612" s="382"/>
      <c r="CU612" s="382"/>
      <c r="CV612" s="382"/>
      <c r="CW612" s="189"/>
      <c r="CX612" s="382"/>
      <c r="CY612" s="382"/>
      <c r="CZ612" s="382"/>
      <c r="DA612" s="382"/>
      <c r="DB612" s="382"/>
      <c r="DC612" s="382"/>
      <c r="DD612" s="382"/>
      <c r="DE612" s="382"/>
      <c r="DF612" s="382"/>
      <c r="DG612" s="382"/>
      <c r="DH612" s="382"/>
      <c r="DI612" s="382"/>
      <c r="DJ612" s="382"/>
      <c r="DK612" s="382"/>
      <c r="DL612" s="382"/>
      <c r="DM612" s="382"/>
      <c r="DN612" s="382"/>
      <c r="DO612" s="382"/>
      <c r="DP612" s="382"/>
      <c r="DQ612" s="382"/>
      <c r="DR612" s="382"/>
      <c r="DS612" s="382"/>
      <c r="DT612" s="382"/>
      <c r="DU612" s="382"/>
      <c r="DV612" s="382"/>
      <c r="DW612" s="382"/>
      <c r="DX612" s="382"/>
      <c r="DY612" s="382"/>
      <c r="DZ612" s="228"/>
    </row>
    <row r="613" spans="4:130" s="180" customFormat="1" x14ac:dyDescent="0.2">
      <c r="D613" s="805"/>
      <c r="E613" s="805"/>
      <c r="F613" s="805"/>
      <c r="G613" s="805"/>
      <c r="H613" s="805"/>
      <c r="I613" s="805"/>
      <c r="J613" s="805"/>
      <c r="K613" s="805"/>
      <c r="L613" s="805"/>
      <c r="M613" s="805"/>
      <c r="N613" s="806"/>
      <c r="O613" s="805"/>
      <c r="P613" s="805"/>
      <c r="Q613" s="807"/>
      <c r="R613" s="807"/>
      <c r="S613" s="825"/>
      <c r="T613" s="805"/>
      <c r="U613" s="805"/>
      <c r="V613" s="805"/>
      <c r="W613" s="805"/>
      <c r="X613" s="805"/>
      <c r="Y613" s="297"/>
      <c r="AB613" s="382"/>
      <c r="AC613" s="382"/>
      <c r="AD613" s="496"/>
      <c r="AE613" s="382"/>
      <c r="AF613" s="382"/>
      <c r="AG613" s="382"/>
      <c r="AH613" s="382"/>
      <c r="AI613" s="382"/>
      <c r="AJ613" s="382"/>
      <c r="AK613" s="382"/>
      <c r="AL613" s="382"/>
      <c r="AM613" s="382"/>
      <c r="AN613" s="382"/>
      <c r="AO613" s="382"/>
      <c r="AP613" s="382"/>
      <c r="AQ613" s="382"/>
      <c r="AR613" s="382"/>
      <c r="AS613" s="382"/>
      <c r="AT613" s="382"/>
      <c r="AU613" s="382"/>
      <c r="AV613" s="382"/>
      <c r="AW613" s="382"/>
      <c r="AX613" s="382"/>
      <c r="AY613" s="382"/>
      <c r="AZ613" s="382"/>
      <c r="BA613" s="382"/>
      <c r="BB613" s="382"/>
      <c r="BC613" s="382"/>
      <c r="BD613" s="382"/>
      <c r="BE613" s="382"/>
      <c r="BF613" s="382"/>
      <c r="BG613" s="382"/>
      <c r="BH613" s="382"/>
      <c r="BI613" s="382"/>
      <c r="BJ613" s="382"/>
      <c r="BK613" s="382"/>
      <c r="BL613" s="382"/>
      <c r="BM613" s="382"/>
      <c r="BN613" s="382"/>
      <c r="BO613" s="382"/>
      <c r="BP613" s="382"/>
      <c r="BQ613" s="382"/>
      <c r="BR613" s="382"/>
      <c r="BS613" s="382"/>
      <c r="BT613" s="382"/>
      <c r="BU613" s="496"/>
      <c r="BV613" s="382"/>
      <c r="BW613" s="382"/>
      <c r="BX613" s="382"/>
      <c r="BY613" s="382"/>
      <c r="BZ613" s="382"/>
      <c r="CA613" s="382"/>
      <c r="CB613" s="382"/>
      <c r="CC613" s="382"/>
      <c r="CD613" s="382"/>
      <c r="CE613" s="382"/>
      <c r="CF613" s="382"/>
      <c r="CG613" s="382"/>
      <c r="CH613" s="382"/>
      <c r="CI613" s="382"/>
      <c r="CJ613" s="382"/>
      <c r="CK613" s="382"/>
      <c r="CL613" s="382"/>
      <c r="CM613" s="382"/>
      <c r="CN613" s="382"/>
      <c r="CO613" s="382"/>
      <c r="CP613" s="382"/>
      <c r="CQ613" s="382"/>
      <c r="CR613" s="382"/>
      <c r="CS613" s="382"/>
      <c r="CT613" s="382"/>
      <c r="CU613" s="382"/>
      <c r="CV613" s="382"/>
      <c r="CW613" s="189"/>
      <c r="CX613" s="382"/>
      <c r="CY613" s="382"/>
      <c r="CZ613" s="382"/>
      <c r="DA613" s="382"/>
      <c r="DB613" s="382"/>
      <c r="DC613" s="382"/>
      <c r="DD613" s="382"/>
      <c r="DE613" s="382"/>
      <c r="DF613" s="382"/>
      <c r="DG613" s="382"/>
      <c r="DH613" s="382"/>
      <c r="DI613" s="382"/>
      <c r="DJ613" s="382"/>
      <c r="DK613" s="382"/>
      <c r="DL613" s="382"/>
      <c r="DM613" s="382"/>
      <c r="DN613" s="382"/>
      <c r="DO613" s="382"/>
      <c r="DP613" s="382"/>
      <c r="DQ613" s="382"/>
      <c r="DR613" s="382"/>
      <c r="DS613" s="382"/>
      <c r="DT613" s="382"/>
      <c r="DU613" s="382"/>
      <c r="DV613" s="382"/>
      <c r="DW613" s="382"/>
      <c r="DX613" s="382"/>
      <c r="DY613" s="382"/>
      <c r="DZ613" s="228"/>
    </row>
    <row r="614" spans="4:130" s="180" customFormat="1" x14ac:dyDescent="0.2">
      <c r="D614" s="805"/>
      <c r="E614" s="805"/>
      <c r="F614" s="805"/>
      <c r="G614" s="805"/>
      <c r="H614" s="805"/>
      <c r="I614" s="805"/>
      <c r="J614" s="805"/>
      <c r="K614" s="805"/>
      <c r="L614" s="805"/>
      <c r="M614" s="805"/>
      <c r="N614" s="806"/>
      <c r="O614" s="805"/>
      <c r="P614" s="805"/>
      <c r="Q614" s="807"/>
      <c r="R614" s="807"/>
      <c r="S614" s="825"/>
      <c r="T614" s="805"/>
      <c r="U614" s="805"/>
      <c r="V614" s="805"/>
      <c r="W614" s="805"/>
      <c r="X614" s="805"/>
      <c r="Y614" s="297"/>
      <c r="AB614" s="382"/>
      <c r="AC614" s="382"/>
      <c r="AD614" s="496"/>
      <c r="AE614" s="382"/>
      <c r="AF614" s="382"/>
      <c r="AG614" s="382"/>
      <c r="AH614" s="382"/>
      <c r="AI614" s="382"/>
      <c r="AJ614" s="382"/>
      <c r="AK614" s="382"/>
      <c r="AL614" s="382"/>
      <c r="AM614" s="382"/>
      <c r="AN614" s="382"/>
      <c r="AO614" s="382"/>
      <c r="AP614" s="382"/>
      <c r="AQ614" s="382"/>
      <c r="AR614" s="382"/>
      <c r="AS614" s="382"/>
      <c r="AT614" s="382"/>
      <c r="AU614" s="382"/>
      <c r="AV614" s="382"/>
      <c r="AW614" s="382"/>
      <c r="AX614" s="382"/>
      <c r="AY614" s="382"/>
      <c r="AZ614" s="382"/>
      <c r="BA614" s="382"/>
      <c r="BB614" s="382"/>
      <c r="BC614" s="382"/>
      <c r="BD614" s="382"/>
      <c r="BE614" s="382"/>
      <c r="BF614" s="382"/>
      <c r="BG614" s="382"/>
      <c r="BH614" s="382"/>
      <c r="BI614" s="382"/>
      <c r="BJ614" s="382"/>
      <c r="BK614" s="382"/>
      <c r="BL614" s="382"/>
      <c r="BM614" s="382"/>
      <c r="BN614" s="382"/>
      <c r="BO614" s="382"/>
      <c r="BP614" s="382"/>
      <c r="BQ614" s="382"/>
      <c r="BR614" s="382"/>
      <c r="BS614" s="382"/>
      <c r="BT614" s="382"/>
      <c r="BU614" s="496"/>
      <c r="BV614" s="382"/>
      <c r="BW614" s="382"/>
      <c r="BX614" s="382"/>
      <c r="BY614" s="382"/>
      <c r="BZ614" s="382"/>
      <c r="CA614" s="382"/>
      <c r="CB614" s="382"/>
      <c r="CC614" s="382"/>
      <c r="CD614" s="382"/>
      <c r="CE614" s="382"/>
      <c r="CF614" s="382"/>
      <c r="CG614" s="382"/>
      <c r="CH614" s="382"/>
      <c r="CI614" s="382"/>
      <c r="CJ614" s="382"/>
      <c r="CK614" s="382"/>
      <c r="CL614" s="382"/>
      <c r="CM614" s="382"/>
      <c r="CN614" s="382"/>
      <c r="CO614" s="382"/>
      <c r="CP614" s="382"/>
      <c r="CQ614" s="382"/>
      <c r="CR614" s="382"/>
      <c r="CS614" s="382"/>
      <c r="CT614" s="382"/>
      <c r="CU614" s="382"/>
      <c r="CV614" s="382"/>
      <c r="CW614" s="189"/>
      <c r="CX614" s="382"/>
      <c r="CY614" s="382"/>
      <c r="CZ614" s="382"/>
      <c r="DA614" s="382"/>
      <c r="DB614" s="382"/>
      <c r="DC614" s="382"/>
      <c r="DD614" s="382"/>
      <c r="DE614" s="382"/>
      <c r="DF614" s="382"/>
      <c r="DG614" s="382"/>
      <c r="DH614" s="382"/>
      <c r="DI614" s="382"/>
      <c r="DJ614" s="382"/>
      <c r="DK614" s="382"/>
      <c r="DL614" s="382"/>
      <c r="DM614" s="382"/>
      <c r="DN614" s="382"/>
      <c r="DO614" s="382"/>
      <c r="DP614" s="382"/>
      <c r="DQ614" s="382"/>
      <c r="DR614" s="382"/>
      <c r="DS614" s="382"/>
      <c r="DT614" s="382"/>
      <c r="DU614" s="382"/>
      <c r="DV614" s="382"/>
      <c r="DW614" s="382"/>
      <c r="DX614" s="382"/>
      <c r="DY614" s="382"/>
      <c r="DZ614" s="228"/>
    </row>
    <row r="615" spans="4:130" s="180" customFormat="1" x14ac:dyDescent="0.2">
      <c r="D615" s="805"/>
      <c r="E615" s="805"/>
      <c r="F615" s="805"/>
      <c r="G615" s="805"/>
      <c r="H615" s="805"/>
      <c r="I615" s="805"/>
      <c r="J615" s="805"/>
      <c r="K615" s="805"/>
      <c r="L615" s="805"/>
      <c r="M615" s="805"/>
      <c r="N615" s="806"/>
      <c r="O615" s="805"/>
      <c r="P615" s="805"/>
      <c r="Q615" s="807"/>
      <c r="R615" s="807"/>
      <c r="S615" s="825"/>
      <c r="T615" s="805"/>
      <c r="U615" s="805"/>
      <c r="V615" s="805"/>
      <c r="W615" s="805"/>
      <c r="X615" s="805"/>
      <c r="Y615" s="297"/>
      <c r="AB615" s="382"/>
      <c r="AC615" s="382"/>
      <c r="AD615" s="496"/>
      <c r="AE615" s="382"/>
      <c r="AF615" s="382"/>
      <c r="AG615" s="382"/>
      <c r="AH615" s="382"/>
      <c r="AI615" s="382"/>
      <c r="AJ615" s="382"/>
      <c r="AK615" s="382"/>
      <c r="AL615" s="382"/>
      <c r="AM615" s="382"/>
      <c r="AN615" s="382"/>
      <c r="AO615" s="382"/>
      <c r="AP615" s="382"/>
      <c r="AQ615" s="382"/>
      <c r="AR615" s="382"/>
      <c r="AS615" s="382"/>
      <c r="AT615" s="382"/>
      <c r="AU615" s="382"/>
      <c r="AV615" s="382"/>
      <c r="AW615" s="382"/>
      <c r="AX615" s="382"/>
      <c r="AY615" s="382"/>
      <c r="AZ615" s="382"/>
      <c r="BA615" s="382"/>
      <c r="BB615" s="382"/>
      <c r="BC615" s="382"/>
      <c r="BD615" s="382"/>
      <c r="BE615" s="382"/>
      <c r="BF615" s="382"/>
      <c r="BG615" s="382"/>
      <c r="BH615" s="382"/>
      <c r="BI615" s="382"/>
      <c r="BJ615" s="382"/>
      <c r="BK615" s="382"/>
      <c r="BL615" s="382"/>
      <c r="BM615" s="382"/>
      <c r="BN615" s="382"/>
      <c r="BO615" s="382"/>
      <c r="BP615" s="382"/>
      <c r="BQ615" s="382"/>
      <c r="BR615" s="382"/>
      <c r="BS615" s="382"/>
      <c r="BT615" s="382"/>
      <c r="BU615" s="496"/>
      <c r="BV615" s="382"/>
      <c r="BW615" s="382"/>
      <c r="BX615" s="382"/>
      <c r="BY615" s="382"/>
      <c r="BZ615" s="382"/>
      <c r="CA615" s="382"/>
      <c r="CB615" s="382"/>
      <c r="CC615" s="382"/>
      <c r="CD615" s="382"/>
      <c r="CE615" s="382"/>
      <c r="CF615" s="382"/>
      <c r="CG615" s="382"/>
      <c r="CH615" s="382"/>
      <c r="CI615" s="382"/>
      <c r="CJ615" s="382"/>
      <c r="CK615" s="382"/>
      <c r="CL615" s="382"/>
      <c r="CM615" s="382"/>
      <c r="CN615" s="382"/>
      <c r="CO615" s="382"/>
      <c r="CP615" s="382"/>
      <c r="CQ615" s="382"/>
      <c r="CR615" s="382"/>
      <c r="CS615" s="382"/>
      <c r="CT615" s="382"/>
      <c r="CU615" s="382"/>
      <c r="CV615" s="382"/>
      <c r="CW615" s="189"/>
      <c r="CX615" s="382"/>
      <c r="CY615" s="382"/>
      <c r="CZ615" s="382"/>
      <c r="DA615" s="382"/>
      <c r="DB615" s="382"/>
      <c r="DC615" s="382"/>
      <c r="DD615" s="382"/>
      <c r="DE615" s="382"/>
      <c r="DF615" s="382"/>
      <c r="DG615" s="382"/>
      <c r="DH615" s="382"/>
      <c r="DI615" s="382"/>
      <c r="DJ615" s="382"/>
      <c r="DK615" s="382"/>
      <c r="DL615" s="382"/>
      <c r="DM615" s="382"/>
      <c r="DN615" s="382"/>
      <c r="DO615" s="382"/>
      <c r="DP615" s="382"/>
      <c r="DQ615" s="382"/>
      <c r="DR615" s="382"/>
      <c r="DS615" s="382"/>
      <c r="DT615" s="382"/>
      <c r="DU615" s="382"/>
      <c r="DV615" s="382"/>
      <c r="DW615" s="382"/>
      <c r="DX615" s="382"/>
      <c r="DY615" s="382"/>
      <c r="DZ615" s="228"/>
    </row>
    <row r="616" spans="4:130" s="180" customFormat="1" x14ac:dyDescent="0.2">
      <c r="D616" s="805"/>
      <c r="E616" s="805"/>
      <c r="F616" s="805"/>
      <c r="G616" s="805"/>
      <c r="H616" s="805"/>
      <c r="I616" s="805"/>
      <c r="J616" s="805"/>
      <c r="K616" s="805"/>
      <c r="L616" s="805"/>
      <c r="M616" s="805"/>
      <c r="N616" s="806"/>
      <c r="O616" s="805"/>
      <c r="P616" s="805"/>
      <c r="Q616" s="807"/>
      <c r="R616" s="807"/>
      <c r="S616" s="825"/>
      <c r="T616" s="805"/>
      <c r="U616" s="805"/>
      <c r="V616" s="805"/>
      <c r="W616" s="805"/>
      <c r="X616" s="805"/>
      <c r="Y616" s="297"/>
      <c r="AB616" s="382"/>
      <c r="AC616" s="382"/>
      <c r="AD616" s="496"/>
      <c r="AE616" s="382"/>
      <c r="AF616" s="382"/>
      <c r="AG616" s="382"/>
      <c r="AH616" s="382"/>
      <c r="AI616" s="382"/>
      <c r="AJ616" s="382"/>
      <c r="AK616" s="382"/>
      <c r="AL616" s="382"/>
      <c r="AM616" s="382"/>
      <c r="AN616" s="382"/>
      <c r="AO616" s="382"/>
      <c r="AP616" s="382"/>
      <c r="AQ616" s="382"/>
      <c r="AR616" s="382"/>
      <c r="AS616" s="382"/>
      <c r="AT616" s="382"/>
      <c r="AU616" s="382"/>
      <c r="AV616" s="382"/>
      <c r="AW616" s="382"/>
      <c r="AX616" s="382"/>
      <c r="AY616" s="382"/>
      <c r="AZ616" s="382"/>
      <c r="BA616" s="382"/>
      <c r="BB616" s="382"/>
      <c r="BC616" s="382"/>
      <c r="BD616" s="382"/>
      <c r="BE616" s="382"/>
      <c r="BF616" s="382"/>
      <c r="BG616" s="382"/>
      <c r="BH616" s="382"/>
      <c r="BI616" s="382"/>
      <c r="BJ616" s="382"/>
      <c r="BK616" s="382"/>
      <c r="BL616" s="382"/>
      <c r="BM616" s="382"/>
      <c r="BN616" s="382"/>
      <c r="BO616" s="382"/>
      <c r="BP616" s="382"/>
      <c r="BQ616" s="382"/>
      <c r="BR616" s="382"/>
      <c r="BS616" s="382"/>
      <c r="BT616" s="382"/>
      <c r="BU616" s="496"/>
      <c r="BV616" s="382"/>
      <c r="BW616" s="382"/>
      <c r="BX616" s="382"/>
      <c r="BY616" s="382"/>
      <c r="BZ616" s="382"/>
      <c r="CA616" s="382"/>
      <c r="CB616" s="382"/>
      <c r="CC616" s="382"/>
      <c r="CD616" s="382"/>
      <c r="CE616" s="382"/>
      <c r="CF616" s="382"/>
      <c r="CG616" s="382"/>
      <c r="CH616" s="382"/>
      <c r="CI616" s="382"/>
      <c r="CJ616" s="382"/>
      <c r="CK616" s="382"/>
      <c r="CL616" s="382"/>
      <c r="CM616" s="382"/>
      <c r="CN616" s="382"/>
      <c r="CO616" s="382"/>
      <c r="CP616" s="382"/>
      <c r="CQ616" s="382"/>
      <c r="CR616" s="382"/>
      <c r="CS616" s="382"/>
      <c r="CT616" s="382"/>
      <c r="CU616" s="382"/>
      <c r="CV616" s="382"/>
      <c r="CW616" s="189"/>
      <c r="CX616" s="382"/>
      <c r="CY616" s="382"/>
      <c r="CZ616" s="382"/>
      <c r="DA616" s="382"/>
      <c r="DB616" s="382"/>
      <c r="DC616" s="382"/>
      <c r="DD616" s="382"/>
      <c r="DE616" s="382"/>
      <c r="DF616" s="382"/>
      <c r="DG616" s="382"/>
      <c r="DH616" s="382"/>
      <c r="DI616" s="382"/>
      <c r="DJ616" s="382"/>
      <c r="DK616" s="382"/>
      <c r="DL616" s="382"/>
      <c r="DM616" s="382"/>
      <c r="DN616" s="382"/>
      <c r="DO616" s="382"/>
      <c r="DP616" s="382"/>
      <c r="DQ616" s="382"/>
      <c r="DR616" s="382"/>
      <c r="DS616" s="382"/>
      <c r="DT616" s="382"/>
      <c r="DU616" s="382"/>
      <c r="DV616" s="382"/>
      <c r="DW616" s="382"/>
      <c r="DX616" s="382"/>
      <c r="DY616" s="382"/>
      <c r="DZ616" s="228"/>
    </row>
    <row r="617" spans="4:130" s="180" customFormat="1" x14ac:dyDescent="0.2">
      <c r="D617" s="805"/>
      <c r="E617" s="805"/>
      <c r="F617" s="805"/>
      <c r="G617" s="805"/>
      <c r="H617" s="805"/>
      <c r="I617" s="805"/>
      <c r="J617" s="805"/>
      <c r="K617" s="805"/>
      <c r="L617" s="805"/>
      <c r="M617" s="805"/>
      <c r="N617" s="806"/>
      <c r="O617" s="805"/>
      <c r="P617" s="805"/>
      <c r="Q617" s="807"/>
      <c r="R617" s="807"/>
      <c r="S617" s="825"/>
      <c r="T617" s="805"/>
      <c r="U617" s="805"/>
      <c r="V617" s="805"/>
      <c r="W617" s="805"/>
      <c r="X617" s="805"/>
      <c r="Y617" s="297"/>
      <c r="AB617" s="382"/>
      <c r="AC617" s="382"/>
      <c r="AD617" s="496"/>
      <c r="AE617" s="382"/>
      <c r="AF617" s="382"/>
      <c r="AG617" s="382"/>
      <c r="AH617" s="382"/>
      <c r="AI617" s="382"/>
      <c r="AJ617" s="382"/>
      <c r="AK617" s="382"/>
      <c r="AL617" s="382"/>
      <c r="AM617" s="382"/>
      <c r="AN617" s="382"/>
      <c r="AO617" s="382"/>
      <c r="AP617" s="382"/>
      <c r="AQ617" s="382"/>
      <c r="AR617" s="382"/>
      <c r="AS617" s="382"/>
      <c r="AT617" s="382"/>
      <c r="AU617" s="382"/>
      <c r="AV617" s="382"/>
      <c r="AW617" s="382"/>
      <c r="AX617" s="382"/>
      <c r="AY617" s="382"/>
      <c r="AZ617" s="382"/>
      <c r="BA617" s="382"/>
      <c r="BB617" s="382"/>
      <c r="BC617" s="382"/>
      <c r="BD617" s="382"/>
      <c r="BE617" s="382"/>
      <c r="BF617" s="382"/>
      <c r="BG617" s="382"/>
      <c r="BH617" s="382"/>
      <c r="BI617" s="382"/>
      <c r="BJ617" s="382"/>
      <c r="BK617" s="382"/>
      <c r="BL617" s="382"/>
      <c r="BM617" s="382"/>
      <c r="BN617" s="382"/>
      <c r="BO617" s="382"/>
      <c r="BP617" s="382"/>
      <c r="BQ617" s="382"/>
      <c r="BR617" s="382"/>
      <c r="BS617" s="382"/>
      <c r="BT617" s="382"/>
      <c r="BU617" s="496"/>
      <c r="BV617" s="382"/>
      <c r="BW617" s="382"/>
      <c r="BX617" s="382"/>
      <c r="BY617" s="382"/>
      <c r="BZ617" s="382"/>
      <c r="CA617" s="382"/>
      <c r="CB617" s="382"/>
      <c r="CC617" s="382"/>
      <c r="CD617" s="382"/>
      <c r="CE617" s="382"/>
      <c r="CF617" s="382"/>
      <c r="CG617" s="382"/>
      <c r="CH617" s="382"/>
      <c r="CI617" s="382"/>
      <c r="CJ617" s="382"/>
      <c r="CK617" s="382"/>
      <c r="CL617" s="382"/>
      <c r="CM617" s="382"/>
      <c r="CN617" s="382"/>
      <c r="CO617" s="382"/>
      <c r="CP617" s="382"/>
      <c r="CQ617" s="382"/>
      <c r="CR617" s="382"/>
      <c r="CS617" s="382"/>
      <c r="CT617" s="382"/>
      <c r="CU617" s="382"/>
      <c r="CV617" s="382"/>
      <c r="CW617" s="189"/>
      <c r="CX617" s="382"/>
      <c r="CY617" s="382"/>
      <c r="CZ617" s="382"/>
      <c r="DA617" s="382"/>
      <c r="DB617" s="382"/>
      <c r="DC617" s="382"/>
      <c r="DD617" s="382"/>
      <c r="DE617" s="382"/>
      <c r="DF617" s="382"/>
      <c r="DG617" s="382"/>
      <c r="DH617" s="382"/>
      <c r="DI617" s="382"/>
      <c r="DJ617" s="382"/>
      <c r="DK617" s="382"/>
      <c r="DL617" s="382"/>
      <c r="DM617" s="382"/>
      <c r="DN617" s="382"/>
      <c r="DO617" s="382"/>
      <c r="DP617" s="382"/>
      <c r="DQ617" s="382"/>
      <c r="DR617" s="382"/>
      <c r="DS617" s="382"/>
      <c r="DT617" s="382"/>
      <c r="DU617" s="382"/>
      <c r="DV617" s="382"/>
      <c r="DW617" s="382"/>
      <c r="DX617" s="382"/>
      <c r="DY617" s="382"/>
      <c r="DZ617" s="228"/>
    </row>
    <row r="618" spans="4:130" s="180" customFormat="1" x14ac:dyDescent="0.2">
      <c r="D618" s="805"/>
      <c r="E618" s="805"/>
      <c r="F618" s="805"/>
      <c r="G618" s="805"/>
      <c r="H618" s="805"/>
      <c r="I618" s="805"/>
      <c r="J618" s="805"/>
      <c r="K618" s="805"/>
      <c r="L618" s="805"/>
      <c r="M618" s="805"/>
      <c r="N618" s="806"/>
      <c r="O618" s="805"/>
      <c r="P618" s="805"/>
      <c r="Q618" s="807"/>
      <c r="R618" s="807"/>
      <c r="S618" s="825"/>
      <c r="T618" s="805"/>
      <c r="U618" s="805"/>
      <c r="V618" s="805"/>
      <c r="W618" s="805"/>
      <c r="X618" s="805"/>
      <c r="Y618" s="297"/>
      <c r="AB618" s="382"/>
      <c r="AC618" s="382"/>
      <c r="AD618" s="496"/>
      <c r="AE618" s="382"/>
      <c r="AF618" s="382"/>
      <c r="AG618" s="382"/>
      <c r="AH618" s="382"/>
      <c r="AI618" s="382"/>
      <c r="AJ618" s="382"/>
      <c r="AK618" s="382"/>
      <c r="AL618" s="382"/>
      <c r="AM618" s="382"/>
      <c r="AN618" s="382"/>
      <c r="AO618" s="382"/>
      <c r="AP618" s="382"/>
      <c r="AQ618" s="382"/>
      <c r="AR618" s="382"/>
      <c r="AS618" s="382"/>
      <c r="AT618" s="382"/>
      <c r="AU618" s="382"/>
      <c r="AV618" s="382"/>
      <c r="AW618" s="382"/>
      <c r="AX618" s="382"/>
      <c r="AY618" s="382"/>
      <c r="AZ618" s="382"/>
      <c r="BA618" s="382"/>
      <c r="BB618" s="382"/>
      <c r="BC618" s="382"/>
      <c r="BD618" s="382"/>
      <c r="BE618" s="382"/>
      <c r="BF618" s="382"/>
      <c r="BG618" s="382"/>
      <c r="BH618" s="382"/>
      <c r="BI618" s="382"/>
      <c r="BJ618" s="382"/>
      <c r="BK618" s="382"/>
      <c r="BL618" s="382"/>
      <c r="BM618" s="382"/>
      <c r="BN618" s="382"/>
      <c r="BO618" s="382"/>
      <c r="BP618" s="382"/>
      <c r="BQ618" s="382"/>
      <c r="BR618" s="382"/>
      <c r="BS618" s="382"/>
      <c r="BT618" s="382"/>
      <c r="BU618" s="496"/>
      <c r="BV618" s="382"/>
      <c r="BW618" s="382"/>
      <c r="BX618" s="382"/>
      <c r="BY618" s="382"/>
      <c r="BZ618" s="382"/>
      <c r="CA618" s="382"/>
      <c r="CB618" s="382"/>
      <c r="CC618" s="382"/>
      <c r="CD618" s="382"/>
      <c r="CE618" s="382"/>
      <c r="CF618" s="382"/>
      <c r="CG618" s="382"/>
      <c r="CH618" s="382"/>
      <c r="CI618" s="382"/>
      <c r="CJ618" s="382"/>
      <c r="CK618" s="382"/>
      <c r="CL618" s="382"/>
      <c r="CM618" s="382"/>
      <c r="CN618" s="382"/>
      <c r="CO618" s="382"/>
      <c r="CP618" s="382"/>
      <c r="CQ618" s="382"/>
      <c r="CR618" s="382"/>
      <c r="CS618" s="382"/>
      <c r="CT618" s="382"/>
      <c r="CU618" s="382"/>
      <c r="CV618" s="382"/>
      <c r="CW618" s="189"/>
      <c r="CX618" s="382"/>
      <c r="CY618" s="382"/>
      <c r="CZ618" s="382"/>
      <c r="DA618" s="382"/>
      <c r="DB618" s="382"/>
      <c r="DC618" s="382"/>
      <c r="DD618" s="382"/>
      <c r="DE618" s="382"/>
      <c r="DF618" s="382"/>
      <c r="DG618" s="382"/>
      <c r="DH618" s="382"/>
      <c r="DI618" s="382"/>
      <c r="DJ618" s="382"/>
      <c r="DK618" s="382"/>
      <c r="DL618" s="382"/>
      <c r="DM618" s="382"/>
      <c r="DN618" s="382"/>
      <c r="DO618" s="382"/>
      <c r="DP618" s="382"/>
      <c r="DQ618" s="382"/>
      <c r="DR618" s="382"/>
      <c r="DS618" s="382"/>
      <c r="DT618" s="382"/>
      <c r="DU618" s="382"/>
      <c r="DV618" s="382"/>
      <c r="DW618" s="382"/>
      <c r="DX618" s="382"/>
      <c r="DY618" s="382"/>
      <c r="DZ618" s="228"/>
    </row>
    <row r="619" spans="4:130" s="180" customFormat="1" x14ac:dyDescent="0.2">
      <c r="D619" s="805"/>
      <c r="E619" s="805"/>
      <c r="F619" s="805"/>
      <c r="G619" s="805"/>
      <c r="H619" s="805"/>
      <c r="I619" s="805"/>
      <c r="J619" s="805"/>
      <c r="K619" s="805"/>
      <c r="L619" s="805"/>
      <c r="M619" s="805"/>
      <c r="N619" s="806"/>
      <c r="O619" s="805"/>
      <c r="P619" s="805"/>
      <c r="Q619" s="807"/>
      <c r="R619" s="807"/>
      <c r="S619" s="825"/>
      <c r="T619" s="805"/>
      <c r="U619" s="805"/>
      <c r="V619" s="805"/>
      <c r="W619" s="805"/>
      <c r="X619" s="805"/>
      <c r="Y619" s="297"/>
      <c r="AB619" s="382"/>
      <c r="AC619" s="382"/>
      <c r="AD619" s="496"/>
      <c r="AE619" s="382"/>
      <c r="AF619" s="382"/>
      <c r="AG619" s="382"/>
      <c r="AH619" s="382"/>
      <c r="AI619" s="382"/>
      <c r="AJ619" s="382"/>
      <c r="AK619" s="382"/>
      <c r="AL619" s="382"/>
      <c r="AM619" s="382"/>
      <c r="AN619" s="382"/>
      <c r="AO619" s="382"/>
      <c r="AP619" s="382"/>
      <c r="AQ619" s="382"/>
      <c r="AR619" s="382"/>
      <c r="AS619" s="382"/>
      <c r="AT619" s="382"/>
      <c r="AU619" s="382"/>
      <c r="AV619" s="382"/>
      <c r="AW619" s="382"/>
      <c r="AX619" s="382"/>
      <c r="AY619" s="382"/>
      <c r="AZ619" s="382"/>
      <c r="BA619" s="382"/>
      <c r="BB619" s="382"/>
      <c r="BC619" s="382"/>
      <c r="BD619" s="382"/>
      <c r="BE619" s="382"/>
      <c r="BF619" s="382"/>
      <c r="BG619" s="382"/>
      <c r="BH619" s="382"/>
      <c r="BI619" s="382"/>
      <c r="BJ619" s="382"/>
      <c r="BK619" s="382"/>
      <c r="BL619" s="382"/>
      <c r="BM619" s="382"/>
      <c r="BN619" s="382"/>
      <c r="BO619" s="382"/>
      <c r="BP619" s="382"/>
      <c r="BQ619" s="382"/>
      <c r="BR619" s="382"/>
      <c r="BS619" s="382"/>
      <c r="BT619" s="382"/>
      <c r="BU619" s="496"/>
      <c r="BV619" s="382"/>
      <c r="BW619" s="382"/>
      <c r="BX619" s="382"/>
      <c r="BY619" s="382"/>
      <c r="BZ619" s="382"/>
      <c r="CA619" s="382"/>
      <c r="CB619" s="382"/>
      <c r="CC619" s="382"/>
      <c r="CD619" s="382"/>
      <c r="CE619" s="382"/>
      <c r="CF619" s="382"/>
      <c r="CG619" s="382"/>
      <c r="CH619" s="382"/>
      <c r="CI619" s="382"/>
      <c r="CJ619" s="382"/>
      <c r="CK619" s="382"/>
      <c r="CL619" s="382"/>
      <c r="CM619" s="382"/>
      <c r="CN619" s="382"/>
      <c r="CO619" s="382"/>
      <c r="CP619" s="382"/>
      <c r="CQ619" s="382"/>
      <c r="CR619" s="382"/>
      <c r="CS619" s="382"/>
      <c r="CT619" s="382"/>
      <c r="CU619" s="382"/>
      <c r="CV619" s="382"/>
      <c r="CW619" s="189"/>
      <c r="CX619" s="382"/>
      <c r="CY619" s="382"/>
      <c r="CZ619" s="382"/>
      <c r="DA619" s="382"/>
      <c r="DB619" s="382"/>
      <c r="DC619" s="382"/>
      <c r="DD619" s="382"/>
      <c r="DE619" s="382"/>
      <c r="DF619" s="382"/>
      <c r="DG619" s="382"/>
      <c r="DH619" s="382"/>
      <c r="DI619" s="382"/>
      <c r="DJ619" s="382"/>
      <c r="DK619" s="382"/>
      <c r="DL619" s="382"/>
      <c r="DM619" s="382"/>
      <c r="DN619" s="382"/>
      <c r="DO619" s="382"/>
      <c r="DP619" s="382"/>
      <c r="DQ619" s="382"/>
      <c r="DR619" s="382"/>
      <c r="DS619" s="382"/>
      <c r="DT619" s="382"/>
      <c r="DU619" s="382"/>
      <c r="DV619" s="382"/>
      <c r="DW619" s="382"/>
      <c r="DX619" s="382"/>
      <c r="DY619" s="382"/>
      <c r="DZ619" s="228"/>
    </row>
    <row r="620" spans="4:130" s="180" customFormat="1" x14ac:dyDescent="0.2">
      <c r="D620" s="805"/>
      <c r="E620" s="805"/>
      <c r="F620" s="805"/>
      <c r="G620" s="805"/>
      <c r="H620" s="805"/>
      <c r="I620" s="805"/>
      <c r="J620" s="805"/>
      <c r="K620" s="805"/>
      <c r="L620" s="805"/>
      <c r="M620" s="805"/>
      <c r="N620" s="806"/>
      <c r="O620" s="805"/>
      <c r="P620" s="805"/>
      <c r="Q620" s="807"/>
      <c r="R620" s="807"/>
      <c r="S620" s="825"/>
      <c r="T620" s="805"/>
      <c r="U620" s="805"/>
      <c r="V620" s="805"/>
      <c r="W620" s="805"/>
      <c r="X620" s="805"/>
      <c r="Y620" s="297"/>
      <c r="AB620" s="382"/>
      <c r="AC620" s="382"/>
      <c r="AD620" s="496"/>
      <c r="AE620" s="382"/>
      <c r="AF620" s="382"/>
      <c r="AG620" s="382"/>
      <c r="AH620" s="382"/>
      <c r="AI620" s="382"/>
      <c r="AJ620" s="382"/>
      <c r="AK620" s="382"/>
      <c r="AL620" s="382"/>
      <c r="AM620" s="382"/>
      <c r="AN620" s="382"/>
      <c r="AO620" s="382"/>
      <c r="AP620" s="382"/>
      <c r="AQ620" s="382"/>
      <c r="AR620" s="382"/>
      <c r="AS620" s="382"/>
      <c r="AT620" s="382"/>
      <c r="AU620" s="382"/>
      <c r="AV620" s="382"/>
      <c r="AW620" s="382"/>
      <c r="AX620" s="382"/>
      <c r="AY620" s="382"/>
      <c r="AZ620" s="382"/>
      <c r="BA620" s="382"/>
      <c r="BB620" s="382"/>
      <c r="BC620" s="382"/>
      <c r="BD620" s="382"/>
      <c r="BE620" s="382"/>
      <c r="BF620" s="382"/>
      <c r="BG620" s="382"/>
      <c r="BH620" s="382"/>
      <c r="BI620" s="382"/>
      <c r="BJ620" s="382"/>
      <c r="BK620" s="382"/>
      <c r="BL620" s="382"/>
      <c r="BM620" s="382"/>
      <c r="BN620" s="382"/>
      <c r="BO620" s="382"/>
      <c r="BP620" s="382"/>
      <c r="BQ620" s="382"/>
      <c r="BR620" s="382"/>
      <c r="BS620" s="382"/>
      <c r="BT620" s="382"/>
      <c r="BU620" s="496"/>
      <c r="BV620" s="382"/>
      <c r="BW620" s="382"/>
      <c r="BX620" s="382"/>
      <c r="BY620" s="382"/>
      <c r="BZ620" s="382"/>
      <c r="CA620" s="382"/>
      <c r="CB620" s="382"/>
      <c r="CC620" s="382"/>
      <c r="CD620" s="382"/>
      <c r="CE620" s="382"/>
      <c r="CF620" s="382"/>
      <c r="CG620" s="382"/>
      <c r="CH620" s="382"/>
      <c r="CI620" s="382"/>
      <c r="CJ620" s="382"/>
      <c r="CK620" s="382"/>
      <c r="CL620" s="382"/>
      <c r="CM620" s="382"/>
      <c r="CN620" s="382"/>
      <c r="CO620" s="382"/>
      <c r="CP620" s="382"/>
      <c r="CQ620" s="382"/>
      <c r="CR620" s="382"/>
      <c r="CS620" s="382"/>
      <c r="CT620" s="382"/>
      <c r="CU620" s="382"/>
      <c r="CV620" s="382"/>
      <c r="CW620" s="189"/>
      <c r="CX620" s="382"/>
      <c r="CY620" s="382"/>
      <c r="CZ620" s="382"/>
      <c r="DA620" s="382"/>
      <c r="DB620" s="382"/>
      <c r="DC620" s="382"/>
      <c r="DD620" s="382"/>
      <c r="DE620" s="382"/>
      <c r="DF620" s="382"/>
      <c r="DG620" s="382"/>
      <c r="DH620" s="382"/>
      <c r="DI620" s="382"/>
      <c r="DJ620" s="382"/>
      <c r="DK620" s="382"/>
      <c r="DL620" s="382"/>
      <c r="DM620" s="382"/>
      <c r="DN620" s="382"/>
      <c r="DO620" s="382"/>
      <c r="DP620" s="382"/>
      <c r="DQ620" s="382"/>
      <c r="DR620" s="382"/>
      <c r="DS620" s="382"/>
      <c r="DT620" s="382"/>
      <c r="DU620" s="382"/>
      <c r="DV620" s="382"/>
      <c r="DW620" s="382"/>
      <c r="DX620" s="382"/>
      <c r="DY620" s="382"/>
      <c r="DZ620" s="228"/>
    </row>
    <row r="621" spans="4:130" s="180" customFormat="1" x14ac:dyDescent="0.2">
      <c r="D621" s="805"/>
      <c r="E621" s="805"/>
      <c r="F621" s="805"/>
      <c r="G621" s="805"/>
      <c r="H621" s="805"/>
      <c r="I621" s="805"/>
      <c r="J621" s="805"/>
      <c r="K621" s="805"/>
      <c r="L621" s="805"/>
      <c r="M621" s="805"/>
      <c r="N621" s="806"/>
      <c r="O621" s="805"/>
      <c r="P621" s="805"/>
      <c r="Q621" s="807"/>
      <c r="R621" s="807"/>
      <c r="S621" s="825"/>
      <c r="T621" s="805"/>
      <c r="U621" s="805"/>
      <c r="V621" s="805"/>
      <c r="W621" s="805"/>
      <c r="X621" s="805"/>
      <c r="Y621" s="297"/>
      <c r="AB621" s="382"/>
      <c r="AC621" s="382"/>
      <c r="AD621" s="496"/>
      <c r="AE621" s="382"/>
      <c r="AF621" s="382"/>
      <c r="AG621" s="382"/>
      <c r="AH621" s="382"/>
      <c r="AI621" s="382"/>
      <c r="AJ621" s="382"/>
      <c r="AK621" s="382"/>
      <c r="AL621" s="382"/>
      <c r="AM621" s="382"/>
      <c r="AN621" s="382"/>
      <c r="AO621" s="382"/>
      <c r="AP621" s="382"/>
      <c r="AQ621" s="382"/>
      <c r="AR621" s="382"/>
      <c r="AS621" s="382"/>
      <c r="AT621" s="382"/>
      <c r="AU621" s="382"/>
      <c r="AV621" s="382"/>
      <c r="AW621" s="382"/>
      <c r="AX621" s="382"/>
      <c r="AY621" s="382"/>
      <c r="AZ621" s="382"/>
      <c r="BA621" s="382"/>
      <c r="BB621" s="382"/>
      <c r="BC621" s="382"/>
      <c r="BD621" s="382"/>
      <c r="BE621" s="382"/>
      <c r="BF621" s="382"/>
      <c r="BG621" s="382"/>
      <c r="BH621" s="382"/>
      <c r="BI621" s="382"/>
      <c r="BJ621" s="382"/>
      <c r="BK621" s="382"/>
      <c r="BL621" s="382"/>
      <c r="BM621" s="382"/>
      <c r="BN621" s="382"/>
      <c r="BO621" s="382"/>
      <c r="BP621" s="382"/>
      <c r="BQ621" s="382"/>
      <c r="BR621" s="382"/>
      <c r="BS621" s="382"/>
      <c r="BT621" s="382"/>
      <c r="BU621" s="496"/>
      <c r="BV621" s="382"/>
      <c r="BW621" s="382"/>
      <c r="BX621" s="382"/>
      <c r="BY621" s="382"/>
      <c r="BZ621" s="382"/>
      <c r="CA621" s="382"/>
      <c r="CB621" s="382"/>
      <c r="CC621" s="382"/>
      <c r="CD621" s="382"/>
      <c r="CE621" s="382"/>
      <c r="CF621" s="382"/>
      <c r="CG621" s="382"/>
      <c r="CH621" s="382"/>
      <c r="CI621" s="382"/>
      <c r="CJ621" s="382"/>
      <c r="CK621" s="382"/>
      <c r="CL621" s="382"/>
      <c r="CM621" s="382"/>
      <c r="CN621" s="382"/>
      <c r="CO621" s="382"/>
      <c r="CP621" s="382"/>
      <c r="CQ621" s="382"/>
      <c r="CR621" s="382"/>
      <c r="CS621" s="382"/>
      <c r="CT621" s="382"/>
      <c r="CU621" s="382"/>
      <c r="CV621" s="382"/>
      <c r="CW621" s="189"/>
      <c r="CX621" s="382"/>
      <c r="CY621" s="382"/>
      <c r="CZ621" s="382"/>
      <c r="DA621" s="382"/>
      <c r="DB621" s="382"/>
      <c r="DC621" s="382"/>
      <c r="DD621" s="382"/>
      <c r="DE621" s="382"/>
      <c r="DF621" s="382"/>
      <c r="DG621" s="382"/>
      <c r="DH621" s="382"/>
      <c r="DI621" s="382"/>
      <c r="DJ621" s="382"/>
      <c r="DK621" s="382"/>
      <c r="DL621" s="382"/>
      <c r="DM621" s="382"/>
      <c r="DN621" s="382"/>
      <c r="DO621" s="382"/>
      <c r="DP621" s="382"/>
      <c r="DQ621" s="382"/>
      <c r="DR621" s="382"/>
      <c r="DS621" s="382"/>
      <c r="DT621" s="382"/>
      <c r="DU621" s="382"/>
      <c r="DV621" s="382"/>
      <c r="DW621" s="382"/>
      <c r="DX621" s="382"/>
      <c r="DY621" s="382"/>
      <c r="DZ621" s="228"/>
    </row>
    <row r="622" spans="4:130" s="180" customFormat="1" x14ac:dyDescent="0.2">
      <c r="D622" s="805"/>
      <c r="E622" s="805"/>
      <c r="F622" s="805"/>
      <c r="G622" s="805"/>
      <c r="H622" s="805"/>
      <c r="I622" s="805"/>
      <c r="J622" s="805"/>
      <c r="K622" s="805"/>
      <c r="L622" s="805"/>
      <c r="M622" s="805"/>
      <c r="N622" s="806"/>
      <c r="O622" s="805"/>
      <c r="P622" s="805"/>
      <c r="Q622" s="807"/>
      <c r="R622" s="807"/>
      <c r="S622" s="825"/>
      <c r="T622" s="805"/>
      <c r="U622" s="805"/>
      <c r="V622" s="805"/>
      <c r="W622" s="805"/>
      <c r="X622" s="805"/>
      <c r="Y622" s="297"/>
      <c r="AB622" s="382"/>
      <c r="AC622" s="382"/>
      <c r="AD622" s="496"/>
      <c r="AE622" s="382"/>
      <c r="AF622" s="382"/>
      <c r="AG622" s="382"/>
      <c r="AH622" s="382"/>
      <c r="AI622" s="382"/>
      <c r="AJ622" s="382"/>
      <c r="AK622" s="382"/>
      <c r="AL622" s="382"/>
      <c r="AM622" s="382"/>
      <c r="AN622" s="382"/>
      <c r="AO622" s="382"/>
      <c r="AP622" s="382"/>
      <c r="AQ622" s="382"/>
      <c r="AR622" s="382"/>
      <c r="AS622" s="382"/>
      <c r="AT622" s="382"/>
      <c r="AU622" s="382"/>
      <c r="AV622" s="382"/>
      <c r="AW622" s="382"/>
      <c r="AX622" s="382"/>
      <c r="AY622" s="382"/>
      <c r="AZ622" s="382"/>
      <c r="BA622" s="382"/>
      <c r="BB622" s="382"/>
      <c r="BC622" s="382"/>
      <c r="BD622" s="382"/>
      <c r="BE622" s="382"/>
      <c r="BF622" s="382"/>
      <c r="BG622" s="382"/>
      <c r="BH622" s="382"/>
      <c r="BI622" s="382"/>
      <c r="BJ622" s="382"/>
      <c r="BK622" s="382"/>
      <c r="BL622" s="382"/>
      <c r="BM622" s="382"/>
      <c r="BN622" s="382"/>
      <c r="BO622" s="382"/>
      <c r="BP622" s="382"/>
      <c r="BQ622" s="382"/>
      <c r="BR622" s="382"/>
      <c r="BS622" s="382"/>
      <c r="BT622" s="382"/>
      <c r="BU622" s="496"/>
      <c r="BV622" s="382"/>
      <c r="BW622" s="382"/>
      <c r="BX622" s="382"/>
      <c r="BY622" s="382"/>
      <c r="BZ622" s="382"/>
      <c r="CA622" s="382"/>
      <c r="CB622" s="382"/>
      <c r="CC622" s="382"/>
      <c r="CD622" s="382"/>
      <c r="CE622" s="382"/>
      <c r="CF622" s="382"/>
      <c r="CG622" s="382"/>
      <c r="CH622" s="382"/>
      <c r="CI622" s="382"/>
      <c r="CJ622" s="382"/>
      <c r="CK622" s="382"/>
      <c r="CL622" s="382"/>
      <c r="CM622" s="382"/>
      <c r="CN622" s="382"/>
      <c r="CO622" s="382"/>
      <c r="CP622" s="382"/>
      <c r="CQ622" s="382"/>
      <c r="CR622" s="382"/>
      <c r="CS622" s="382"/>
      <c r="CT622" s="382"/>
      <c r="CU622" s="382"/>
      <c r="CV622" s="382"/>
      <c r="CW622" s="189"/>
      <c r="CX622" s="382"/>
      <c r="CY622" s="382"/>
      <c r="CZ622" s="382"/>
      <c r="DA622" s="382"/>
      <c r="DB622" s="382"/>
      <c r="DC622" s="382"/>
      <c r="DD622" s="382"/>
      <c r="DE622" s="382"/>
      <c r="DF622" s="382"/>
      <c r="DG622" s="382"/>
      <c r="DH622" s="382"/>
      <c r="DI622" s="382"/>
      <c r="DJ622" s="382"/>
      <c r="DK622" s="382"/>
      <c r="DL622" s="382"/>
      <c r="DM622" s="382"/>
      <c r="DN622" s="382"/>
      <c r="DO622" s="382"/>
      <c r="DP622" s="382"/>
      <c r="DQ622" s="382"/>
      <c r="DR622" s="382"/>
      <c r="DS622" s="382"/>
      <c r="DT622" s="382"/>
      <c r="DU622" s="382"/>
      <c r="DV622" s="382"/>
      <c r="DW622" s="382"/>
      <c r="DX622" s="382"/>
      <c r="DY622" s="382"/>
      <c r="DZ622" s="228"/>
    </row>
    <row r="623" spans="4:130" s="180" customFormat="1" x14ac:dyDescent="0.2">
      <c r="D623" s="805"/>
      <c r="E623" s="805"/>
      <c r="F623" s="805"/>
      <c r="G623" s="805"/>
      <c r="H623" s="805"/>
      <c r="I623" s="805"/>
      <c r="J623" s="805"/>
      <c r="K623" s="805"/>
      <c r="L623" s="805"/>
      <c r="M623" s="805"/>
      <c r="N623" s="806"/>
      <c r="O623" s="805"/>
      <c r="P623" s="805"/>
      <c r="Q623" s="807"/>
      <c r="R623" s="807"/>
      <c r="S623" s="825"/>
      <c r="T623" s="805"/>
      <c r="U623" s="805"/>
      <c r="V623" s="805"/>
      <c r="W623" s="805"/>
      <c r="X623" s="805"/>
      <c r="Y623" s="297"/>
      <c r="AB623" s="382"/>
      <c r="AC623" s="382"/>
      <c r="AD623" s="496"/>
      <c r="AE623" s="382"/>
      <c r="AF623" s="382"/>
      <c r="AG623" s="382"/>
      <c r="AH623" s="382"/>
      <c r="AI623" s="382"/>
      <c r="AJ623" s="382"/>
      <c r="AK623" s="382"/>
      <c r="AL623" s="382"/>
      <c r="AM623" s="382"/>
      <c r="AN623" s="382"/>
      <c r="AO623" s="382"/>
      <c r="AP623" s="382"/>
      <c r="AQ623" s="382"/>
      <c r="AR623" s="382"/>
      <c r="AS623" s="382"/>
      <c r="AT623" s="382"/>
      <c r="AU623" s="382"/>
      <c r="AV623" s="382"/>
      <c r="AW623" s="382"/>
      <c r="AX623" s="382"/>
      <c r="AY623" s="382"/>
      <c r="AZ623" s="382"/>
      <c r="BA623" s="382"/>
      <c r="BB623" s="382"/>
      <c r="BC623" s="382"/>
      <c r="BD623" s="382"/>
      <c r="BE623" s="382"/>
      <c r="BF623" s="382"/>
      <c r="BG623" s="382"/>
      <c r="BH623" s="382"/>
      <c r="BI623" s="382"/>
      <c r="BJ623" s="382"/>
      <c r="BK623" s="382"/>
      <c r="BL623" s="382"/>
      <c r="BM623" s="382"/>
      <c r="BN623" s="382"/>
      <c r="BO623" s="382"/>
      <c r="BP623" s="382"/>
      <c r="BQ623" s="382"/>
      <c r="BR623" s="382"/>
      <c r="BS623" s="382"/>
      <c r="BT623" s="382"/>
      <c r="BU623" s="496"/>
      <c r="BV623" s="382"/>
      <c r="BW623" s="382"/>
      <c r="BX623" s="382"/>
      <c r="BY623" s="382"/>
      <c r="BZ623" s="382"/>
      <c r="CA623" s="382"/>
      <c r="CB623" s="382"/>
      <c r="CC623" s="382"/>
      <c r="CD623" s="382"/>
      <c r="CE623" s="382"/>
      <c r="CF623" s="382"/>
      <c r="CG623" s="382"/>
      <c r="CH623" s="382"/>
      <c r="CI623" s="382"/>
      <c r="CJ623" s="382"/>
      <c r="CK623" s="382"/>
      <c r="CL623" s="382"/>
      <c r="CM623" s="382"/>
      <c r="CN623" s="382"/>
      <c r="CO623" s="382"/>
      <c r="CP623" s="382"/>
      <c r="CQ623" s="382"/>
      <c r="CR623" s="382"/>
      <c r="CS623" s="382"/>
      <c r="CT623" s="382"/>
      <c r="CU623" s="382"/>
      <c r="CV623" s="382"/>
      <c r="CW623" s="189"/>
      <c r="CX623" s="382"/>
      <c r="CY623" s="382"/>
      <c r="CZ623" s="382"/>
      <c r="DA623" s="382"/>
      <c r="DB623" s="382"/>
      <c r="DC623" s="382"/>
      <c r="DD623" s="382"/>
      <c r="DE623" s="382"/>
      <c r="DF623" s="382"/>
      <c r="DG623" s="382"/>
      <c r="DH623" s="382"/>
      <c r="DI623" s="382"/>
      <c r="DJ623" s="382"/>
      <c r="DK623" s="382"/>
      <c r="DL623" s="382"/>
      <c r="DM623" s="382"/>
      <c r="DN623" s="382"/>
      <c r="DO623" s="382"/>
      <c r="DP623" s="382"/>
      <c r="DQ623" s="382"/>
      <c r="DR623" s="382"/>
      <c r="DS623" s="382"/>
      <c r="DT623" s="382"/>
      <c r="DU623" s="382"/>
      <c r="DV623" s="382"/>
      <c r="DW623" s="382"/>
      <c r="DX623" s="382"/>
      <c r="DY623" s="382"/>
      <c r="DZ623" s="228"/>
    </row>
    <row r="624" spans="4:130" s="180" customFormat="1" x14ac:dyDescent="0.2">
      <c r="D624" s="805"/>
      <c r="E624" s="805"/>
      <c r="F624" s="805"/>
      <c r="G624" s="805"/>
      <c r="H624" s="805"/>
      <c r="I624" s="805"/>
      <c r="J624" s="805"/>
      <c r="K624" s="805"/>
      <c r="L624" s="805"/>
      <c r="M624" s="805"/>
      <c r="N624" s="806"/>
      <c r="O624" s="805"/>
      <c r="P624" s="805"/>
      <c r="Q624" s="807"/>
      <c r="R624" s="807"/>
      <c r="S624" s="825"/>
      <c r="T624" s="805"/>
      <c r="U624" s="805"/>
      <c r="V624" s="805"/>
      <c r="W624" s="805"/>
      <c r="X624" s="805"/>
      <c r="Y624" s="297"/>
      <c r="AB624" s="382"/>
      <c r="AC624" s="382"/>
      <c r="AD624" s="496"/>
      <c r="AE624" s="382"/>
      <c r="AF624" s="382"/>
      <c r="AG624" s="382"/>
      <c r="AH624" s="382"/>
      <c r="AI624" s="382"/>
      <c r="AJ624" s="382"/>
      <c r="AK624" s="382"/>
      <c r="AL624" s="382"/>
      <c r="AM624" s="382"/>
      <c r="AN624" s="382"/>
      <c r="AO624" s="382"/>
      <c r="AP624" s="382"/>
      <c r="AQ624" s="382"/>
      <c r="AR624" s="382"/>
      <c r="AS624" s="382"/>
      <c r="AT624" s="382"/>
      <c r="AU624" s="382"/>
      <c r="AV624" s="382"/>
      <c r="AW624" s="382"/>
      <c r="AX624" s="382"/>
      <c r="AY624" s="382"/>
      <c r="AZ624" s="382"/>
      <c r="BA624" s="382"/>
      <c r="BB624" s="382"/>
      <c r="BC624" s="382"/>
      <c r="BD624" s="382"/>
      <c r="BE624" s="382"/>
      <c r="BF624" s="382"/>
      <c r="BG624" s="382"/>
      <c r="BH624" s="382"/>
      <c r="BI624" s="382"/>
      <c r="BJ624" s="382"/>
      <c r="BK624" s="382"/>
      <c r="BL624" s="382"/>
      <c r="BM624" s="382"/>
      <c r="BN624" s="382"/>
      <c r="BO624" s="382"/>
      <c r="BP624" s="382"/>
      <c r="BQ624" s="382"/>
      <c r="BR624" s="382"/>
      <c r="BS624" s="382"/>
      <c r="BT624" s="382"/>
      <c r="BU624" s="496"/>
      <c r="BV624" s="382"/>
      <c r="BW624" s="382"/>
      <c r="BX624" s="382"/>
      <c r="BY624" s="382"/>
      <c r="BZ624" s="382"/>
      <c r="CA624" s="382"/>
      <c r="CB624" s="382"/>
      <c r="CC624" s="382"/>
      <c r="CD624" s="382"/>
      <c r="CE624" s="382"/>
      <c r="CF624" s="382"/>
      <c r="CG624" s="382"/>
      <c r="CH624" s="382"/>
      <c r="CI624" s="382"/>
      <c r="CJ624" s="382"/>
      <c r="CK624" s="382"/>
      <c r="CL624" s="382"/>
      <c r="CM624" s="382"/>
      <c r="CN624" s="382"/>
      <c r="CO624" s="382"/>
      <c r="CP624" s="382"/>
      <c r="CQ624" s="382"/>
      <c r="CR624" s="382"/>
      <c r="CS624" s="382"/>
      <c r="CT624" s="382"/>
      <c r="CU624" s="382"/>
      <c r="CV624" s="382"/>
      <c r="CW624" s="189"/>
      <c r="CX624" s="382"/>
      <c r="CY624" s="382"/>
      <c r="CZ624" s="382"/>
      <c r="DA624" s="382"/>
      <c r="DB624" s="382"/>
      <c r="DC624" s="382"/>
      <c r="DD624" s="382"/>
      <c r="DE624" s="382"/>
      <c r="DF624" s="382"/>
      <c r="DG624" s="382"/>
      <c r="DH624" s="382"/>
      <c r="DI624" s="382"/>
      <c r="DJ624" s="382"/>
      <c r="DK624" s="382"/>
      <c r="DL624" s="382"/>
      <c r="DM624" s="382"/>
      <c r="DN624" s="382"/>
      <c r="DO624" s="382"/>
      <c r="DP624" s="382"/>
      <c r="DQ624" s="382"/>
      <c r="DR624" s="382"/>
      <c r="DS624" s="382"/>
      <c r="DT624" s="382"/>
      <c r="DU624" s="382"/>
      <c r="DV624" s="382"/>
      <c r="DW624" s="382"/>
      <c r="DX624" s="382"/>
      <c r="DY624" s="382"/>
      <c r="DZ624" s="228"/>
    </row>
    <row r="625" spans="4:132" s="176" customFormat="1" x14ac:dyDescent="0.2"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4"/>
      <c r="O625" s="202"/>
      <c r="P625" s="202"/>
      <c r="Q625" s="656"/>
      <c r="R625" s="656"/>
      <c r="S625" s="657"/>
      <c r="T625" s="202"/>
      <c r="U625" s="202"/>
      <c r="V625" s="202"/>
      <c r="W625" s="202"/>
      <c r="X625" s="202"/>
      <c r="Y625" s="205"/>
      <c r="AB625" s="206"/>
      <c r="AC625" s="206"/>
      <c r="AD625" s="207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7"/>
      <c r="BV625" s="208"/>
      <c r="BW625" s="208"/>
      <c r="BX625" s="208"/>
      <c r="BY625" s="208"/>
      <c r="BZ625" s="382"/>
      <c r="CA625" s="382"/>
      <c r="CB625" s="382"/>
      <c r="CC625" s="382"/>
      <c r="CD625" s="382"/>
      <c r="CE625" s="382"/>
      <c r="CF625" s="382"/>
      <c r="CG625" s="382"/>
      <c r="CH625" s="382"/>
      <c r="CI625" s="382"/>
      <c r="CJ625" s="382"/>
      <c r="CK625" s="382"/>
      <c r="CL625" s="382"/>
      <c r="CM625" s="382"/>
      <c r="CN625" s="382"/>
      <c r="CO625" s="382"/>
      <c r="CP625" s="382"/>
      <c r="CQ625" s="382"/>
      <c r="CR625" s="382"/>
      <c r="CS625" s="382"/>
      <c r="CT625" s="382"/>
      <c r="CU625" s="382"/>
      <c r="CV625" s="382"/>
      <c r="CW625" s="189"/>
      <c r="CX625" s="382"/>
      <c r="CY625" s="382"/>
      <c r="CZ625" s="382"/>
      <c r="DA625" s="382"/>
      <c r="DB625" s="382"/>
      <c r="DC625" s="382"/>
      <c r="DD625" s="382"/>
      <c r="DE625" s="382"/>
      <c r="DF625" s="382"/>
      <c r="DG625" s="382"/>
      <c r="DH625" s="382"/>
      <c r="DI625" s="382"/>
      <c r="DJ625" s="382"/>
      <c r="DK625" s="382"/>
      <c r="DL625" s="382"/>
      <c r="DM625" s="382"/>
      <c r="DN625" s="382"/>
      <c r="DO625" s="382"/>
      <c r="DP625" s="208"/>
      <c r="DQ625" s="208"/>
      <c r="DR625" s="208"/>
      <c r="DS625" s="208"/>
      <c r="DT625" s="208"/>
      <c r="DU625" s="208"/>
      <c r="DV625" s="208"/>
      <c r="DW625" s="208"/>
      <c r="DX625" s="208"/>
      <c r="DY625" s="208"/>
      <c r="DZ625" s="227"/>
      <c r="EA625" s="186"/>
      <c r="EB625" s="186"/>
    </row>
    <row r="626" spans="4:132" s="176" customFormat="1" x14ac:dyDescent="0.2"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4"/>
      <c r="O626" s="202"/>
      <c r="P626" s="202"/>
      <c r="Q626" s="656"/>
      <c r="R626" s="656"/>
      <c r="S626" s="657"/>
      <c r="T626" s="202"/>
      <c r="U626" s="202"/>
      <c r="V626" s="202"/>
      <c r="W626" s="202"/>
      <c r="X626" s="202"/>
      <c r="Y626" s="205"/>
      <c r="AB626" s="206"/>
      <c r="AC626" s="206"/>
      <c r="AD626" s="207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7"/>
      <c r="BV626" s="208"/>
      <c r="BW626" s="208"/>
      <c r="BX626" s="208"/>
      <c r="BY626" s="208"/>
      <c r="BZ626" s="382"/>
      <c r="CA626" s="382"/>
      <c r="CB626" s="382"/>
      <c r="CC626" s="382"/>
      <c r="CD626" s="382"/>
      <c r="CE626" s="382"/>
      <c r="CF626" s="382"/>
      <c r="CG626" s="382"/>
      <c r="CH626" s="382"/>
      <c r="CI626" s="382"/>
      <c r="CJ626" s="382"/>
      <c r="CK626" s="382"/>
      <c r="CL626" s="382"/>
      <c r="CM626" s="382"/>
      <c r="CN626" s="382"/>
      <c r="CO626" s="382"/>
      <c r="CP626" s="382"/>
      <c r="CQ626" s="382"/>
      <c r="CR626" s="382"/>
      <c r="CS626" s="382"/>
      <c r="CT626" s="382"/>
      <c r="CU626" s="382"/>
      <c r="CV626" s="382"/>
      <c r="CW626" s="189"/>
      <c r="CX626" s="382"/>
      <c r="CY626" s="382"/>
      <c r="CZ626" s="382"/>
      <c r="DA626" s="382"/>
      <c r="DB626" s="382"/>
      <c r="DC626" s="382"/>
      <c r="DD626" s="382"/>
      <c r="DE626" s="382"/>
      <c r="DF626" s="382"/>
      <c r="DG626" s="382"/>
      <c r="DH626" s="382"/>
      <c r="DI626" s="382"/>
      <c r="DJ626" s="382"/>
      <c r="DK626" s="382"/>
      <c r="DL626" s="382"/>
      <c r="DM626" s="382"/>
      <c r="DN626" s="382"/>
      <c r="DO626" s="382"/>
      <c r="DP626" s="208"/>
      <c r="DQ626" s="208"/>
      <c r="DR626" s="208"/>
      <c r="DS626" s="208"/>
      <c r="DT626" s="208"/>
      <c r="DU626" s="208"/>
      <c r="DV626" s="208"/>
      <c r="DW626" s="208"/>
      <c r="DX626" s="208"/>
      <c r="DY626" s="208"/>
      <c r="DZ626" s="227"/>
      <c r="EA626" s="186"/>
      <c r="EB626" s="186"/>
    </row>
    <row r="627" spans="4:132" s="176" customFormat="1" x14ac:dyDescent="0.2"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4"/>
      <c r="O627" s="202"/>
      <c r="P627" s="202"/>
      <c r="Q627" s="656"/>
      <c r="R627" s="656"/>
      <c r="S627" s="657"/>
      <c r="T627" s="202"/>
      <c r="U627" s="202"/>
      <c r="V627" s="202"/>
      <c r="W627" s="202"/>
      <c r="X627" s="202"/>
      <c r="Y627" s="205"/>
      <c r="AB627" s="206"/>
      <c r="AC627" s="206"/>
      <c r="AD627" s="207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7"/>
      <c r="BV627" s="208"/>
      <c r="BW627" s="208"/>
      <c r="BX627" s="208"/>
      <c r="BY627" s="208"/>
      <c r="BZ627" s="382"/>
      <c r="CA627" s="382"/>
      <c r="CB627" s="382"/>
      <c r="CC627" s="382"/>
      <c r="CD627" s="382"/>
      <c r="CE627" s="382"/>
      <c r="CF627" s="382"/>
      <c r="CG627" s="382"/>
      <c r="CH627" s="382"/>
      <c r="CI627" s="382"/>
      <c r="CJ627" s="382"/>
      <c r="CK627" s="382"/>
      <c r="CL627" s="382"/>
      <c r="CM627" s="382"/>
      <c r="CN627" s="382"/>
      <c r="CO627" s="382"/>
      <c r="CP627" s="382"/>
      <c r="CQ627" s="382"/>
      <c r="CR627" s="382"/>
      <c r="CS627" s="382"/>
      <c r="CT627" s="382"/>
      <c r="CU627" s="382"/>
      <c r="CV627" s="382"/>
      <c r="CW627" s="189"/>
      <c r="CX627" s="382"/>
      <c r="CY627" s="382"/>
      <c r="CZ627" s="382"/>
      <c r="DA627" s="382"/>
      <c r="DB627" s="382"/>
      <c r="DC627" s="382"/>
      <c r="DD627" s="382"/>
      <c r="DE627" s="382"/>
      <c r="DF627" s="382"/>
      <c r="DG627" s="382"/>
      <c r="DH627" s="382"/>
      <c r="DI627" s="382"/>
      <c r="DJ627" s="382"/>
      <c r="DK627" s="382"/>
      <c r="DL627" s="382"/>
      <c r="DM627" s="382"/>
      <c r="DN627" s="382"/>
      <c r="DO627" s="382"/>
      <c r="DP627" s="208"/>
      <c r="DQ627" s="208"/>
      <c r="DR627" s="208"/>
      <c r="DS627" s="208"/>
      <c r="DT627" s="208"/>
      <c r="DU627" s="208"/>
      <c r="DV627" s="208"/>
      <c r="DW627" s="208"/>
      <c r="DX627" s="208"/>
      <c r="DY627" s="208"/>
      <c r="DZ627" s="227"/>
      <c r="EA627" s="186"/>
      <c r="EB627" s="186"/>
    </row>
    <row r="628" spans="4:132" s="176" customFormat="1" x14ac:dyDescent="0.2"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4"/>
      <c r="O628" s="202"/>
      <c r="P628" s="202"/>
      <c r="Q628" s="656"/>
      <c r="R628" s="656"/>
      <c r="S628" s="657"/>
      <c r="T628" s="202"/>
      <c r="U628" s="202"/>
      <c r="V628" s="202"/>
      <c r="W628" s="202"/>
      <c r="X628" s="202"/>
      <c r="Y628" s="205"/>
      <c r="AB628" s="206"/>
      <c r="AC628" s="206"/>
      <c r="AD628" s="207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7"/>
      <c r="BV628" s="208"/>
      <c r="BW628" s="208"/>
      <c r="BX628" s="208"/>
      <c r="BY628" s="208"/>
      <c r="BZ628" s="382"/>
      <c r="CA628" s="382"/>
      <c r="CB628" s="382"/>
      <c r="CC628" s="382"/>
      <c r="CD628" s="382"/>
      <c r="CE628" s="382"/>
      <c r="CF628" s="382"/>
      <c r="CG628" s="382"/>
      <c r="CH628" s="382"/>
      <c r="CI628" s="382"/>
      <c r="CJ628" s="382"/>
      <c r="CK628" s="382"/>
      <c r="CL628" s="382"/>
      <c r="CM628" s="382"/>
      <c r="CN628" s="382"/>
      <c r="CO628" s="382"/>
      <c r="CP628" s="382"/>
      <c r="CQ628" s="382"/>
      <c r="CR628" s="382"/>
      <c r="CS628" s="382"/>
      <c r="CT628" s="382"/>
      <c r="CU628" s="382"/>
      <c r="CV628" s="382"/>
      <c r="CW628" s="189"/>
      <c r="CX628" s="382"/>
      <c r="CY628" s="382"/>
      <c r="CZ628" s="382"/>
      <c r="DA628" s="382"/>
      <c r="DB628" s="382"/>
      <c r="DC628" s="382"/>
      <c r="DD628" s="382"/>
      <c r="DE628" s="382"/>
      <c r="DF628" s="382"/>
      <c r="DG628" s="382"/>
      <c r="DH628" s="382"/>
      <c r="DI628" s="382"/>
      <c r="DJ628" s="382"/>
      <c r="DK628" s="382"/>
      <c r="DL628" s="382"/>
      <c r="DM628" s="382"/>
      <c r="DN628" s="382"/>
      <c r="DO628" s="382"/>
      <c r="DP628" s="208"/>
      <c r="DQ628" s="208"/>
      <c r="DR628" s="208"/>
      <c r="DS628" s="208"/>
      <c r="DT628" s="208"/>
      <c r="DU628" s="208"/>
      <c r="DV628" s="208"/>
      <c r="DW628" s="208"/>
      <c r="DX628" s="208"/>
      <c r="DY628" s="208"/>
      <c r="DZ628" s="227"/>
      <c r="EA628" s="186"/>
      <c r="EB628" s="186"/>
    </row>
    <row r="629" spans="4:132" s="176" customFormat="1" x14ac:dyDescent="0.2"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4"/>
      <c r="O629" s="202"/>
      <c r="P629" s="202"/>
      <c r="Q629" s="656"/>
      <c r="R629" s="656"/>
      <c r="S629" s="657"/>
      <c r="T629" s="202"/>
      <c r="U629" s="202"/>
      <c r="V629" s="202"/>
      <c r="W629" s="202"/>
      <c r="X629" s="202"/>
      <c r="Y629" s="205"/>
      <c r="AB629" s="206"/>
      <c r="AC629" s="206"/>
      <c r="AD629" s="207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7"/>
      <c r="BV629" s="208"/>
      <c r="BW629" s="208"/>
      <c r="BX629" s="208"/>
      <c r="BY629" s="208"/>
      <c r="BZ629" s="382"/>
      <c r="CA629" s="382"/>
      <c r="CB629" s="382"/>
      <c r="CC629" s="382"/>
      <c r="CD629" s="382"/>
      <c r="CE629" s="382"/>
      <c r="CF629" s="382"/>
      <c r="CG629" s="382"/>
      <c r="CH629" s="382"/>
      <c r="CI629" s="382"/>
      <c r="CJ629" s="382"/>
      <c r="CK629" s="382"/>
      <c r="CL629" s="382"/>
      <c r="CM629" s="382"/>
      <c r="CN629" s="382"/>
      <c r="CO629" s="382"/>
      <c r="CP629" s="382"/>
      <c r="CQ629" s="382"/>
      <c r="CR629" s="382"/>
      <c r="CS629" s="382"/>
      <c r="CT629" s="382"/>
      <c r="CU629" s="382"/>
      <c r="CV629" s="382"/>
      <c r="CW629" s="189"/>
      <c r="CX629" s="382"/>
      <c r="CY629" s="382"/>
      <c r="CZ629" s="382"/>
      <c r="DA629" s="382"/>
      <c r="DB629" s="382"/>
      <c r="DC629" s="382"/>
      <c r="DD629" s="382"/>
      <c r="DE629" s="382"/>
      <c r="DF629" s="382"/>
      <c r="DG629" s="382"/>
      <c r="DH629" s="382"/>
      <c r="DI629" s="382"/>
      <c r="DJ629" s="382"/>
      <c r="DK629" s="382"/>
      <c r="DL629" s="382"/>
      <c r="DM629" s="382"/>
      <c r="DN629" s="382"/>
      <c r="DO629" s="382"/>
      <c r="DP629" s="208"/>
      <c r="DQ629" s="208"/>
      <c r="DR629" s="208"/>
      <c r="DS629" s="208"/>
      <c r="DT629" s="208"/>
      <c r="DU629" s="208"/>
      <c r="DV629" s="208"/>
      <c r="DW629" s="208"/>
      <c r="DX629" s="208"/>
      <c r="DY629" s="208"/>
      <c r="DZ629" s="227"/>
      <c r="EA629" s="186"/>
      <c r="EB629" s="186"/>
    </row>
    <row r="630" spans="4:132" s="176" customFormat="1" x14ac:dyDescent="0.2"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4"/>
      <c r="O630" s="202"/>
      <c r="P630" s="202"/>
      <c r="Q630" s="656"/>
      <c r="R630" s="656"/>
      <c r="S630" s="657"/>
      <c r="T630" s="202"/>
      <c r="U630" s="202"/>
      <c r="V630" s="202"/>
      <c r="W630" s="202"/>
      <c r="X630" s="202"/>
      <c r="Y630" s="205"/>
      <c r="AB630" s="206"/>
      <c r="AC630" s="206"/>
      <c r="AD630" s="207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7"/>
      <c r="BV630" s="208"/>
      <c r="BW630" s="208"/>
      <c r="BX630" s="208"/>
      <c r="BY630" s="208"/>
      <c r="BZ630" s="382"/>
      <c r="CA630" s="382"/>
      <c r="CB630" s="382"/>
      <c r="CC630" s="382"/>
      <c r="CD630" s="382"/>
      <c r="CE630" s="382"/>
      <c r="CF630" s="382"/>
      <c r="CG630" s="382"/>
      <c r="CH630" s="382"/>
      <c r="CI630" s="382"/>
      <c r="CJ630" s="382"/>
      <c r="CK630" s="382"/>
      <c r="CL630" s="382"/>
      <c r="CM630" s="382"/>
      <c r="CN630" s="382"/>
      <c r="CO630" s="382"/>
      <c r="CP630" s="382"/>
      <c r="CQ630" s="382"/>
      <c r="CR630" s="382"/>
      <c r="CS630" s="382"/>
      <c r="CT630" s="382"/>
      <c r="CU630" s="382"/>
      <c r="CV630" s="382"/>
      <c r="CW630" s="189"/>
      <c r="CX630" s="382"/>
      <c r="CY630" s="382"/>
      <c r="CZ630" s="382"/>
      <c r="DA630" s="382"/>
      <c r="DB630" s="382"/>
      <c r="DC630" s="382"/>
      <c r="DD630" s="382"/>
      <c r="DE630" s="382"/>
      <c r="DF630" s="382"/>
      <c r="DG630" s="382"/>
      <c r="DH630" s="382"/>
      <c r="DI630" s="382"/>
      <c r="DJ630" s="382"/>
      <c r="DK630" s="382"/>
      <c r="DL630" s="382"/>
      <c r="DM630" s="382"/>
      <c r="DN630" s="382"/>
      <c r="DO630" s="382"/>
      <c r="DP630" s="208"/>
      <c r="DQ630" s="208"/>
      <c r="DR630" s="208"/>
      <c r="DS630" s="208"/>
      <c r="DT630" s="208"/>
      <c r="DU630" s="208"/>
      <c r="DV630" s="208"/>
      <c r="DW630" s="208"/>
      <c r="DX630" s="208"/>
      <c r="DY630" s="208"/>
      <c r="DZ630" s="227"/>
      <c r="EA630" s="186"/>
      <c r="EB630" s="186"/>
    </row>
  </sheetData>
  <sheetProtection algorithmName="SHA-512" hashValue="fZjrMlMXvaqZcgH34yPUu33f+JeqcLDpyOdCO3iS1d5b0wcVjESzCW4EVycixIaewRt3q6A6pi0FmR5ZfNlHFg==" saltValue="3UKjW6RsRHXc84Uj/NQK2w==" spinCount="100000" sheet="1" objects="1" scenarios="1"/>
  <mergeCells count="16">
    <mergeCell ref="B515:C515"/>
    <mergeCell ref="B215:C215"/>
    <mergeCell ref="B315:C315"/>
    <mergeCell ref="B415:C415"/>
    <mergeCell ref="B7:B8"/>
    <mergeCell ref="C7:C8"/>
    <mergeCell ref="B216:C216"/>
    <mergeCell ref="B58:C58"/>
    <mergeCell ref="B47:C47"/>
    <mergeCell ref="B39:C39"/>
    <mergeCell ref="N7:P7"/>
    <mergeCell ref="D7:E7"/>
    <mergeCell ref="F7:G7"/>
    <mergeCell ref="H7:I7"/>
    <mergeCell ref="J7:K7"/>
    <mergeCell ref="L7:M7"/>
  </mergeCells>
  <conditionalFormatting sqref="D14">
    <cfRule type="cellIs" dxfId="319" priority="1759" stopIfTrue="1" operator="greaterThan">
      <formula>0</formula>
    </cfRule>
  </conditionalFormatting>
  <conditionalFormatting sqref="P14">
    <cfRule type="expression" dxfId="318" priority="1727" stopIfTrue="1">
      <formula>IF(AND(SUM(D14:M14)&gt;12,P14=""),1,0)=1</formula>
    </cfRule>
    <cfRule type="expression" dxfId="317" priority="1728" stopIfTrue="1">
      <formula>IF(AND(SUM(D14:M14)&gt;12,P14&lt;&gt;""),1,0)=1</formula>
    </cfRule>
  </conditionalFormatting>
  <conditionalFormatting sqref="E14">
    <cfRule type="expression" dxfId="316" priority="1023" stopIfTrue="1">
      <formula>IF(AND(D14=0,E14&gt;0),1,0)=1</formula>
    </cfRule>
    <cfRule type="expression" dxfId="315" priority="1024" stopIfTrue="1">
      <formula>IF(AND(D14&gt;0,E14=0),1,0)=1</formula>
    </cfRule>
    <cfRule type="expression" dxfId="314" priority="1025" stopIfTrue="1">
      <formula>IF(AND(D14&gt;0,E14&gt;0),1,0)=1</formula>
    </cfRule>
  </conditionalFormatting>
  <conditionalFormatting sqref="E21">
    <cfRule type="expression" dxfId="313" priority="1014" stopIfTrue="1">
      <formula>IF(AND(D21=0,E21&gt;0),1,0)=1</formula>
    </cfRule>
    <cfRule type="expression" dxfId="312" priority="1015" stopIfTrue="1">
      <formula>IF(AND(D21&gt;0,E21=0),1,0)=1</formula>
    </cfRule>
    <cfRule type="expression" dxfId="311" priority="1016" stopIfTrue="1">
      <formula>IF(AND(D21&gt;0,E21&gt;0),1,0)=1</formula>
    </cfRule>
  </conditionalFormatting>
  <conditionalFormatting sqref="E22">
    <cfRule type="expression" dxfId="310" priority="1011" stopIfTrue="1">
      <formula>IF(AND(D22=0,E22&gt;0),1,0)=1</formula>
    </cfRule>
    <cfRule type="expression" dxfId="309" priority="1012" stopIfTrue="1">
      <formula>IF(AND(D22&gt;0,E22=0),1,0)=1</formula>
    </cfRule>
    <cfRule type="expression" dxfId="308" priority="1013" stopIfTrue="1">
      <formula>IF(AND(D22&gt;0,E22&gt;0),1,0)=1</formula>
    </cfRule>
  </conditionalFormatting>
  <conditionalFormatting sqref="E23">
    <cfRule type="expression" dxfId="307" priority="1008" stopIfTrue="1">
      <formula>IF(AND(D23=0,E23&gt;0),1,0)=1</formula>
    </cfRule>
    <cfRule type="expression" dxfId="306" priority="1009" stopIfTrue="1">
      <formula>IF(AND(D23&gt;0,E23=0),1,0)=1</formula>
    </cfRule>
    <cfRule type="expression" dxfId="305" priority="1010" stopIfTrue="1">
      <formula>IF(AND(D23&gt;0,E23&gt;0),1,0)=1</formula>
    </cfRule>
  </conditionalFormatting>
  <conditionalFormatting sqref="E24">
    <cfRule type="expression" dxfId="304" priority="1005" stopIfTrue="1">
      <formula>IF(AND(D24=0,E24&gt;0),1,0)=1</formula>
    </cfRule>
    <cfRule type="expression" dxfId="303" priority="1006" stopIfTrue="1">
      <formula>IF(AND(D24&gt;0,E24=0),1,0)=1</formula>
    </cfRule>
    <cfRule type="expression" dxfId="302" priority="1007" stopIfTrue="1">
      <formula>IF(AND(D24&gt;0,E24&gt;0),1,0)=1</formula>
    </cfRule>
  </conditionalFormatting>
  <conditionalFormatting sqref="E25">
    <cfRule type="expression" dxfId="301" priority="1002" stopIfTrue="1">
      <formula>IF(AND(D25=0,E25&gt;0),1,0)=1</formula>
    </cfRule>
    <cfRule type="expression" dxfId="300" priority="1003" stopIfTrue="1">
      <formula>IF(AND(D25&gt;0,E25=0),1,0)=1</formula>
    </cfRule>
    <cfRule type="expression" dxfId="299" priority="1004" stopIfTrue="1">
      <formula>IF(AND(D25&gt;0,E25&gt;0),1,0)=1</formula>
    </cfRule>
  </conditionalFormatting>
  <conditionalFormatting sqref="E26">
    <cfRule type="expression" dxfId="298" priority="999" stopIfTrue="1">
      <formula>IF(AND(D26=0,E26&gt;0),1,0)=1</formula>
    </cfRule>
    <cfRule type="expression" dxfId="297" priority="1000" stopIfTrue="1">
      <formula>IF(AND(D26&gt;0,E26=0),1,0)=1</formula>
    </cfRule>
    <cfRule type="expression" dxfId="296" priority="1001" stopIfTrue="1">
      <formula>IF(AND(D26&gt;0,E26&gt;0),1,0)=1</formula>
    </cfRule>
  </conditionalFormatting>
  <conditionalFormatting sqref="E27">
    <cfRule type="expression" dxfId="295" priority="996" stopIfTrue="1">
      <formula>IF(AND(D27=0,E27&gt;0),1,0)=1</formula>
    </cfRule>
    <cfRule type="expression" dxfId="294" priority="997" stopIfTrue="1">
      <formula>IF(AND(D27&gt;0,E27=0),1,0)=1</formula>
    </cfRule>
    <cfRule type="expression" dxfId="293" priority="998" stopIfTrue="1">
      <formula>IF(AND(D27&gt;0,E27&gt;0),1,0)=1</formula>
    </cfRule>
  </conditionalFormatting>
  <conditionalFormatting sqref="N23">
    <cfRule type="expression" dxfId="292" priority="986" stopIfTrue="1">
      <formula>IF(AND(SUM(D23:M23)&gt;12,N23&lt;&gt;""),1,0)=1</formula>
    </cfRule>
    <cfRule type="expression" dxfId="291" priority="987" stopIfTrue="1">
      <formula>IF(AND(SUM(D23:M23)&gt;13,N23=""),1,0)=1</formula>
    </cfRule>
  </conditionalFormatting>
  <conditionalFormatting sqref="N22">
    <cfRule type="expression" dxfId="290" priority="976" stopIfTrue="1">
      <formula>IF(AND(SUM(D22:M22)&gt;12,N22&lt;&gt;""),1,0)=1</formula>
    </cfRule>
    <cfRule type="expression" dxfId="289" priority="977" stopIfTrue="1">
      <formula>IF(AND(SUM(D22:M22)&gt;13,N22=""),1,0)=1</formula>
    </cfRule>
  </conditionalFormatting>
  <conditionalFormatting sqref="N21">
    <cfRule type="expression" dxfId="288" priority="974" stopIfTrue="1">
      <formula>IF(AND(SUM(D21:M21)&gt;12,N21&lt;&gt;""),1,0)=1</formula>
    </cfRule>
    <cfRule type="expression" dxfId="287" priority="975" stopIfTrue="1">
      <formula>IF(AND(SUM(D21:M21)&gt;13,N21=""),1,0)=1</formula>
    </cfRule>
  </conditionalFormatting>
  <conditionalFormatting sqref="N24">
    <cfRule type="expression" dxfId="286" priority="972" stopIfTrue="1">
      <formula>IF(AND(SUM(D24:M24)&gt;12,N24&lt;&gt;""),1,0)=1</formula>
    </cfRule>
    <cfRule type="expression" dxfId="285" priority="973" stopIfTrue="1">
      <formula>IF(AND(SUM(D24:M24)&gt;13,N24=""),1,0)=1</formula>
    </cfRule>
  </conditionalFormatting>
  <conditionalFormatting sqref="N25">
    <cfRule type="expression" dxfId="284" priority="970" stopIfTrue="1">
      <formula>IF(AND(SUM(D25:M25)&gt;12,N25&lt;&gt;""),1,0)=1</formula>
    </cfRule>
    <cfRule type="expression" dxfId="283" priority="971" stopIfTrue="1">
      <formula>IF(AND(SUM(D25:M25)&gt;13,N25=""),1,0)=1</formula>
    </cfRule>
  </conditionalFormatting>
  <conditionalFormatting sqref="N26">
    <cfRule type="expression" dxfId="282" priority="968" stopIfTrue="1">
      <formula>IF(AND(SUM(D26:M26)&gt;12,N26&lt;&gt;""),1,0)=1</formula>
    </cfRule>
    <cfRule type="expression" dxfId="281" priority="969" stopIfTrue="1">
      <formula>IF(AND(SUM(D26:M26)&gt;13,N26=""),1,0)=1</formula>
    </cfRule>
  </conditionalFormatting>
  <conditionalFormatting sqref="N27">
    <cfRule type="expression" dxfId="280" priority="966" stopIfTrue="1">
      <formula>IF(AND(SUM(D27:M27)&gt;12,N27&lt;&gt;""),1,0)=1</formula>
    </cfRule>
    <cfRule type="expression" dxfId="279" priority="967" stopIfTrue="1">
      <formula>IF(AND(SUM(D27:M27)&gt;13,N27=""),1,0)=1</formula>
    </cfRule>
  </conditionalFormatting>
  <conditionalFormatting sqref="N14">
    <cfRule type="expression" dxfId="278" priority="960" stopIfTrue="1">
      <formula>IF(AND(SUM(D14:M14)&gt;12,N14&lt;&gt;""),1,0)=1</formula>
    </cfRule>
    <cfRule type="expression" dxfId="277" priority="961" stopIfTrue="1">
      <formula>IF(AND(SUM(D14:M14)&gt;13,N14=""),1,0)=1</formula>
    </cfRule>
  </conditionalFormatting>
  <conditionalFormatting sqref="O23">
    <cfRule type="expression" dxfId="276" priority="950" stopIfTrue="1">
      <formula>IF(AND(SUM(D23:M23)&gt;12,O23=""),1,0)=1</formula>
    </cfRule>
    <cfRule type="expression" dxfId="275" priority="951" stopIfTrue="1">
      <formula>IF(AND(SUM(D23:M23)&gt;12,O23&lt;&gt;""),1,0)=1</formula>
    </cfRule>
  </conditionalFormatting>
  <conditionalFormatting sqref="O22">
    <cfRule type="expression" dxfId="274" priority="940" stopIfTrue="1">
      <formula>IF(AND(SUM(D22:M22)&gt;12,O22=""),1,0)=1</formula>
    </cfRule>
    <cfRule type="expression" dxfId="273" priority="941" stopIfTrue="1">
      <formula>IF(AND(SUM(D22:M22)&gt;12,O22&lt;&gt;""),1,0)=1</formula>
    </cfRule>
  </conditionalFormatting>
  <conditionalFormatting sqref="O21">
    <cfRule type="expression" dxfId="272" priority="938" stopIfTrue="1">
      <formula>IF(AND(SUM(D21:M21)&gt;12,O21=""),1,0)=1</formula>
    </cfRule>
    <cfRule type="expression" dxfId="271" priority="939" stopIfTrue="1">
      <formula>IF(AND(SUM(D21:M21)&gt;12,O21&lt;&gt;""),1,0)=1</formula>
    </cfRule>
  </conditionalFormatting>
  <conditionalFormatting sqref="O14">
    <cfRule type="expression" dxfId="270" priority="932" stopIfTrue="1">
      <formula>IF(AND(SUM(D14:M14)&gt;12,O14=""),1,0)=1</formula>
    </cfRule>
    <cfRule type="expression" dxfId="269" priority="933" stopIfTrue="1">
      <formula>IF(AND(SUM(D14:M14)&gt;12,O14&lt;&gt;""),1,0)=1</formula>
    </cfRule>
  </conditionalFormatting>
  <conditionalFormatting sqref="O24">
    <cfRule type="expression" dxfId="268" priority="930" stopIfTrue="1">
      <formula>IF(AND(SUM(D24:M24)&gt;12,O24=""),1,0)=1</formula>
    </cfRule>
    <cfRule type="expression" dxfId="267" priority="931" stopIfTrue="1">
      <formula>IF(AND(SUM(D24:M24)&gt;12,O24&lt;&gt;""),1,0)=1</formula>
    </cfRule>
  </conditionalFormatting>
  <conditionalFormatting sqref="O25">
    <cfRule type="expression" dxfId="266" priority="928" stopIfTrue="1">
      <formula>IF(AND(SUM(D25:M25)&gt;12,O25=""),1,0)=1</formula>
    </cfRule>
    <cfRule type="expression" dxfId="265" priority="929" stopIfTrue="1">
      <formula>IF(AND(SUM(D25:M25)&gt;12,O25&lt;&gt;""),1,0)=1</formula>
    </cfRule>
  </conditionalFormatting>
  <conditionalFormatting sqref="O26">
    <cfRule type="expression" dxfId="264" priority="926" stopIfTrue="1">
      <formula>IF(AND(SUM(D26:M26)&gt;12,O26=""),1,0)=1</formula>
    </cfRule>
    <cfRule type="expression" dxfId="263" priority="927" stopIfTrue="1">
      <formula>IF(AND(SUM(D26:M26)&gt;12,O26&lt;&gt;""),1,0)=1</formula>
    </cfRule>
  </conditionalFormatting>
  <conditionalFormatting sqref="O27">
    <cfRule type="expression" dxfId="262" priority="924" stopIfTrue="1">
      <formula>IF(AND(SUM(D27:M27)&gt;12,O27=""),1,0)=1</formula>
    </cfRule>
    <cfRule type="expression" dxfId="261" priority="925" stopIfTrue="1">
      <formula>IF(AND(SUM(D27:M27)&gt;12,O27&lt;&gt;""),1,0)=1</formula>
    </cfRule>
  </conditionalFormatting>
  <conditionalFormatting sqref="P21">
    <cfRule type="expression" dxfId="260" priority="918" stopIfTrue="1">
      <formula>IF(AND(SUM(D21:M21)&gt;12,P21=""),1,0)=1</formula>
    </cfRule>
    <cfRule type="expression" dxfId="259" priority="919" stopIfTrue="1">
      <formula>IF(AND(SUM(D21:M21)&gt;12,P21&lt;&gt;""),1,0)=1</formula>
    </cfRule>
  </conditionalFormatting>
  <conditionalFormatting sqref="P22">
    <cfRule type="expression" dxfId="258" priority="916" stopIfTrue="1">
      <formula>IF(AND(SUM(D22:M22)&gt;12,P22=""),1,0)=1</formula>
    </cfRule>
    <cfRule type="expression" dxfId="257" priority="917" stopIfTrue="1">
      <formula>IF(AND(SUM(D22:M22)&gt;12,P22&lt;&gt;""),1,0)=1</formula>
    </cfRule>
  </conditionalFormatting>
  <conditionalFormatting sqref="P23">
    <cfRule type="expression" dxfId="256" priority="914" stopIfTrue="1">
      <formula>IF(AND(SUM(D23:M23)&gt;12,P23=""),1,0)=1</formula>
    </cfRule>
    <cfRule type="expression" dxfId="255" priority="915" stopIfTrue="1">
      <formula>IF(AND(SUM(D23:M23)&gt;12,P23&lt;&gt;""),1,0)=1</formula>
    </cfRule>
  </conditionalFormatting>
  <conditionalFormatting sqref="P24">
    <cfRule type="expression" dxfId="254" priority="912" stopIfTrue="1">
      <formula>IF(AND(SUM(D24:M24)&gt;12,P24=""),1,0)=1</formula>
    </cfRule>
    <cfRule type="expression" dxfId="253" priority="913" stopIfTrue="1">
      <formula>IF(AND(SUM(D24:M24)&gt;12,P24&lt;&gt;""),1,0)=1</formula>
    </cfRule>
  </conditionalFormatting>
  <conditionalFormatting sqref="P25">
    <cfRule type="expression" dxfId="252" priority="910" stopIfTrue="1">
      <formula>IF(AND(SUM(D25:M25)&gt;12,P25=""),1,0)=1</formula>
    </cfRule>
    <cfRule type="expression" dxfId="251" priority="911" stopIfTrue="1">
      <formula>IF(AND(SUM(D25:M25)&gt;12,P25&lt;&gt;""),1,0)=1</formula>
    </cfRule>
  </conditionalFormatting>
  <conditionalFormatting sqref="P26">
    <cfRule type="expression" dxfId="250" priority="908" stopIfTrue="1">
      <formula>IF(AND(SUM(D26:M26)&gt;12,P26=""),1,0)=1</formula>
    </cfRule>
    <cfRule type="expression" dxfId="249" priority="909" stopIfTrue="1">
      <formula>IF(AND(SUM(D26:M26)&gt;12,P26&lt;&gt;""),1,0)=1</formula>
    </cfRule>
  </conditionalFormatting>
  <conditionalFormatting sqref="P27">
    <cfRule type="expression" dxfId="248" priority="906" stopIfTrue="1">
      <formula>IF(AND(SUM(D27:M27)&gt;12,P27=""),1,0)=1</formula>
    </cfRule>
    <cfRule type="expression" dxfId="247" priority="907" stopIfTrue="1">
      <formula>IF(AND(SUM(D27:M27)&gt;12,P27&lt;&gt;""),1,0)=1</formula>
    </cfRule>
  </conditionalFormatting>
  <conditionalFormatting sqref="H14">
    <cfRule type="expression" dxfId="246" priority="477" stopIfTrue="1">
      <formula>IF(AND(SUM($D14:G14)&gt;13,H14&gt;0),1,0)=1</formula>
    </cfRule>
    <cfRule type="expression" dxfId="245" priority="478" stopIfTrue="1">
      <formula>IF(AND(SUM($D14:G14)=0,H14&gt;0,I14&gt;0),1,0)=1</formula>
    </cfRule>
  </conditionalFormatting>
  <conditionalFormatting sqref="I14">
    <cfRule type="expression" dxfId="244" priority="474" stopIfTrue="1">
      <formula>IF(AND(SUM($D14:G14)=0,H14&gt;0,I14&gt;0),1,0)=1</formula>
    </cfRule>
    <cfRule type="expression" dxfId="243" priority="475" stopIfTrue="1">
      <formula>IF(AND(SUM($D14:G14)=0,H14&gt;0,I14=0),1,0)=1</formula>
    </cfRule>
    <cfRule type="expression" dxfId="242" priority="476" stopIfTrue="1">
      <formula>IF(AND(SUM($D14:G14)&gt;450,I14&gt;0),1,0)=1</formula>
    </cfRule>
  </conditionalFormatting>
  <conditionalFormatting sqref="F14">
    <cfRule type="expression" dxfId="241" priority="472" stopIfTrue="1">
      <formula>IF(AND(SUM($D14:E14)&gt;13,F14&gt;0),1,0)=1</formula>
    </cfRule>
    <cfRule type="expression" dxfId="240" priority="473" stopIfTrue="1">
      <formula>IF(AND(SUM($D14:E14)=0,F14&gt;0,G14&gt;0),1,0)=1</formula>
    </cfRule>
  </conditionalFormatting>
  <conditionalFormatting sqref="G14">
    <cfRule type="expression" dxfId="239" priority="469" stopIfTrue="1">
      <formula>IF(AND(SUM($D14:E14)=0,F14&gt;0,G14&gt;0),1,0)=1</formula>
    </cfRule>
    <cfRule type="expression" dxfId="238" priority="470" stopIfTrue="1">
      <formula>IF(AND(SUM($D14:E14)=0,F14&gt;0,G14=0),1,0)=1</formula>
    </cfRule>
    <cfRule type="expression" dxfId="237" priority="471" stopIfTrue="1">
      <formula>IF(AND(SUM($D14:E14)&gt;450,G14&gt;0),1,0)=1</formula>
    </cfRule>
  </conditionalFormatting>
  <conditionalFormatting sqref="D21">
    <cfRule type="cellIs" dxfId="236" priority="376" stopIfTrue="1" operator="greaterThan">
      <formula>0</formula>
    </cfRule>
  </conditionalFormatting>
  <conditionalFormatting sqref="D22">
    <cfRule type="cellIs" dxfId="235" priority="375" stopIfTrue="1" operator="greaterThan">
      <formula>0</formula>
    </cfRule>
  </conditionalFormatting>
  <conditionalFormatting sqref="D23">
    <cfRule type="cellIs" dxfId="234" priority="374" stopIfTrue="1" operator="greaterThan">
      <formula>0</formula>
    </cfRule>
  </conditionalFormatting>
  <conditionalFormatting sqref="D24">
    <cfRule type="cellIs" dxfId="233" priority="373" stopIfTrue="1" operator="greaterThan">
      <formula>0</formula>
    </cfRule>
  </conditionalFormatting>
  <conditionalFormatting sqref="D25">
    <cfRule type="cellIs" dxfId="232" priority="372" stopIfTrue="1" operator="greaterThan">
      <formula>0</formula>
    </cfRule>
  </conditionalFormatting>
  <conditionalFormatting sqref="D26">
    <cfRule type="cellIs" dxfId="231" priority="371" stopIfTrue="1" operator="greaterThan">
      <formula>0</formula>
    </cfRule>
  </conditionalFormatting>
  <conditionalFormatting sqref="D27">
    <cfRule type="cellIs" dxfId="230" priority="370" stopIfTrue="1" operator="greaterThan">
      <formula>0</formula>
    </cfRule>
  </conditionalFormatting>
  <conditionalFormatting sqref="D10">
    <cfRule type="cellIs" dxfId="229" priority="369" stopIfTrue="1" operator="greaterThan">
      <formula>0</formula>
    </cfRule>
  </conditionalFormatting>
  <conditionalFormatting sqref="E10">
    <cfRule type="expression" dxfId="228" priority="366" stopIfTrue="1">
      <formula>IF(AND(D10=0,E10&gt;0),1,0)=1</formula>
    </cfRule>
    <cfRule type="expression" dxfId="227" priority="367" stopIfTrue="1">
      <formula>IF(AND(D10&gt;0,E10=0),1,0)=1</formula>
    </cfRule>
    <cfRule type="expression" dxfId="226" priority="368" stopIfTrue="1">
      <formula>IF(AND(D10&gt;0,E10&gt;0),1,0)=1</formula>
    </cfRule>
  </conditionalFormatting>
  <conditionalFormatting sqref="J14">
    <cfRule type="expression" dxfId="225" priority="360" stopIfTrue="1">
      <formula>IF(AND(SUM($D14:I14)&gt;13,J14&gt;0),1,0)=1</formula>
    </cfRule>
    <cfRule type="expression" dxfId="224" priority="361" stopIfTrue="1">
      <formula>IF(AND(SUM($D14:I14)=0,J14&gt;0,K14&gt;0),1,0)=1</formula>
    </cfRule>
  </conditionalFormatting>
  <conditionalFormatting sqref="K14">
    <cfRule type="expression" dxfId="223" priority="357" stopIfTrue="1">
      <formula>IF(AND(SUM($D14:I14)=0,J14&gt;0,K14&gt;0),1,0)=1</formula>
    </cfRule>
    <cfRule type="expression" dxfId="222" priority="358" stopIfTrue="1">
      <formula>IF(AND(SUM($D14:I14)=0,J14&gt;0,K14=0),1,0)=1</formula>
    </cfRule>
    <cfRule type="expression" dxfId="221" priority="359" stopIfTrue="1">
      <formula>IF(AND(SUM($D14:I14)&gt;450,K14&gt;0),1,0)=1</formula>
    </cfRule>
  </conditionalFormatting>
  <conditionalFormatting sqref="L14">
    <cfRule type="expression" dxfId="220" priority="310" stopIfTrue="1">
      <formula>IF(AND(SUM($D14:K14)&gt;13,L14&gt;0),1,0)=1</formula>
    </cfRule>
    <cfRule type="expression" dxfId="219" priority="311" stopIfTrue="1">
      <formula>IF(AND(SUM($D14:K14)=0,L14&gt;0,M14&gt;0),1,0)=1</formula>
    </cfRule>
  </conditionalFormatting>
  <conditionalFormatting sqref="M14">
    <cfRule type="expression" dxfId="218" priority="307" stopIfTrue="1">
      <formula>IF(AND(SUM($D14:K14)=0,L14&gt;0,M14&gt;0),1,0)=1</formula>
    </cfRule>
    <cfRule type="expression" dxfId="217" priority="308" stopIfTrue="1">
      <formula>IF(AND(SUM($D14:K14)=0,L14&gt;0,M14=0),1,0)=1</formula>
    </cfRule>
    <cfRule type="expression" dxfId="216" priority="309" stopIfTrue="1">
      <formula>IF(AND(SUM($D14:K14)&gt;450,M14&gt;0),1,0)=1</formula>
    </cfRule>
  </conditionalFormatting>
  <conditionalFormatting sqref="F21">
    <cfRule type="expression" dxfId="215" priority="245" stopIfTrue="1">
      <formula>IF(AND(SUM($D21:E21)&gt;13,F21&gt;0),1,0)=1</formula>
    </cfRule>
    <cfRule type="expression" dxfId="214" priority="246" stopIfTrue="1">
      <formula>IF(AND(SUM($D21:E21)=0,F21&gt;0,G21&gt;0),1,0)=1</formula>
    </cfRule>
  </conditionalFormatting>
  <conditionalFormatting sqref="G21">
    <cfRule type="expression" dxfId="213" priority="242" stopIfTrue="1">
      <formula>IF(AND(SUM($D21:E21)=0,F21&gt;0,G21&gt;0),1,0)=1</formula>
    </cfRule>
    <cfRule type="expression" dxfId="212" priority="243" stopIfTrue="1">
      <formula>IF(AND(SUM($D21:E21)=0,F21&gt;0,G21=0),1,0)=1</formula>
    </cfRule>
    <cfRule type="expression" dxfId="211" priority="244" stopIfTrue="1">
      <formula>IF(AND(SUM($D21:E21)&gt;450,G21&gt;0),1,0)=1</formula>
    </cfRule>
  </conditionalFormatting>
  <conditionalFormatting sqref="F22">
    <cfRule type="expression" dxfId="210" priority="240" stopIfTrue="1">
      <formula>IF(AND(SUM($D22:E22)&gt;13,F22&gt;0),1,0)=1</formula>
    </cfRule>
    <cfRule type="expression" dxfId="209" priority="241" stopIfTrue="1">
      <formula>IF(AND(SUM($D22:E22)=0,F22&gt;0,G22&gt;0),1,0)=1</formula>
    </cfRule>
  </conditionalFormatting>
  <conditionalFormatting sqref="G22">
    <cfRule type="expression" dxfId="208" priority="237" stopIfTrue="1">
      <formula>IF(AND(SUM($D22:E22)=0,F22&gt;0,G22&gt;0),1,0)=1</formula>
    </cfRule>
    <cfRule type="expression" dxfId="207" priority="238" stopIfTrue="1">
      <formula>IF(AND(SUM($D22:E22)=0,F22&gt;0,G22=0),1,0)=1</formula>
    </cfRule>
    <cfRule type="expression" dxfId="206" priority="239" stopIfTrue="1">
      <formula>IF(AND(SUM($D22:E22)&gt;450,G22&gt;0),1,0)=1</formula>
    </cfRule>
  </conditionalFormatting>
  <conditionalFormatting sqref="F23">
    <cfRule type="expression" dxfId="205" priority="235" stopIfTrue="1">
      <formula>IF(AND(SUM($D23:E23)&gt;13,F23&gt;0),1,0)=1</formula>
    </cfRule>
    <cfRule type="expression" dxfId="204" priority="236" stopIfTrue="1">
      <formula>IF(AND(SUM($D23:E23)=0,F23&gt;0,G23&gt;0),1,0)=1</formula>
    </cfRule>
  </conditionalFormatting>
  <conditionalFormatting sqref="G23">
    <cfRule type="expression" dxfId="203" priority="232" stopIfTrue="1">
      <formula>IF(AND(SUM($D23:E23)=0,F23&gt;0,G23&gt;0),1,0)=1</formula>
    </cfRule>
    <cfRule type="expression" dxfId="202" priority="233" stopIfTrue="1">
      <formula>IF(AND(SUM($D23:E23)=0,F23&gt;0,G23=0),1,0)=1</formula>
    </cfRule>
    <cfRule type="expression" dxfId="201" priority="234" stopIfTrue="1">
      <formula>IF(AND(SUM($D23:E23)&gt;450,G23&gt;0),1,0)=1</formula>
    </cfRule>
  </conditionalFormatting>
  <conditionalFormatting sqref="F24">
    <cfRule type="expression" dxfId="200" priority="230" stopIfTrue="1">
      <formula>IF(AND(SUM($D24:E24)&gt;13,F24&gt;0),1,0)=1</formula>
    </cfRule>
    <cfRule type="expression" dxfId="199" priority="231" stopIfTrue="1">
      <formula>IF(AND(SUM($D24:E24)=0,F24&gt;0,G24&gt;0),1,0)=1</formula>
    </cfRule>
  </conditionalFormatting>
  <conditionalFormatting sqref="G24">
    <cfRule type="expression" dxfId="198" priority="227" stopIfTrue="1">
      <formula>IF(AND(SUM($D24:E24)=0,F24&gt;0,G24&gt;0),1,0)=1</formula>
    </cfRule>
    <cfRule type="expression" dxfId="197" priority="228" stopIfTrue="1">
      <formula>IF(AND(SUM($D24:E24)=0,F24&gt;0,G24=0),1,0)=1</formula>
    </cfRule>
    <cfRule type="expression" dxfId="196" priority="229" stopIfTrue="1">
      <formula>IF(AND(SUM($D24:E24)&gt;450,G24&gt;0),1,0)=1</formula>
    </cfRule>
  </conditionalFormatting>
  <conditionalFormatting sqref="F25">
    <cfRule type="expression" dxfId="195" priority="225" stopIfTrue="1">
      <formula>IF(AND(SUM($D25:E25)&gt;13,F25&gt;0),1,0)=1</formula>
    </cfRule>
    <cfRule type="expression" dxfId="194" priority="226" stopIfTrue="1">
      <formula>IF(AND(SUM($D25:E25)=0,F25&gt;0,G25&gt;0),1,0)=1</formula>
    </cfRule>
  </conditionalFormatting>
  <conditionalFormatting sqref="G25">
    <cfRule type="expression" dxfId="193" priority="222" stopIfTrue="1">
      <formula>IF(AND(SUM($D25:E25)=0,F25&gt;0,G25&gt;0),1,0)=1</formula>
    </cfRule>
    <cfRule type="expression" dxfId="192" priority="223" stopIfTrue="1">
      <formula>IF(AND(SUM($D25:E25)=0,F25&gt;0,G25=0),1,0)=1</formula>
    </cfRule>
    <cfRule type="expression" dxfId="191" priority="224" stopIfTrue="1">
      <formula>IF(AND(SUM($D25:E25)&gt;450,G25&gt;0),1,0)=1</formula>
    </cfRule>
  </conditionalFormatting>
  <conditionalFormatting sqref="F26">
    <cfRule type="expression" dxfId="190" priority="220" stopIfTrue="1">
      <formula>IF(AND(SUM($D26:E26)&gt;13,F26&gt;0),1,0)=1</formula>
    </cfRule>
    <cfRule type="expression" dxfId="189" priority="221" stopIfTrue="1">
      <formula>IF(AND(SUM($D26:E26)=0,F26&gt;0,G26&gt;0),1,0)=1</formula>
    </cfRule>
  </conditionalFormatting>
  <conditionalFormatting sqref="G26">
    <cfRule type="expression" dxfId="188" priority="217" stopIfTrue="1">
      <formula>IF(AND(SUM($D26:E26)=0,F26&gt;0,G26&gt;0),1,0)=1</formula>
    </cfRule>
    <cfRule type="expression" dxfId="187" priority="218" stopIfTrue="1">
      <formula>IF(AND(SUM($D26:E26)=0,F26&gt;0,G26=0),1,0)=1</formula>
    </cfRule>
    <cfRule type="expression" dxfId="186" priority="219" stopIfTrue="1">
      <formula>IF(AND(SUM($D26:E26)&gt;450,G26&gt;0),1,0)=1</formula>
    </cfRule>
  </conditionalFormatting>
  <conditionalFormatting sqref="F27">
    <cfRule type="expression" dxfId="185" priority="215" stopIfTrue="1">
      <formula>IF(AND(SUM($D27:E27)&gt;13,F27&gt;0),1,0)=1</formula>
    </cfRule>
    <cfRule type="expression" dxfId="184" priority="216" stopIfTrue="1">
      <formula>IF(AND(SUM($D27:E27)=0,F27&gt;0,G27&gt;0),1,0)=1</formula>
    </cfRule>
  </conditionalFormatting>
  <conditionalFormatting sqref="G27">
    <cfRule type="expression" dxfId="183" priority="212" stopIfTrue="1">
      <formula>IF(AND(SUM($D27:E27)=0,F27&gt;0,G27&gt;0),1,0)=1</formula>
    </cfRule>
    <cfRule type="expression" dxfId="182" priority="213" stopIfTrue="1">
      <formula>IF(AND(SUM($D27:E27)=0,F27&gt;0,G27=0),1,0)=1</formula>
    </cfRule>
    <cfRule type="expression" dxfId="181" priority="214" stopIfTrue="1">
      <formula>IF(AND(SUM($D27:E27)&gt;450,G27&gt;0),1,0)=1</formula>
    </cfRule>
  </conditionalFormatting>
  <conditionalFormatting sqref="H21">
    <cfRule type="expression" dxfId="180" priority="180" stopIfTrue="1">
      <formula>IF(AND(SUM($D21:G21)&gt;13,H21&gt;0),1,0)=1</formula>
    </cfRule>
    <cfRule type="expression" dxfId="179" priority="181" stopIfTrue="1">
      <formula>IF(AND(SUM($D21:G21)=0,H21&gt;0,I21&gt;0),1,0)=1</formula>
    </cfRule>
  </conditionalFormatting>
  <conditionalFormatting sqref="I21">
    <cfRule type="expression" dxfId="178" priority="177" stopIfTrue="1">
      <formula>IF(AND(SUM($D21:G21)=0,H21&gt;0,I21&gt;0),1,0)=1</formula>
    </cfRule>
    <cfRule type="expression" dxfId="177" priority="178" stopIfTrue="1">
      <formula>IF(AND(SUM($D21:G21)=0,H21&gt;0,I21=0),1,0)=1</formula>
    </cfRule>
    <cfRule type="expression" dxfId="176" priority="179" stopIfTrue="1">
      <formula>IF(AND(SUM($D21:G21)&gt;450,I21&gt;0),1,0)=1</formula>
    </cfRule>
  </conditionalFormatting>
  <conditionalFormatting sqref="J21">
    <cfRule type="expression" dxfId="175" priority="175" stopIfTrue="1">
      <formula>IF(AND(SUM($D21:I21)&gt;13,J21&gt;0),1,0)=1</formula>
    </cfRule>
    <cfRule type="expression" dxfId="174" priority="176" stopIfTrue="1">
      <formula>IF(AND(SUM($D21:I21)=0,J21&gt;0,K21&gt;0),1,0)=1</formula>
    </cfRule>
  </conditionalFormatting>
  <conditionalFormatting sqref="K21">
    <cfRule type="expression" dxfId="173" priority="172" stopIfTrue="1">
      <formula>IF(AND(SUM($D21:I21)=0,J21&gt;0,K21&gt;0),1,0)=1</formula>
    </cfRule>
    <cfRule type="expression" dxfId="172" priority="173" stopIfTrue="1">
      <formula>IF(AND(SUM($D21:I21)=0,J21&gt;0,K21=0),1,0)=1</formula>
    </cfRule>
    <cfRule type="expression" dxfId="171" priority="174" stopIfTrue="1">
      <formula>IF(AND(SUM($D21:I21)&gt;450,K21&gt;0),1,0)=1</formula>
    </cfRule>
  </conditionalFormatting>
  <conditionalFormatting sqref="L21">
    <cfRule type="expression" dxfId="170" priority="170" stopIfTrue="1">
      <formula>IF(AND(SUM($D21:K21)&gt;13,L21&gt;0),1,0)=1</formula>
    </cfRule>
    <cfRule type="expression" dxfId="169" priority="171" stopIfTrue="1">
      <formula>IF(AND(SUM($D21:K21)=0,L21&gt;0,M21&gt;0),1,0)=1</formula>
    </cfRule>
  </conditionalFormatting>
  <conditionalFormatting sqref="M21">
    <cfRule type="expression" dxfId="168" priority="167" stopIfTrue="1">
      <formula>IF(AND(SUM($D21:K21)=0,L21&gt;0,M21&gt;0),1,0)=1</formula>
    </cfRule>
    <cfRule type="expression" dxfId="167" priority="168" stopIfTrue="1">
      <formula>IF(AND(SUM($D21:K21)=0,L21&gt;0,M21=0),1,0)=1</formula>
    </cfRule>
    <cfRule type="expression" dxfId="166" priority="169" stopIfTrue="1">
      <formula>IF(AND(SUM($D21:K21)&gt;450,M21&gt;0),1,0)=1</formula>
    </cfRule>
  </conditionalFormatting>
  <conditionalFormatting sqref="H22">
    <cfRule type="expression" dxfId="165" priority="165" stopIfTrue="1">
      <formula>IF(AND(SUM($D22:G22)&gt;13,H22&gt;0),1,0)=1</formula>
    </cfRule>
    <cfRule type="expression" dxfId="164" priority="166" stopIfTrue="1">
      <formula>IF(AND(SUM($D22:G22)=0,H22&gt;0,I22&gt;0),1,0)=1</formula>
    </cfRule>
  </conditionalFormatting>
  <conditionalFormatting sqref="I22">
    <cfRule type="expression" dxfId="163" priority="162" stopIfTrue="1">
      <formula>IF(AND(SUM($D22:G22)=0,H22&gt;0,I22&gt;0),1,0)=1</formula>
    </cfRule>
    <cfRule type="expression" dxfId="162" priority="163" stopIfTrue="1">
      <formula>IF(AND(SUM($D22:G22)=0,H22&gt;0,I22=0),1,0)=1</formula>
    </cfRule>
    <cfRule type="expression" dxfId="161" priority="164" stopIfTrue="1">
      <formula>IF(AND(SUM($D22:G22)&gt;450,I22&gt;0),1,0)=1</formula>
    </cfRule>
  </conditionalFormatting>
  <conditionalFormatting sqref="J22">
    <cfRule type="expression" dxfId="160" priority="160" stopIfTrue="1">
      <formula>IF(AND(SUM($D22:I22)&gt;13,J22&gt;0),1,0)=1</formula>
    </cfRule>
    <cfRule type="expression" dxfId="159" priority="161" stopIfTrue="1">
      <formula>IF(AND(SUM($D22:I22)=0,J22&gt;0,K22&gt;0),1,0)=1</formula>
    </cfRule>
  </conditionalFormatting>
  <conditionalFormatting sqref="K22">
    <cfRule type="expression" dxfId="158" priority="157" stopIfTrue="1">
      <formula>IF(AND(SUM($D22:I22)=0,J22&gt;0,K22&gt;0),1,0)=1</formula>
    </cfRule>
    <cfRule type="expression" dxfId="157" priority="158" stopIfTrue="1">
      <formula>IF(AND(SUM($D22:I22)=0,J22&gt;0,K22=0),1,0)=1</formula>
    </cfRule>
    <cfRule type="expression" dxfId="156" priority="159" stopIfTrue="1">
      <formula>IF(AND(SUM($D22:I22)&gt;450,K22&gt;0),1,0)=1</formula>
    </cfRule>
  </conditionalFormatting>
  <conditionalFormatting sqref="L22">
    <cfRule type="expression" dxfId="155" priority="155" stopIfTrue="1">
      <formula>IF(AND(SUM($D22:K22)&gt;13,L22&gt;0),1,0)=1</formula>
    </cfRule>
    <cfRule type="expression" dxfId="154" priority="156" stopIfTrue="1">
      <formula>IF(AND(SUM($D22:K22)=0,L22&gt;0,M22&gt;0),1,0)=1</formula>
    </cfRule>
  </conditionalFormatting>
  <conditionalFormatting sqref="M22">
    <cfRule type="expression" dxfId="153" priority="152" stopIfTrue="1">
      <formula>IF(AND(SUM($D22:K22)=0,L22&gt;0,M22&gt;0),1,0)=1</formula>
    </cfRule>
    <cfRule type="expression" dxfId="152" priority="153" stopIfTrue="1">
      <formula>IF(AND(SUM($D22:K22)=0,L22&gt;0,M22=0),1,0)=1</formula>
    </cfRule>
    <cfRule type="expression" dxfId="151" priority="154" stopIfTrue="1">
      <formula>IF(AND(SUM($D22:K22)&gt;450,M22&gt;0),1,0)=1</formula>
    </cfRule>
  </conditionalFormatting>
  <conditionalFormatting sqref="H23">
    <cfRule type="expression" dxfId="150" priority="150" stopIfTrue="1">
      <formula>IF(AND(SUM($D23:G23)&gt;13,H23&gt;0),1,0)=1</formula>
    </cfRule>
    <cfRule type="expression" dxfId="149" priority="151" stopIfTrue="1">
      <formula>IF(AND(SUM($D23:G23)=0,H23&gt;0,I23&gt;0),1,0)=1</formula>
    </cfRule>
  </conditionalFormatting>
  <conditionalFormatting sqref="I23">
    <cfRule type="expression" dxfId="148" priority="147" stopIfTrue="1">
      <formula>IF(AND(SUM($D23:G23)=0,H23&gt;0,I23&gt;0),1,0)=1</formula>
    </cfRule>
    <cfRule type="expression" dxfId="147" priority="148" stopIfTrue="1">
      <formula>IF(AND(SUM($D23:G23)=0,H23&gt;0,I23=0),1,0)=1</formula>
    </cfRule>
    <cfRule type="expression" dxfId="146" priority="149" stopIfTrue="1">
      <formula>IF(AND(SUM($D23:G23)&gt;450,I23&gt;0),1,0)=1</formula>
    </cfRule>
  </conditionalFormatting>
  <conditionalFormatting sqref="J23">
    <cfRule type="expression" dxfId="145" priority="145" stopIfTrue="1">
      <formula>IF(AND(SUM($D23:I23)&gt;13,J23&gt;0),1,0)=1</formula>
    </cfRule>
    <cfRule type="expression" dxfId="144" priority="146" stopIfTrue="1">
      <formula>IF(AND(SUM($D23:I23)=0,J23&gt;0,K23&gt;0),1,0)=1</formula>
    </cfRule>
  </conditionalFormatting>
  <conditionalFormatting sqref="K23">
    <cfRule type="expression" dxfId="143" priority="142" stopIfTrue="1">
      <formula>IF(AND(SUM($D23:I23)=0,J23&gt;0,K23&gt;0),1,0)=1</formula>
    </cfRule>
    <cfRule type="expression" dxfId="142" priority="143" stopIfTrue="1">
      <formula>IF(AND(SUM($D23:I23)=0,J23&gt;0,K23=0),1,0)=1</formula>
    </cfRule>
    <cfRule type="expression" dxfId="141" priority="144" stopIfTrue="1">
      <formula>IF(AND(SUM($D23:I23)&gt;450,K23&gt;0),1,0)=1</formula>
    </cfRule>
  </conditionalFormatting>
  <conditionalFormatting sqref="L23">
    <cfRule type="expression" dxfId="140" priority="140" stopIfTrue="1">
      <formula>IF(AND(SUM($D23:K23)&gt;13,L23&gt;0),1,0)=1</formula>
    </cfRule>
    <cfRule type="expression" dxfId="139" priority="141" stopIfTrue="1">
      <formula>IF(AND(SUM($D23:K23)=0,L23&gt;0,M23&gt;0),1,0)=1</formula>
    </cfRule>
  </conditionalFormatting>
  <conditionalFormatting sqref="M23">
    <cfRule type="expression" dxfId="138" priority="137" stopIfTrue="1">
      <formula>IF(AND(SUM($D23:K23)=0,L23&gt;0,M23&gt;0),1,0)=1</formula>
    </cfRule>
    <cfRule type="expression" dxfId="137" priority="138" stopIfTrue="1">
      <formula>IF(AND(SUM($D23:K23)=0,L23&gt;0,M23=0),1,0)=1</formula>
    </cfRule>
    <cfRule type="expression" dxfId="136" priority="139" stopIfTrue="1">
      <formula>IF(AND(SUM($D23:K23)&gt;450,M23&gt;0),1,0)=1</formula>
    </cfRule>
  </conditionalFormatting>
  <conditionalFormatting sqref="H24">
    <cfRule type="expression" dxfId="135" priority="135" stopIfTrue="1">
      <formula>IF(AND(SUM($D24:G24)&gt;13,H24&gt;0),1,0)=1</formula>
    </cfRule>
    <cfRule type="expression" dxfId="134" priority="136" stopIfTrue="1">
      <formula>IF(AND(SUM($D24:G24)=0,H24&gt;0,I24&gt;0),1,0)=1</formula>
    </cfRule>
  </conditionalFormatting>
  <conditionalFormatting sqref="I24">
    <cfRule type="expression" dxfId="133" priority="132" stopIfTrue="1">
      <formula>IF(AND(SUM($D24:G24)=0,H24&gt;0,I24&gt;0),1,0)=1</formula>
    </cfRule>
    <cfRule type="expression" dxfId="132" priority="133" stopIfTrue="1">
      <formula>IF(AND(SUM($D24:G24)=0,H24&gt;0,I24=0),1,0)=1</formula>
    </cfRule>
    <cfRule type="expression" dxfId="131" priority="134" stopIfTrue="1">
      <formula>IF(AND(SUM($D24:G24)&gt;450,I24&gt;0),1,0)=1</formula>
    </cfRule>
  </conditionalFormatting>
  <conditionalFormatting sqref="J24">
    <cfRule type="expression" dxfId="130" priority="130" stopIfTrue="1">
      <formula>IF(AND(SUM($D24:I24)&gt;13,J24&gt;0),1,0)=1</formula>
    </cfRule>
    <cfRule type="expression" dxfId="129" priority="131" stopIfTrue="1">
      <formula>IF(AND(SUM($D24:I24)=0,J24&gt;0,K24&gt;0),1,0)=1</formula>
    </cfRule>
  </conditionalFormatting>
  <conditionalFormatting sqref="K24">
    <cfRule type="expression" dxfId="128" priority="127" stopIfTrue="1">
      <formula>IF(AND(SUM($D24:I24)=0,J24&gt;0,K24&gt;0),1,0)=1</formula>
    </cfRule>
    <cfRule type="expression" dxfId="127" priority="128" stopIfTrue="1">
      <formula>IF(AND(SUM($D24:I24)=0,J24&gt;0,K24=0),1,0)=1</formula>
    </cfRule>
    <cfRule type="expression" dxfId="126" priority="129" stopIfTrue="1">
      <formula>IF(AND(SUM($D24:I24)&gt;450,K24&gt;0),1,0)=1</formula>
    </cfRule>
  </conditionalFormatting>
  <conditionalFormatting sqref="L24">
    <cfRule type="expression" dxfId="125" priority="125" stopIfTrue="1">
      <formula>IF(AND(SUM($D24:K24)&gt;13,L24&gt;0),1,0)=1</formula>
    </cfRule>
    <cfRule type="expression" dxfId="124" priority="126" stopIfTrue="1">
      <formula>IF(AND(SUM($D24:K24)=0,L24&gt;0,M24&gt;0),1,0)=1</formula>
    </cfRule>
  </conditionalFormatting>
  <conditionalFormatting sqref="M24">
    <cfRule type="expression" dxfId="123" priority="122" stopIfTrue="1">
      <formula>IF(AND(SUM($D24:K24)=0,L24&gt;0,M24&gt;0),1,0)=1</formula>
    </cfRule>
    <cfRule type="expression" dxfId="122" priority="123" stopIfTrue="1">
      <formula>IF(AND(SUM($D24:K24)=0,L24&gt;0,M24=0),1,0)=1</formula>
    </cfRule>
    <cfRule type="expression" dxfId="121" priority="124" stopIfTrue="1">
      <formula>IF(AND(SUM($D24:K24)&gt;450,M24&gt;0),1,0)=1</formula>
    </cfRule>
  </conditionalFormatting>
  <conditionalFormatting sqref="H25">
    <cfRule type="expression" dxfId="120" priority="120" stopIfTrue="1">
      <formula>IF(AND(SUM($D25:G25)&gt;13,H25&gt;0),1,0)=1</formula>
    </cfRule>
    <cfRule type="expression" dxfId="119" priority="121" stopIfTrue="1">
      <formula>IF(AND(SUM($D25:G25)=0,H25&gt;0,I25&gt;0),1,0)=1</formula>
    </cfRule>
  </conditionalFormatting>
  <conditionalFormatting sqref="I25">
    <cfRule type="expression" dxfId="118" priority="117" stopIfTrue="1">
      <formula>IF(AND(SUM($D25:G25)=0,H25&gt;0,I25&gt;0),1,0)=1</formula>
    </cfRule>
    <cfRule type="expression" dxfId="117" priority="118" stopIfTrue="1">
      <formula>IF(AND(SUM($D25:G25)=0,H25&gt;0,I25=0),1,0)=1</formula>
    </cfRule>
    <cfRule type="expression" dxfId="116" priority="119" stopIfTrue="1">
      <formula>IF(AND(SUM($D25:G25)&gt;450,I25&gt;0),1,0)=1</formula>
    </cfRule>
  </conditionalFormatting>
  <conditionalFormatting sqref="J25">
    <cfRule type="expression" dxfId="115" priority="115" stopIfTrue="1">
      <formula>IF(AND(SUM($D25:I25)&gt;13,J25&gt;0),1,0)=1</formula>
    </cfRule>
    <cfRule type="expression" dxfId="114" priority="116" stopIfTrue="1">
      <formula>IF(AND(SUM($D25:I25)=0,J25&gt;0,K25&gt;0),1,0)=1</formula>
    </cfRule>
  </conditionalFormatting>
  <conditionalFormatting sqref="K25">
    <cfRule type="expression" dxfId="113" priority="112" stopIfTrue="1">
      <formula>IF(AND(SUM($D25:I25)=0,J25&gt;0,K25&gt;0),1,0)=1</formula>
    </cfRule>
    <cfRule type="expression" dxfId="112" priority="113" stopIfTrue="1">
      <formula>IF(AND(SUM($D25:I25)=0,J25&gt;0,K25=0),1,0)=1</formula>
    </cfRule>
    <cfRule type="expression" dxfId="111" priority="114" stopIfTrue="1">
      <formula>IF(AND(SUM($D25:I25)&gt;450,K25&gt;0),1,0)=1</formula>
    </cfRule>
  </conditionalFormatting>
  <conditionalFormatting sqref="L25">
    <cfRule type="expression" dxfId="110" priority="110" stopIfTrue="1">
      <formula>IF(AND(SUM($D25:K25)&gt;13,L25&gt;0),1,0)=1</formula>
    </cfRule>
    <cfRule type="expression" dxfId="109" priority="111" stopIfTrue="1">
      <formula>IF(AND(SUM($D25:K25)=0,L25&gt;0,M25&gt;0),1,0)=1</formula>
    </cfRule>
  </conditionalFormatting>
  <conditionalFormatting sqref="M25">
    <cfRule type="expression" dxfId="108" priority="107" stopIfTrue="1">
      <formula>IF(AND(SUM($D25:K25)=0,L25&gt;0,M25&gt;0),1,0)=1</formula>
    </cfRule>
    <cfRule type="expression" dxfId="107" priority="108" stopIfTrue="1">
      <formula>IF(AND(SUM($D25:K25)=0,L25&gt;0,M25=0),1,0)=1</formula>
    </cfRule>
    <cfRule type="expression" dxfId="106" priority="109" stopIfTrue="1">
      <formula>IF(AND(SUM($D25:K25)&gt;450,M25&gt;0),1,0)=1</formula>
    </cfRule>
  </conditionalFormatting>
  <conditionalFormatting sqref="H26">
    <cfRule type="expression" dxfId="105" priority="105" stopIfTrue="1">
      <formula>IF(AND(SUM($D26:G26)&gt;13,H26&gt;0),1,0)=1</formula>
    </cfRule>
    <cfRule type="expression" dxfId="104" priority="106" stopIfTrue="1">
      <formula>IF(AND(SUM($D26:G26)=0,H26&gt;0,I26&gt;0),1,0)=1</formula>
    </cfRule>
  </conditionalFormatting>
  <conditionalFormatting sqref="I26">
    <cfRule type="expression" dxfId="103" priority="102" stopIfTrue="1">
      <formula>IF(AND(SUM($D26:G26)=0,H26&gt;0,I26&gt;0),1,0)=1</formula>
    </cfRule>
    <cfRule type="expression" dxfId="102" priority="103" stopIfTrue="1">
      <formula>IF(AND(SUM($D26:G26)=0,H26&gt;0,I26=0),1,0)=1</formula>
    </cfRule>
    <cfRule type="expression" dxfId="101" priority="104" stopIfTrue="1">
      <formula>IF(AND(SUM($D26:G26)&gt;450,I26&gt;0),1,0)=1</formula>
    </cfRule>
  </conditionalFormatting>
  <conditionalFormatting sqref="J26">
    <cfRule type="expression" dxfId="100" priority="100" stopIfTrue="1">
      <formula>IF(AND(SUM($D26:I26)&gt;13,J26&gt;0),1,0)=1</formula>
    </cfRule>
    <cfRule type="expression" dxfId="99" priority="101" stopIfTrue="1">
      <formula>IF(AND(SUM($D26:I26)=0,J26&gt;0,K26&gt;0),1,0)=1</formula>
    </cfRule>
  </conditionalFormatting>
  <conditionalFormatting sqref="K26">
    <cfRule type="expression" dxfId="98" priority="97" stopIfTrue="1">
      <formula>IF(AND(SUM($D26:I26)=0,J26&gt;0,K26&gt;0),1,0)=1</formula>
    </cfRule>
    <cfRule type="expression" dxfId="97" priority="98" stopIfTrue="1">
      <formula>IF(AND(SUM($D26:I26)=0,J26&gt;0,K26=0),1,0)=1</formula>
    </cfRule>
    <cfRule type="expression" dxfId="96" priority="99" stopIfTrue="1">
      <formula>IF(AND(SUM($D26:I26)&gt;450,K26&gt;0),1,0)=1</formula>
    </cfRule>
  </conditionalFormatting>
  <conditionalFormatting sqref="L26">
    <cfRule type="expression" dxfId="95" priority="95" stopIfTrue="1">
      <formula>IF(AND(SUM($D26:K26)&gt;13,L26&gt;0),1,0)=1</formula>
    </cfRule>
    <cfRule type="expression" dxfId="94" priority="96" stopIfTrue="1">
      <formula>IF(AND(SUM($D26:K26)=0,L26&gt;0,M26&gt;0),1,0)=1</formula>
    </cfRule>
  </conditionalFormatting>
  <conditionalFormatting sqref="M26">
    <cfRule type="expression" dxfId="93" priority="92" stopIfTrue="1">
      <formula>IF(AND(SUM($D26:K26)=0,L26&gt;0,M26&gt;0),1,0)=1</formula>
    </cfRule>
    <cfRule type="expression" dxfId="92" priority="93" stopIfTrue="1">
      <formula>IF(AND(SUM($D26:K26)=0,L26&gt;0,M26=0),1,0)=1</formula>
    </cfRule>
    <cfRule type="expression" dxfId="91" priority="94" stopIfTrue="1">
      <formula>IF(AND(SUM($D26:K26)&gt;450,M26&gt;0),1,0)=1</formula>
    </cfRule>
  </conditionalFormatting>
  <conditionalFormatting sqref="H27">
    <cfRule type="expression" dxfId="90" priority="90" stopIfTrue="1">
      <formula>IF(AND(SUM($D27:G27)&gt;13,H27&gt;0),1,0)=1</formula>
    </cfRule>
    <cfRule type="expression" dxfId="89" priority="91" stopIfTrue="1">
      <formula>IF(AND(SUM($D27:G27)=0,H27&gt;0,I27&gt;0),1,0)=1</formula>
    </cfRule>
  </conditionalFormatting>
  <conditionalFormatting sqref="I27">
    <cfRule type="expression" dxfId="88" priority="87" stopIfTrue="1">
      <formula>IF(AND(SUM($D27:G27)=0,H27&gt;0,I27&gt;0),1,0)=1</formula>
    </cfRule>
    <cfRule type="expression" dxfId="87" priority="88" stopIfTrue="1">
      <formula>IF(AND(SUM($D27:G27)=0,H27&gt;0,I27=0),1,0)=1</formula>
    </cfRule>
    <cfRule type="expression" dxfId="86" priority="89" stopIfTrue="1">
      <formula>IF(AND(SUM($D27:G27)&gt;450,I27&gt;0),1,0)=1</formula>
    </cfRule>
  </conditionalFormatting>
  <conditionalFormatting sqref="J27">
    <cfRule type="expression" dxfId="85" priority="85" stopIfTrue="1">
      <formula>IF(AND(SUM($D27:I27)&gt;13,J27&gt;0),1,0)=1</formula>
    </cfRule>
    <cfRule type="expression" dxfId="84" priority="86" stopIfTrue="1">
      <formula>IF(AND(SUM($D27:I27)=0,J27&gt;0,K27&gt;0),1,0)=1</formula>
    </cfRule>
  </conditionalFormatting>
  <conditionalFormatting sqref="K27">
    <cfRule type="expression" dxfId="83" priority="82" stopIfTrue="1">
      <formula>IF(AND(SUM($D27:I27)=0,J27&gt;0,K27&gt;0),1,0)=1</formula>
    </cfRule>
    <cfRule type="expression" dxfId="82" priority="83" stopIfTrue="1">
      <formula>IF(AND(SUM($D27:I27)=0,J27&gt;0,K27=0),1,0)=1</formula>
    </cfRule>
    <cfRule type="expression" dxfId="81" priority="84" stopIfTrue="1">
      <formula>IF(AND(SUM($D27:I27)&gt;450,K27&gt;0),1,0)=1</formula>
    </cfRule>
  </conditionalFormatting>
  <conditionalFormatting sqref="L27">
    <cfRule type="expression" dxfId="80" priority="80" stopIfTrue="1">
      <formula>IF(AND(SUM($D27:K27)&gt;13,L27&gt;0),1,0)=1</formula>
    </cfRule>
    <cfRule type="expression" dxfId="79" priority="81" stopIfTrue="1">
      <formula>IF(AND(SUM($D27:K27)=0,L27&gt;0,M27&gt;0),1,0)=1</formula>
    </cfRule>
  </conditionalFormatting>
  <conditionalFormatting sqref="M27">
    <cfRule type="expression" dxfId="78" priority="77" stopIfTrue="1">
      <formula>IF(AND(SUM($D27:K27)=0,L27&gt;0,M27&gt;0),1,0)=1</formula>
    </cfRule>
    <cfRule type="expression" dxfId="77" priority="78" stopIfTrue="1">
      <formula>IF(AND(SUM($D27:K27)=0,L27&gt;0,M27=0),1,0)=1</formula>
    </cfRule>
    <cfRule type="expression" dxfId="76" priority="79" stopIfTrue="1">
      <formula>IF(AND(SUM($D27:K27)&gt;450,M27&gt;0),1,0)=1</formula>
    </cfRule>
  </conditionalFormatting>
  <conditionalFormatting sqref="D12">
    <cfRule type="cellIs" dxfId="75" priority="76" stopIfTrue="1" operator="greaterThan">
      <formula>0</formula>
    </cfRule>
  </conditionalFormatting>
  <conditionalFormatting sqref="E12">
    <cfRule type="expression" dxfId="74" priority="73" stopIfTrue="1">
      <formula>IF(AND(D12=0,E12&gt;0),1,0)=1</formula>
    </cfRule>
    <cfRule type="expression" dxfId="73" priority="74" stopIfTrue="1">
      <formula>IF(AND(D12&gt;0,E12=0),1,0)=1</formula>
    </cfRule>
    <cfRule type="expression" dxfId="72" priority="75" stopIfTrue="1">
      <formula>IF(AND(D12&gt;0,E12&gt;0),1,0)=1</formula>
    </cfRule>
  </conditionalFormatting>
  <conditionalFormatting sqref="D16">
    <cfRule type="cellIs" dxfId="71" priority="72" stopIfTrue="1" operator="greaterThan">
      <formula>0</formula>
    </cfRule>
  </conditionalFormatting>
  <conditionalFormatting sqref="P16">
    <cfRule type="expression" dxfId="70" priority="70" stopIfTrue="1">
      <formula>IF(AND(SUM(D16:M16)&gt;12,P16=""),1,0)=1</formula>
    </cfRule>
    <cfRule type="expression" dxfId="69" priority="71" stopIfTrue="1">
      <formula>IF(AND(SUM(D16:M16)&gt;12,P16&lt;&gt;""),1,0)=1</formula>
    </cfRule>
  </conditionalFormatting>
  <conditionalFormatting sqref="E16">
    <cfRule type="expression" dxfId="68" priority="67" stopIfTrue="1">
      <formula>IF(AND(D16=0,E16&gt;0),1,0)=1</formula>
    </cfRule>
    <cfRule type="expression" dxfId="67" priority="68" stopIfTrue="1">
      <formula>IF(AND(D16&gt;0,E16=0),1,0)=1</formula>
    </cfRule>
    <cfRule type="expression" dxfId="66" priority="69" stopIfTrue="1">
      <formula>IF(AND(D16&gt;0,E16&gt;0),1,0)=1</formula>
    </cfRule>
  </conditionalFormatting>
  <conditionalFormatting sqref="N16">
    <cfRule type="expression" dxfId="65" priority="65" stopIfTrue="1">
      <formula>IF(AND(SUM(D16:M16)&gt;12,N16&lt;&gt;""),1,0)=1</formula>
    </cfRule>
    <cfRule type="expression" dxfId="64" priority="66" stopIfTrue="1">
      <formula>IF(AND(SUM(D16:M16)&gt;13,N16=""),1,0)=1</formula>
    </cfRule>
  </conditionalFormatting>
  <conditionalFormatting sqref="O16">
    <cfRule type="expression" dxfId="63" priority="63" stopIfTrue="1">
      <formula>IF(AND(SUM(D16:M16)&gt;12,O16=""),1,0)=1</formula>
    </cfRule>
    <cfRule type="expression" dxfId="62" priority="64" stopIfTrue="1">
      <formula>IF(AND(SUM(D16:M16)&gt;12,O16&lt;&gt;""),1,0)=1</formula>
    </cfRule>
  </conditionalFormatting>
  <conditionalFormatting sqref="H16">
    <cfRule type="expression" dxfId="61" priority="61" stopIfTrue="1">
      <formula>IF(AND(SUM($D16:G16)&gt;13,H16&gt;0),1,0)=1</formula>
    </cfRule>
    <cfRule type="expression" dxfId="60" priority="62" stopIfTrue="1">
      <formula>IF(AND(SUM($D16:G16)=0,H16&gt;0,I16&gt;0),1,0)=1</formula>
    </cfRule>
  </conditionalFormatting>
  <conditionalFormatting sqref="I16">
    <cfRule type="expression" dxfId="59" priority="58" stopIfTrue="1">
      <formula>IF(AND(SUM($D16:G16)=0,H16&gt;0,I16&gt;0),1,0)=1</formula>
    </cfRule>
    <cfRule type="expression" dxfId="58" priority="59" stopIfTrue="1">
      <formula>IF(AND(SUM($D16:G16)=0,H16&gt;0,I16=0),1,0)=1</formula>
    </cfRule>
    <cfRule type="expression" dxfId="57" priority="60" stopIfTrue="1">
      <formula>IF(AND(SUM($D16:G16)&gt;450,I16&gt;0),1,0)=1</formula>
    </cfRule>
  </conditionalFormatting>
  <conditionalFormatting sqref="F16">
    <cfRule type="expression" dxfId="56" priority="56" stopIfTrue="1">
      <formula>IF(AND(SUM($D16:E16)&gt;13,F16&gt;0),1,0)=1</formula>
    </cfRule>
    <cfRule type="expression" dxfId="55" priority="57" stopIfTrue="1">
      <formula>IF(AND(SUM($D16:E16)=0,F16&gt;0,G16&gt;0),1,0)=1</formula>
    </cfRule>
  </conditionalFormatting>
  <conditionalFormatting sqref="G16">
    <cfRule type="expression" dxfId="54" priority="53" stopIfTrue="1">
      <formula>IF(AND(SUM($D16:E16)=0,F16&gt;0,G16&gt;0),1,0)=1</formula>
    </cfRule>
    <cfRule type="expression" dxfId="53" priority="54" stopIfTrue="1">
      <formula>IF(AND(SUM($D16:E16)=0,F16&gt;0,G16=0),1,0)=1</formula>
    </cfRule>
    <cfRule type="expression" dxfId="52" priority="55" stopIfTrue="1">
      <formula>IF(AND(SUM($D16:E16)&gt;450,G16&gt;0),1,0)=1</formula>
    </cfRule>
  </conditionalFormatting>
  <conditionalFormatting sqref="J16">
    <cfRule type="expression" dxfId="51" priority="51" stopIfTrue="1">
      <formula>IF(AND(SUM($D16:I16)&gt;13,J16&gt;0),1,0)=1</formula>
    </cfRule>
    <cfRule type="expression" dxfId="50" priority="52" stopIfTrue="1">
      <formula>IF(AND(SUM($D16:I16)=0,J16&gt;0,K16&gt;0),1,0)=1</formula>
    </cfRule>
  </conditionalFormatting>
  <conditionalFormatting sqref="K16">
    <cfRule type="expression" dxfId="49" priority="48" stopIfTrue="1">
      <formula>IF(AND(SUM($D16:I16)=0,J16&gt;0,K16&gt;0),1,0)=1</formula>
    </cfRule>
    <cfRule type="expression" dxfId="48" priority="49" stopIfTrue="1">
      <formula>IF(AND(SUM($D16:I16)=0,J16&gt;0,K16=0),1,0)=1</formula>
    </cfRule>
    <cfRule type="expression" dxfId="47" priority="50" stopIfTrue="1">
      <formula>IF(AND(SUM($D16:I16)&gt;450,K16&gt;0),1,0)=1</formula>
    </cfRule>
  </conditionalFormatting>
  <conditionalFormatting sqref="L16">
    <cfRule type="expression" dxfId="46" priority="46" stopIfTrue="1">
      <formula>IF(AND(SUM($D16:K16)&gt;13,L16&gt;0),1,0)=1</formula>
    </cfRule>
    <cfRule type="expression" dxfId="45" priority="47" stopIfTrue="1">
      <formula>IF(AND(SUM($D16:K16)=0,L16&gt;0,M16&gt;0),1,0)=1</formula>
    </cfRule>
  </conditionalFormatting>
  <conditionalFormatting sqref="M16">
    <cfRule type="expression" dxfId="44" priority="43" stopIfTrue="1">
      <formula>IF(AND(SUM($D16:K16)=0,L16&gt;0,M16&gt;0),1,0)=1</formula>
    </cfRule>
    <cfRule type="expression" dxfId="43" priority="44" stopIfTrue="1">
      <formula>IF(AND(SUM($D16:K16)=0,L16&gt;0,M16=0),1,0)=1</formula>
    </cfRule>
    <cfRule type="expression" dxfId="42" priority="45" stopIfTrue="1">
      <formula>IF(AND(SUM($D16:K16)&gt;450,M16&gt;0),1,0)=1</formula>
    </cfRule>
  </conditionalFormatting>
  <conditionalFormatting sqref="D18">
    <cfRule type="cellIs" dxfId="41" priority="42" stopIfTrue="1" operator="greaterThan">
      <formula>0</formula>
    </cfRule>
  </conditionalFormatting>
  <conditionalFormatting sqref="P18">
    <cfRule type="expression" dxfId="40" priority="40" stopIfTrue="1">
      <formula>IF(AND(SUM(D18:M18)&gt;12,P18=""),1,0)=1</formula>
    </cfRule>
    <cfRule type="expression" dxfId="39" priority="41" stopIfTrue="1">
      <formula>IF(AND(SUM(D18:M18)&gt;12,P18&lt;&gt;""),1,0)=1</formula>
    </cfRule>
  </conditionalFormatting>
  <conditionalFormatting sqref="E18">
    <cfRule type="expression" dxfId="38" priority="37" stopIfTrue="1">
      <formula>IF(AND(D18=0,E18&gt;0),1,0)=1</formula>
    </cfRule>
    <cfRule type="expression" dxfId="37" priority="38" stopIfTrue="1">
      <formula>IF(AND(D18&gt;0,E18=0),1,0)=1</formula>
    </cfRule>
    <cfRule type="expression" dxfId="36" priority="39" stopIfTrue="1">
      <formula>IF(AND(D18&gt;0,E18&gt;0),1,0)=1</formula>
    </cfRule>
  </conditionalFormatting>
  <conditionalFormatting sqref="N18">
    <cfRule type="expression" dxfId="35" priority="35" stopIfTrue="1">
      <formula>IF(AND(SUM(D18:M18)&gt;12,N18&lt;&gt;""),1,0)=1</formula>
    </cfRule>
    <cfRule type="expression" dxfId="34" priority="36" stopIfTrue="1">
      <formula>IF(AND(SUM(D18:M18)&gt;13,N18=""),1,0)=1</formula>
    </cfRule>
  </conditionalFormatting>
  <conditionalFormatting sqref="O18">
    <cfRule type="expression" dxfId="33" priority="33" stopIfTrue="1">
      <formula>IF(AND(SUM(D18:M18)&gt;12,O18=""),1,0)=1</formula>
    </cfRule>
    <cfRule type="expression" dxfId="32" priority="34" stopIfTrue="1">
      <formula>IF(AND(SUM(D18:M18)&gt;12,O18&lt;&gt;""),1,0)=1</formula>
    </cfRule>
  </conditionalFormatting>
  <conditionalFormatting sqref="H18">
    <cfRule type="expression" dxfId="31" priority="31" stopIfTrue="1">
      <formula>IF(AND(SUM($D18:G18)&gt;13,H18&gt;0),1,0)=1</formula>
    </cfRule>
    <cfRule type="expression" dxfId="30" priority="32" stopIfTrue="1">
      <formula>IF(AND(SUM($D18:G18)=0,H18&gt;0,I18&gt;0),1,0)=1</formula>
    </cfRule>
  </conditionalFormatting>
  <conditionalFormatting sqref="I18">
    <cfRule type="expression" dxfId="29" priority="28" stopIfTrue="1">
      <formula>IF(AND(SUM($D18:G18)=0,H18&gt;0,I18&gt;0),1,0)=1</formula>
    </cfRule>
    <cfRule type="expression" dxfId="28" priority="29" stopIfTrue="1">
      <formula>IF(AND(SUM($D18:G18)=0,H18&gt;0,I18=0),1,0)=1</formula>
    </cfRule>
    <cfRule type="expression" dxfId="27" priority="30" stopIfTrue="1">
      <formula>IF(AND(SUM($D18:G18)&gt;450,I18&gt;0),1,0)=1</formula>
    </cfRule>
  </conditionalFormatting>
  <conditionalFormatting sqref="F18">
    <cfRule type="expression" dxfId="26" priority="26" stopIfTrue="1">
      <formula>IF(AND(SUM($D18:E18)&gt;13,F18&gt;0),1,0)=1</formula>
    </cfRule>
    <cfRule type="expression" dxfId="25" priority="27" stopIfTrue="1">
      <formula>IF(AND(SUM($D18:E18)=0,F18&gt;0,G18&gt;0),1,0)=1</formula>
    </cfRule>
  </conditionalFormatting>
  <conditionalFormatting sqref="G18">
    <cfRule type="expression" dxfId="24" priority="23" stopIfTrue="1">
      <formula>IF(AND(SUM($D18:E18)=0,F18&gt;0,G18&gt;0),1,0)=1</formula>
    </cfRule>
    <cfRule type="expression" dxfId="23" priority="24" stopIfTrue="1">
      <formula>IF(AND(SUM($D18:E18)=0,F18&gt;0,G18=0),1,0)=1</formula>
    </cfRule>
    <cfRule type="expression" dxfId="22" priority="25" stopIfTrue="1">
      <formula>IF(AND(SUM($D18:E18)&gt;450,G18&gt;0),1,0)=1</formula>
    </cfRule>
  </conditionalFormatting>
  <conditionalFormatting sqref="J18">
    <cfRule type="expression" dxfId="21" priority="21" stopIfTrue="1">
      <formula>IF(AND(SUM($D18:I18)&gt;13,J18&gt;0),1,0)=1</formula>
    </cfRule>
    <cfRule type="expression" dxfId="20" priority="22" stopIfTrue="1">
      <formula>IF(AND(SUM($D18:I18)=0,J18&gt;0,K18&gt;0),1,0)=1</formula>
    </cfRule>
  </conditionalFormatting>
  <conditionalFormatting sqref="K18">
    <cfRule type="expression" dxfId="19" priority="18" stopIfTrue="1">
      <formula>IF(AND(SUM($D18:I18)=0,J18&gt;0,K18&gt;0),1,0)=1</formula>
    </cfRule>
    <cfRule type="expression" dxfId="18" priority="19" stopIfTrue="1">
      <formula>IF(AND(SUM($D18:I18)=0,J18&gt;0,K18=0),1,0)=1</formula>
    </cfRule>
    <cfRule type="expression" dxfId="17" priority="20" stopIfTrue="1">
      <formula>IF(AND(SUM($D18:I18)&gt;450,K18&gt;0),1,0)=1</formula>
    </cfRule>
  </conditionalFormatting>
  <conditionalFormatting sqref="L18">
    <cfRule type="expression" dxfId="16" priority="16" stopIfTrue="1">
      <formula>IF(AND(SUM($D18:K18)&gt;13,L18&gt;0),1,0)=1</formula>
    </cfRule>
    <cfRule type="expression" dxfId="15" priority="17" stopIfTrue="1">
      <formula>IF(AND(SUM($D18:K18)=0,L18&gt;0,M18&gt;0),1,0)=1</formula>
    </cfRule>
  </conditionalFormatting>
  <conditionalFormatting sqref="M18">
    <cfRule type="expression" dxfId="14" priority="13" stopIfTrue="1">
      <formula>IF(AND(SUM($D18:K18)=0,L18&gt;0,M18&gt;0),1,0)=1</formula>
    </cfRule>
    <cfRule type="expression" dxfId="13" priority="14" stopIfTrue="1">
      <formula>IF(AND(SUM($D18:K18)=0,L18&gt;0,M18=0),1,0)=1</formula>
    </cfRule>
    <cfRule type="expression" dxfId="12" priority="15" stopIfTrue="1">
      <formula>IF(AND(SUM($D18:K18)&gt;450,M18&gt;0),1,0)=1</formula>
    </cfRule>
  </conditionalFormatting>
  <conditionalFormatting sqref="S10">
    <cfRule type="notContainsBlanks" dxfId="11" priority="12" stopIfTrue="1">
      <formula>LEN(TRIM(S10))&gt;0</formula>
    </cfRule>
  </conditionalFormatting>
  <conditionalFormatting sqref="S12">
    <cfRule type="notContainsBlanks" dxfId="10" priority="11" stopIfTrue="1">
      <formula>LEN(TRIM(S12))&gt;0</formula>
    </cfRule>
  </conditionalFormatting>
  <conditionalFormatting sqref="S14">
    <cfRule type="notContainsBlanks" dxfId="9" priority="10" stopIfTrue="1">
      <formula>LEN(TRIM(S14))&gt;0</formula>
    </cfRule>
  </conditionalFormatting>
  <conditionalFormatting sqref="S16">
    <cfRule type="notContainsBlanks" dxfId="8" priority="9" stopIfTrue="1">
      <formula>LEN(TRIM(S16))&gt;0</formula>
    </cfRule>
  </conditionalFormatting>
  <conditionalFormatting sqref="S18">
    <cfRule type="notContainsBlanks" dxfId="7" priority="8" stopIfTrue="1">
      <formula>LEN(TRIM(S18))&gt;0</formula>
    </cfRule>
  </conditionalFormatting>
  <conditionalFormatting sqref="S21">
    <cfRule type="notContainsBlanks" dxfId="6" priority="7" stopIfTrue="1">
      <formula>LEN(TRIM(S21))&gt;0</formula>
    </cfRule>
  </conditionalFormatting>
  <conditionalFormatting sqref="S22">
    <cfRule type="notContainsBlanks" dxfId="5" priority="6" stopIfTrue="1">
      <formula>LEN(TRIM(S22))&gt;0</formula>
    </cfRule>
  </conditionalFormatting>
  <conditionalFormatting sqref="S23">
    <cfRule type="notContainsBlanks" dxfId="4" priority="5" stopIfTrue="1">
      <formula>LEN(TRIM(S23))&gt;0</formula>
    </cfRule>
  </conditionalFormatting>
  <conditionalFormatting sqref="S24">
    <cfRule type="notContainsBlanks" dxfId="3" priority="4" stopIfTrue="1">
      <formula>LEN(TRIM(S24))&gt;0</formula>
    </cfRule>
  </conditionalFormatting>
  <conditionalFormatting sqref="S25">
    <cfRule type="notContainsBlanks" dxfId="2" priority="3" stopIfTrue="1">
      <formula>LEN(TRIM(S25))&gt;0</formula>
    </cfRule>
  </conditionalFormatting>
  <conditionalFormatting sqref="S26">
    <cfRule type="notContainsBlanks" dxfId="1" priority="2" stopIfTrue="1">
      <formula>LEN(TRIM(S26))&gt;0</formula>
    </cfRule>
  </conditionalFormatting>
  <conditionalFormatting sqref="S27">
    <cfRule type="notContainsBlanks" dxfId="0" priority="1" stopIfTrue="1">
      <formula>LEN(TRIM(S27))&gt;0</formula>
    </cfRule>
  </conditionalFormatting>
  <dataValidations count="10">
    <dataValidation type="whole" operator="greaterThan" allowBlank="1" showInputMessage="1" showErrorMessage="1" errorTitle="Beschränkung der Eingabewerte" error="Die untere Grenze für Kapitaldienste ist  500 EUR" sqref="D12">
      <formula1>499</formula1>
    </dataValidation>
    <dataValidation type="whole" operator="equal" allowBlank="1" showInputMessage="1" showErrorMessage="1" sqref="N10:P12">
      <formula1>0</formula1>
    </dataValidation>
    <dataValidation type="decimal" allowBlank="1" showInputMessage="1" showErrorMessage="1" sqref="N19:P20 N17:P17 N15:P15">
      <formula1>0</formula1>
      <formula2>0.3</formula2>
    </dataValidation>
    <dataValidation type="decimal" allowBlank="1" showInputMessage="1" showErrorMessage="1" error="Zinswerte werden nur bis 33% angenommen;alles andere ist sittenwirdrig! " sqref="N14 N16 N21:N27 N18">
      <formula1>0</formula1>
      <formula2>0.33</formula2>
    </dataValidation>
    <dataValidation type="whole" allowBlank="1" showInputMessage="1" showErrorMessage="1" error="Es werden max 60 tigungsfrei eMonate angenommen! " sqref="O14 O16 O21:O27 O18">
      <formula1>0</formula1>
      <formula2>60</formula2>
    </dataValidation>
    <dataValidation type="whole" allowBlank="1" showInputMessage="1" showErrorMessage="1" error="er werden maximal 20 Tilgungsjahre angenommen" sqref="P14 P16 P21:P27 P18">
      <formula1>1</formula1>
      <formula2>20</formula2>
    </dataValidation>
    <dataValidation type="list" allowBlank="1" showErrorMessage="1" promptTitle="Mit Mauszeiger auf Pfeil klicken" prompt="In Menü-Liste den Monat anklicken, in dem investiert werden soll._x000a_Keine Eingabe = Januar" sqref="E14 G18 M18 K18 I18 E18 M21:M27 K21:K27 I21:I27 G16 M16 K16 I16 G14 M14 K14 I14 E21:E27 G21:G27 E16">
      <formula1>$D$35:$O$35</formula1>
    </dataValidation>
    <dataValidation type="whole" operator="greaterThan" allowBlank="1" showInputMessage="1" showErrorMessage="1" error="Werte unter410 EUR als Betriebsausgaben im Jahr abschreiben oder in den Sammelposten eingeben" sqref="D14 J14 H14 F14 L14 D16 J16 H16 F16 L16 D21:D27 J21:J27 H21:H27 F21:F27 L21:L27 D18 J18 H18 F18 L18">
      <formula1>409</formula1>
    </dataValidation>
    <dataValidation type="list" allowBlank="1" showInputMessage="1" showErrorMessage="1" sqref="E12 E10">
      <formula1>$C$143:$C$154</formula1>
    </dataValidation>
    <dataValidation type="whole" errorStyle="information" operator="greaterThan" allowBlank="1" showInputMessage="1" showErrorMessage="1" errorTitle="Beschränkung der Eingabewerte" sqref="D10">
      <formula1>499</formula1>
    </dataValidation>
  </dataValidations>
  <printOptions horizontalCentered="1"/>
  <pageMargins left="0.59055118110236227" right="0.59055118110236227" top="0.59055118110236227" bottom="0.6692913385826772" header="0.31496062992125984" footer="0.31496062992125984"/>
  <pageSetup paperSize="9" scale="48" orientation="landscape" r:id="rId1"/>
  <headerFooter alignWithMargins="0">
    <oddFooter>&amp;L&amp;"Verdana,Standard"&amp;9&amp;A&amp;C&amp;"Verdana,Standard"&amp;9&amp;F&amp;R&amp;"Verdana,Standard"&amp;9© 2017 www.Kindermanns.de
Jürgen Erlewein</oddFooter>
  </headerFooter>
  <rowBreaks count="1" manualBreakCount="1">
    <brk id="33" min="1" max="15" man="1"/>
  </rowBreaks>
  <ignoredErrors>
    <ignoredError sqref="M130 J8 L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pageSetUpPr fitToPage="1"/>
  </sheetPr>
  <dimension ref="A1:EZ112"/>
  <sheetViews>
    <sheetView showGridLines="0" topLeftCell="A2" zoomScale="78" zoomScaleNormal="78" workbookViewId="0">
      <selection activeCell="I1" sqref="I1"/>
    </sheetView>
  </sheetViews>
  <sheetFormatPr baseColWidth="10" defaultColWidth="11.42578125" defaultRowHeight="12.75" x14ac:dyDescent="0.2"/>
  <cols>
    <col min="1" max="1" width="1.28515625" style="19" customWidth="1"/>
    <col min="2" max="7" width="10.7109375" style="19" customWidth="1"/>
    <col min="8" max="8" width="10.7109375" style="829" customWidth="1"/>
    <col min="9" max="22" width="10.7109375" style="19" customWidth="1"/>
    <col min="23" max="23" width="2" style="19" customWidth="1"/>
    <col min="24" max="24" width="36.140625" style="19" customWidth="1"/>
    <col min="25" max="36" width="11.42578125" style="19" customWidth="1"/>
    <col min="37" max="156" width="11.42578125" style="19" hidden="1" customWidth="1"/>
    <col min="157" max="16384" width="11.42578125" style="19"/>
  </cols>
  <sheetData>
    <row r="1" spans="1:19" ht="66" customHeight="1" x14ac:dyDescent="0.2"/>
    <row r="2" spans="1:19" ht="38.25" customHeight="1" x14ac:dyDescent="0.2">
      <c r="A2" s="18"/>
      <c r="B2" s="18" t="str">
        <f>'Deckblatt|Cover'!$M$7</f>
        <v>Deutsch</v>
      </c>
      <c r="H2" s="19"/>
      <c r="L2" s="1223" t="str">
        <f>"Cockpit-Chart "&amp;IF(B2="English","for Financial Plan of Enterprise ","zum Finanzplan des Unternehmens ")&amp;'Deckblatt Gruender|Data Founder'!D11</f>
        <v xml:space="preserve">Cockpit-Chart zum Finanzplan des Unternehmens </v>
      </c>
    </row>
    <row r="4" spans="1:19" ht="22.5" x14ac:dyDescent="0.3">
      <c r="E4" s="828" t="str">
        <f>IF('Deckblatt Gruender|Data Founder'!$D$8="English","Sales and Income (EUR)","Umsätze und Einnahmen (EUR)")</f>
        <v>Umsätze und Einnahmen (EUR)</v>
      </c>
      <c r="L4" s="828" t="str">
        <f>IF('Deckblatt Gruender|Data Founder'!$D$8="English","Capital Expenditures (EUR)","Investitionen (EUR)")</f>
        <v>Investitionen (EUR)</v>
      </c>
      <c r="S4" s="828" t="str">
        <f>IF('Deckblatt Gruender|Data Founder'!$D$8="English","Cost of Operation II (EUR)","Betriebskosten II (EUR)")</f>
        <v>Betriebskosten II (EUR)</v>
      </c>
    </row>
    <row r="25" spans="2:24" s="829" customFormat="1" x14ac:dyDescent="0.2"/>
    <row r="28" spans="2:24" x14ac:dyDescent="0.2">
      <c r="B28" s="829"/>
      <c r="C28" s="829"/>
      <c r="D28" s="829"/>
      <c r="E28" s="829"/>
      <c r="F28" s="829"/>
      <c r="I28" s="829"/>
      <c r="J28" s="829"/>
      <c r="K28" s="829"/>
      <c r="L28" s="829"/>
      <c r="M28" s="829"/>
      <c r="O28" s="829"/>
      <c r="P28" s="829"/>
      <c r="Q28" s="829"/>
      <c r="R28" s="829"/>
      <c r="S28" s="829"/>
      <c r="T28" s="829"/>
      <c r="U28" s="829"/>
      <c r="V28" s="829"/>
      <c r="W28" s="829"/>
      <c r="X28" s="829"/>
    </row>
    <row r="29" spans="2:24" x14ac:dyDescent="0.2">
      <c r="B29" s="829"/>
      <c r="C29" s="829"/>
      <c r="D29" s="829"/>
      <c r="E29" s="829"/>
      <c r="F29" s="829"/>
      <c r="H29" s="19" t="s">
        <v>455</v>
      </c>
      <c r="I29" s="829"/>
      <c r="J29" s="829"/>
      <c r="K29" s="829"/>
      <c r="L29" s="829"/>
      <c r="M29" s="829"/>
      <c r="O29" s="19" t="s">
        <v>454</v>
      </c>
      <c r="P29" s="829"/>
      <c r="V29" s="19" t="s">
        <v>453</v>
      </c>
    </row>
    <row r="31" spans="2:24" ht="22.5" x14ac:dyDescent="0.3">
      <c r="E31" s="828" t="str">
        <f>IF('Deckblatt Gruender|Data Founder'!$D$8="English","Earnings before Tax (EUR)","Ergebnis vor Steuer (EUR)")</f>
        <v>Ergebnis vor Steuer (EUR)</v>
      </c>
      <c r="L31" s="828" t="str">
        <f>IF('Deckblatt Gruender|Data Founder'!$D$8="English","Liquidity Trend (EUR)","Liquiditätsverlauf (EUR)")</f>
        <v>Liquiditätsverlauf (EUR)</v>
      </c>
      <c r="S31" s="828" t="str">
        <f>IF('Deckblatt Gruender|Data Founder'!$D$8="English","Financing (EUR)","Finanzierung (EUR)")</f>
        <v>Finanzierung (EUR)</v>
      </c>
    </row>
    <row r="52" spans="2:24" s="829" customFormat="1" x14ac:dyDescent="0.2"/>
    <row r="55" spans="2:24" x14ac:dyDescent="0.2">
      <c r="B55" s="829"/>
      <c r="C55" s="829"/>
      <c r="D55" s="829"/>
      <c r="E55" s="829"/>
      <c r="F55" s="829"/>
      <c r="I55" s="829"/>
      <c r="J55" s="829"/>
      <c r="K55" s="829"/>
      <c r="L55" s="829"/>
      <c r="M55" s="829"/>
      <c r="P55" s="829"/>
      <c r="Q55" s="829"/>
      <c r="R55" s="829"/>
      <c r="S55" s="829"/>
      <c r="T55" s="829"/>
      <c r="V55" s="829"/>
      <c r="W55" s="829"/>
      <c r="X55" s="829"/>
    </row>
    <row r="56" spans="2:24" x14ac:dyDescent="0.2">
      <c r="B56" s="829"/>
      <c r="C56" s="829"/>
      <c r="D56" s="829"/>
      <c r="E56" s="829"/>
      <c r="F56" s="829"/>
      <c r="H56" s="19" t="s">
        <v>458</v>
      </c>
      <c r="I56" s="829"/>
      <c r="J56" s="829"/>
      <c r="K56" s="829"/>
      <c r="L56" s="829"/>
      <c r="M56" s="829"/>
      <c r="O56" s="19" t="s">
        <v>457</v>
      </c>
      <c r="P56" s="829"/>
      <c r="V56" s="19" t="s">
        <v>456</v>
      </c>
    </row>
    <row r="57" spans="2:24" ht="6" customHeight="1" x14ac:dyDescent="0.2"/>
    <row r="58" spans="2:24" x14ac:dyDescent="0.2">
      <c r="U58" s="18"/>
      <c r="V58" s="18"/>
    </row>
    <row r="60" spans="2:24" ht="16.5" customHeight="1" x14ac:dyDescent="0.2"/>
    <row r="74" spans="7:8" x14ac:dyDescent="0.2">
      <c r="G74" s="830"/>
      <c r="H74" s="19"/>
    </row>
    <row r="106" spans="8:8" s="1305" customFormat="1" x14ac:dyDescent="0.2">
      <c r="H106" s="1304"/>
    </row>
    <row r="107" spans="8:8" s="1305" customFormat="1" x14ac:dyDescent="0.2">
      <c r="H107" s="1304"/>
    </row>
    <row r="108" spans="8:8" s="1305" customFormat="1" x14ac:dyDescent="0.2">
      <c r="H108" s="1304"/>
    </row>
    <row r="109" spans="8:8" s="1305" customFormat="1" x14ac:dyDescent="0.2">
      <c r="H109" s="1304"/>
    </row>
    <row r="110" spans="8:8" s="1305" customFormat="1" x14ac:dyDescent="0.2">
      <c r="H110" s="1304"/>
    </row>
    <row r="111" spans="8:8" s="1305" customFormat="1" x14ac:dyDescent="0.2">
      <c r="H111" s="1304"/>
    </row>
    <row r="112" spans="8:8" s="1305" customFormat="1" x14ac:dyDescent="0.2">
      <c r="H112" s="1304"/>
    </row>
  </sheetData>
  <sheetProtection algorithmName="SHA-512" hashValue="vsMFSR1bGnHp+DtllJOI/ySbIB+pU6rYL34Q0hU52JoV1Xho/FNUg71I606R9vA+zMCxgBaMQ4uROptNWJn7WA==" saltValue="KZgWlujfxT+eYQG7tFqaYA==" spinCount="100000" sheet="1" objects="1" scenarios="1"/>
  <printOptions horizontalCentered="1"/>
  <pageMargins left="0.51181102362204722" right="0.51181102362204722" top="0.59055118110236227" bottom="0.78740157480314965" header="0.31496062992125984" footer="0.51181102362204722"/>
  <pageSetup paperSize="9" scale="60" orientation="landscape" verticalDpi="0" r:id="rId1"/>
  <headerFooter>
    <oddFooter xml:space="preserve">&amp;L&amp;A&amp;C&amp;F&amp;R© copyright 2017 Juergen Erlewein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EZ45"/>
  <sheetViews>
    <sheetView showGridLines="0" topLeftCell="A2" zoomScale="80" zoomScaleNormal="80" workbookViewId="0">
      <selection activeCell="F39" sqref="F39"/>
    </sheetView>
  </sheetViews>
  <sheetFormatPr baseColWidth="10" defaultColWidth="11.5703125" defaultRowHeight="12.75" x14ac:dyDescent="0.2"/>
  <cols>
    <col min="1" max="15" width="11.5703125" style="19" customWidth="1"/>
    <col min="16" max="16" width="15.42578125" style="19" customWidth="1"/>
    <col min="17" max="17" width="8" style="19" customWidth="1"/>
    <col min="18" max="19" width="15" style="19" customWidth="1"/>
    <col min="20" max="36" width="11.5703125" style="19" customWidth="1"/>
    <col min="37" max="99" width="11.5703125" style="19" hidden="1" customWidth="1"/>
    <col min="100" max="101" width="142.5703125" style="19" hidden="1" customWidth="1"/>
    <col min="102" max="156" width="11.5703125" style="19" hidden="1" customWidth="1"/>
    <col min="157" max="16384" width="11.5703125" style="19"/>
  </cols>
  <sheetData>
    <row r="1" spans="1:103" ht="66" customHeight="1" x14ac:dyDescent="0.2"/>
    <row r="2" spans="1:103" ht="16.5" customHeight="1" x14ac:dyDescent="0.2"/>
    <row r="3" spans="1:103" x14ac:dyDescent="0.2">
      <c r="A3" s="1218"/>
      <c r="B3" s="18" t="str">
        <f>'Deckblatt Gruender|Data Founder'!D8</f>
        <v>Deutsch</v>
      </c>
    </row>
    <row r="4" spans="1:103" ht="18" x14ac:dyDescent="0.2">
      <c r="B4" s="29" t="str">
        <f>IF($B$3="English",IF(CW4="","",CW4),IF(CV4="","",CV4))</f>
        <v>Finanzplanung für Gründer und Gründerinnen leicht gemacht!</v>
      </c>
      <c r="CV4" s="20" t="s">
        <v>431</v>
      </c>
      <c r="CW4" s="20" t="s">
        <v>439</v>
      </c>
    </row>
    <row r="5" spans="1:103" ht="18" x14ac:dyDescent="0.2">
      <c r="B5" s="29" t="str">
        <f t="shared" ref="B5:B29" si="0">IF($B$3="English",IF(CW5="","",CW5),IF(CV5="","",CV5))</f>
        <v/>
      </c>
      <c r="AB5" s="870"/>
      <c r="CV5" s="20"/>
      <c r="CW5" s="20"/>
    </row>
    <row r="6" spans="1:103" ht="18" x14ac:dyDescent="0.2">
      <c r="B6" s="29" t="str">
        <f t="shared" si="0"/>
        <v>Vorwort</v>
      </c>
      <c r="AB6" s="870"/>
      <c r="CV6" s="20" t="s">
        <v>432</v>
      </c>
      <c r="CW6" s="20" t="s">
        <v>440</v>
      </c>
    </row>
    <row r="7" spans="1:103" ht="15" x14ac:dyDescent="0.2">
      <c r="B7" s="20" t="str">
        <f t="shared" si="0"/>
        <v/>
      </c>
      <c r="CV7" s="21"/>
      <c r="CW7" s="21"/>
    </row>
    <row r="8" spans="1:103" ht="15" x14ac:dyDescent="0.2">
      <c r="B8" s="25" t="str">
        <f t="shared" si="0"/>
        <v>Finanzplanungstabellen sind für Freiberufler,  Einzelunternehmer, umsatzsteuerpflichtigen Unternehmen, wie Personengesellschaften (z.B. GbR, KG),</v>
      </c>
      <c r="CV8" s="17" t="s">
        <v>466</v>
      </c>
      <c r="CW8" s="17" t="s">
        <v>450</v>
      </c>
      <c r="CX8" s="17"/>
    </row>
    <row r="9" spans="1:103" ht="15" x14ac:dyDescent="0.2">
      <c r="B9" s="25" t="str">
        <f t="shared" si="0"/>
        <v xml:space="preserve">Einzelhandel und Kapitalgesellschaften (wie GmbH) verwendbar.   </v>
      </c>
      <c r="CV9" s="19" t="s">
        <v>464</v>
      </c>
      <c r="CW9" s="19" t="s">
        <v>465</v>
      </c>
      <c r="CX9" s="17"/>
    </row>
    <row r="10" spans="1:103" ht="15" x14ac:dyDescent="0.2">
      <c r="B10" s="25" t="str">
        <f t="shared" si="0"/>
        <v/>
      </c>
      <c r="CW10" s="19" t="s">
        <v>173</v>
      </c>
    </row>
    <row r="11" spans="1:103" ht="15" x14ac:dyDescent="0.2">
      <c r="B11" s="25" t="str">
        <f t="shared" si="0"/>
        <v xml:space="preserve">Vor der Finanzplanung haben Existenzgründer und Existenzgründerinnen in der Regel eine große Scheu. Für Viele ist die Finanzplanung ein Buch </v>
      </c>
      <c r="CV11" s="17" t="s">
        <v>526</v>
      </c>
      <c r="CW11" s="19" t="s">
        <v>449</v>
      </c>
      <c r="CX11" s="9"/>
    </row>
    <row r="12" spans="1:103" ht="18" x14ac:dyDescent="0.2">
      <c r="B12" s="25" t="str">
        <f t="shared" si="0"/>
        <v>mit sieben Siegeln,ein bisher unbekanntes Terrain. Aber zu jeder Existenzgründung und zu jedem  Business-Plan gehört nun einmal auch eine grobe</v>
      </c>
      <c r="CV12" s="19" t="s">
        <v>527</v>
      </c>
      <c r="CW12" s="17" t="s">
        <v>531</v>
      </c>
      <c r="CX12" s="31"/>
    </row>
    <row r="13" spans="1:103" ht="15" x14ac:dyDescent="0.2">
      <c r="B13" s="25" t="str">
        <f t="shared" si="0"/>
        <v>Finanzplanung mit Umsatzvorausschau, Rentabilitätsberechnung und Liquiditätsbetrachtung. Erst diese Daten – auch wenn es nur Prognosewerte sind -</v>
      </c>
      <c r="CV13" s="19" t="s">
        <v>528</v>
      </c>
      <c r="CW13" s="19" t="s">
        <v>532</v>
      </c>
      <c r="CX13" s="7"/>
    </row>
    <row r="14" spans="1:103" ht="15" x14ac:dyDescent="0.2">
      <c r="B14" s="25" t="str">
        <f t="shared" si="0"/>
        <v>zeigen, ob das geplante Unternehmen voraussichtlich auch Gewinn abwirft und sich in den nächsten Jahren auch auf dem Markt durchsetzen kann.</v>
      </c>
      <c r="CV14" s="19" t="s">
        <v>529</v>
      </c>
      <c r="CW14" s="19" t="s">
        <v>533</v>
      </c>
      <c r="CX14" s="7"/>
    </row>
    <row r="15" spans="1:103" ht="15" x14ac:dyDescent="0.2">
      <c r="B15" s="25" t="str">
        <f t="shared" si="0"/>
        <v/>
      </c>
      <c r="CX15" s="7"/>
    </row>
    <row r="16" spans="1:103" ht="18" x14ac:dyDescent="0.2">
      <c r="B16" s="25" t="str">
        <f t="shared" si="0"/>
        <v>Ohne eine Darstellung der voraussichtlichen Finanzverhältnisse wird keine Bank dem Existenzgründer oder der Gründerin ein Darlehen geben oder einen</v>
      </c>
      <c r="CV16" s="17" t="s">
        <v>628</v>
      </c>
      <c r="CW16" s="17" t="s">
        <v>451</v>
      </c>
      <c r="CX16" s="30"/>
      <c r="CY16" s="30"/>
    </row>
    <row r="17" spans="2:102" ht="15" x14ac:dyDescent="0.2">
      <c r="B17" s="25" t="str">
        <f t="shared" si="0"/>
        <v xml:space="preserve">Kredit einräumen. Auch zur Erstellung der Tragfähigkeitsbescheinigung für die Agentur für Arbeit oder das Jobcenter ist eine Finanzplanung Voraussetzung.  </v>
      </c>
      <c r="CV17" s="19" t="s">
        <v>630</v>
      </c>
      <c r="CW17" s="19" t="s">
        <v>444</v>
      </c>
    </row>
    <row r="18" spans="2:102" ht="15" x14ac:dyDescent="0.2">
      <c r="B18" s="25" t="str">
        <f t="shared" si="0"/>
        <v xml:space="preserve">     </v>
      </c>
      <c r="CV18" s="19" t="s">
        <v>629</v>
      </c>
    </row>
    <row r="19" spans="2:102" ht="15" x14ac:dyDescent="0.2">
      <c r="B19" s="25" t="str">
        <f t="shared" si="0"/>
        <v>Die Tabellen sollen dem Gründer/der Gründerin die Finanzplanung erleichtern. Es wird empfohlen, die Tabellen, eine nach der anderen, auszufüllen.</v>
      </c>
      <c r="CV19" s="17" t="s">
        <v>530</v>
      </c>
      <c r="CW19" s="17" t="s">
        <v>445</v>
      </c>
    </row>
    <row r="20" spans="2:102" ht="15" x14ac:dyDescent="0.2">
      <c r="B20" s="25" t="str">
        <f t="shared" si="0"/>
        <v xml:space="preserve">Tabellen sind miteinander verknüpft, so dass jederzeit die Auswirkung einer Planänderung auf das Ergebnis erkennbar ist.  Außerdem wird jetzt sofort </v>
      </c>
      <c r="CV20" s="19" t="s">
        <v>433</v>
      </c>
      <c r="CW20" s="19" t="s">
        <v>446</v>
      </c>
    </row>
    <row r="21" spans="2:102" ht="15" x14ac:dyDescent="0.2">
      <c r="B21" s="25" t="str">
        <f t="shared" si="0"/>
        <v>aus den eingebenen Zahlen eine anschauliche Grafik über den jeweiligen Zeithorizont erzeugt. Zusätzlich sind dann alle Grafiken nochmals zusammen</v>
      </c>
      <c r="CV21" s="19" t="s">
        <v>434</v>
      </c>
      <c r="CW21" s="19" t="s">
        <v>627</v>
      </c>
      <c r="CX21" s="12"/>
    </row>
    <row r="22" spans="2:102" ht="15" x14ac:dyDescent="0.2">
      <c r="B22" s="25" t="str">
        <f>IF($B$3="English",IF(#REF!="","",#REF!),IF(CV22="","",CV22))</f>
        <v>im Blatt "Cockpit-Chart" zu sehen. Noch zu erledigende Arbeiten können in jeder Tabelle in die dafür vorgesehenen Kommentarzeilen geschrieben werden.</v>
      </c>
      <c r="CV22" s="19" t="s">
        <v>626</v>
      </c>
      <c r="CX22"/>
    </row>
    <row r="23" spans="2:102" ht="15" x14ac:dyDescent="0.2">
      <c r="B23" s="25" t="str">
        <f>IF($B$3="English",IF(CW24="","",CW24),IF(CV23="","",CV23))</f>
        <v/>
      </c>
    </row>
    <row r="24" spans="2:102" ht="15" x14ac:dyDescent="0.2">
      <c r="B24" s="25" t="str">
        <f>IF($B$3="English",IF(CW25="","",CW25),IF(CV24="","",CV24))</f>
        <v xml:space="preserve">Probieren Sie es! Mit den Tabellen ist die Finanzplanung für Ihr Unternehmen relativ einfach. </v>
      </c>
      <c r="CV24" s="17" t="s">
        <v>435</v>
      </c>
      <c r="CW24" s="17" t="s">
        <v>443</v>
      </c>
    </row>
    <row r="25" spans="2:102" ht="15" x14ac:dyDescent="0.2">
      <c r="B25" s="25" t="str">
        <f t="shared" si="0"/>
        <v/>
      </c>
    </row>
    <row r="26" spans="2:102" ht="15" x14ac:dyDescent="0.2">
      <c r="B26" s="28" t="str">
        <f t="shared" si="0"/>
        <v>Eine Bedienungsanleitung mit Tipps zum Ausfüllen der Tabellen kann aus dem Internet (www.kindermanns.de) unter Downloads heruntergeladen werden.</v>
      </c>
      <c r="CV26" s="27" t="s">
        <v>436</v>
      </c>
      <c r="CW26" s="27" t="s">
        <v>452</v>
      </c>
    </row>
    <row r="27" spans="2:102" ht="15" x14ac:dyDescent="0.2">
      <c r="B27" s="25" t="str">
        <f t="shared" si="0"/>
        <v/>
      </c>
    </row>
    <row r="28" spans="2:102" ht="15" x14ac:dyDescent="0.2">
      <c r="B28" s="25" t="str">
        <f t="shared" si="0"/>
        <v xml:space="preserve">Wir hoffen, dass die überarbeiten Tabellen die Finanzplanung erleichtern. Anregungen und Verbesserungsvorschläge sind herzlich willkommen. </v>
      </c>
      <c r="CV28" s="17" t="s">
        <v>437</v>
      </c>
      <c r="CW28" s="17" t="s">
        <v>441</v>
      </c>
    </row>
    <row r="29" spans="2:102" ht="15" x14ac:dyDescent="0.2">
      <c r="B29" s="25" t="str">
        <f t="shared" si="0"/>
        <v/>
      </c>
    </row>
    <row r="30" spans="2:102" ht="18" x14ac:dyDescent="0.35">
      <c r="B30" s="1219" t="s">
        <v>608</v>
      </c>
      <c r="E30" s="1220" t="str">
        <f>IF($B$3="English",IF($CW$30="","",$CW$30),IF($CV$30="","",$CV$30))</f>
        <v>und</v>
      </c>
      <c r="G30" s="1219" t="s">
        <v>609</v>
      </c>
      <c r="CV30" s="17" t="s">
        <v>610</v>
      </c>
      <c r="CW30" s="17" t="s">
        <v>611</v>
      </c>
    </row>
    <row r="32" spans="2:102" x14ac:dyDescent="0.2">
      <c r="B32" s="1221" t="s">
        <v>612</v>
      </c>
      <c r="G32" s="24" t="s">
        <v>613</v>
      </c>
      <c r="CV32" s="16" t="s">
        <v>438</v>
      </c>
      <c r="CW32" s="16" t="s">
        <v>442</v>
      </c>
    </row>
    <row r="35" spans="2:2" x14ac:dyDescent="0.2">
      <c r="B35" s="26" t="str">
        <f>IF($B$3="English",IF(CW32="","",CW32),IF(CV32="","",CV32))</f>
        <v>Jegliche Haftung für die Richtigkeit der berechneten Werte ist ausgeschlossen.</v>
      </c>
    </row>
    <row r="36" spans="2:2" x14ac:dyDescent="0.2">
      <c r="B36" s="22"/>
    </row>
    <row r="37" spans="2:2" x14ac:dyDescent="0.2">
      <c r="B37" s="23"/>
    </row>
    <row r="38" spans="2:2" x14ac:dyDescent="0.2">
      <c r="B38" s="23"/>
    </row>
    <row r="39" spans="2:2" x14ac:dyDescent="0.2">
      <c r="B39" s="23"/>
    </row>
    <row r="40" spans="2:2" x14ac:dyDescent="0.2">
      <c r="B40" s="23"/>
    </row>
    <row r="41" spans="2:2" x14ac:dyDescent="0.2">
      <c r="B41" s="23"/>
    </row>
    <row r="42" spans="2:2" x14ac:dyDescent="0.2">
      <c r="B42" s="24"/>
    </row>
    <row r="43" spans="2:2" x14ac:dyDescent="0.2">
      <c r="B43" s="23"/>
    </row>
    <row r="44" spans="2:2" x14ac:dyDescent="0.2">
      <c r="B44" s="23"/>
    </row>
    <row r="45" spans="2:2" x14ac:dyDescent="0.2">
      <c r="B45" s="23"/>
    </row>
  </sheetData>
  <sheetProtection algorithmName="SHA-512" hashValue="CyLmCx73bCkEHvYtq7Aw9JhHKGy0kstjNMZdquNZyP/Vdf222y8Wkjtm6dXZgEHsZDxHIpToVq+657qqCoGaNA==" saltValue="kHOOq4IRYT/QdaSKq+enCg==" spinCount="100000" sheet="1" objects="1" scenarios="1" selectLockedCells="1" selectUnlockedCells="1"/>
  <phoneticPr fontId="0" type="noConversion"/>
  <hyperlinks>
    <hyperlink ref="CV26" r:id="rId1"/>
    <hyperlink ref="CW26" r:id="rId2" display="A User Guide with tips for filling in the sheets can be downloaded from the internet (www.kindermanns.de) and their under Downloads."/>
    <hyperlink ref="B26" r:id="rId3" display="http://kindermanns.de/"/>
    <hyperlink ref="B32" r:id="rId4"/>
    <hyperlink ref="G32" r:id="rId5"/>
  </hyperlinks>
  <printOptions horizontalCentered="1"/>
  <pageMargins left="0.78740157480314965" right="0.78740157480314965" top="0.78740157480314965" bottom="0.78740157480314965" header="0.39370078740157483" footer="0.51181102362204722"/>
  <pageSetup paperSize="9" scale="71" orientation="landscape" r:id="rId6"/>
  <headerFooter>
    <oddFooter>&amp;L&amp;9&amp;A&amp;C&amp;9&amp;F&amp;R&amp;9 © 2017 www.Kindermanns.de
Jürgen Erlewein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EZ57"/>
  <sheetViews>
    <sheetView showGridLines="0" topLeftCell="A6" zoomScaleNormal="100" workbookViewId="0">
      <selection activeCell="D11" sqref="D11:J11"/>
    </sheetView>
  </sheetViews>
  <sheetFormatPr baseColWidth="10" defaultColWidth="11.5703125" defaultRowHeight="18" x14ac:dyDescent="0.25"/>
  <cols>
    <col min="1" max="1" width="31.5703125" style="234" customWidth="1"/>
    <col min="2" max="2" width="1.28515625" style="234" customWidth="1"/>
    <col min="3" max="3" width="1.28515625" style="243" customWidth="1"/>
    <col min="4" max="4" width="12.7109375" style="243" customWidth="1"/>
    <col min="5" max="5" width="21" style="234" customWidth="1"/>
    <col min="6" max="6" width="14.85546875" style="234" customWidth="1"/>
    <col min="7" max="7" width="17.140625" style="236" customWidth="1"/>
    <col min="8" max="8" width="2" style="234" customWidth="1"/>
    <col min="9" max="9" width="37.42578125" style="246" customWidth="1"/>
    <col min="10" max="10" width="2.5703125" style="243" customWidth="1"/>
    <col min="11" max="11" width="4.7109375" style="243" customWidth="1"/>
    <col min="12" max="12" width="3.85546875" style="243" customWidth="1"/>
    <col min="13" max="13" width="6" style="243" customWidth="1"/>
    <col min="14" max="14" width="8.42578125" style="243" customWidth="1"/>
    <col min="15" max="15" width="7.42578125" style="236" customWidth="1"/>
    <col min="16" max="16" width="7.42578125" style="234" customWidth="1"/>
    <col min="17" max="17" width="11" style="234" customWidth="1"/>
    <col min="18" max="18" width="7.28515625" style="1271" customWidth="1"/>
    <col min="19" max="19" width="11.5703125" style="230" customWidth="1"/>
    <col min="20" max="22" width="11.5703125" style="236" customWidth="1"/>
    <col min="23" max="36" width="11.5703125" style="234" customWidth="1"/>
    <col min="37" max="88" width="11.5703125" style="234" hidden="1" customWidth="1"/>
    <col min="89" max="89" width="26.140625" style="239" hidden="1" customWidth="1"/>
    <col min="90" max="90" width="31.7109375" style="239" hidden="1" customWidth="1"/>
    <col min="91" max="91" width="25.5703125" style="270" hidden="1" customWidth="1"/>
    <col min="92" max="92" width="56.42578125" style="1121" hidden="1" customWidth="1"/>
    <col min="93" max="93" width="58.5703125" style="885" hidden="1" customWidth="1"/>
    <col min="94" max="94" width="21" style="189" hidden="1" customWidth="1"/>
    <col min="95" max="95" width="17.140625" style="189" hidden="1" customWidth="1"/>
    <col min="96" max="96" width="24.5703125" style="189" hidden="1" customWidth="1"/>
    <col min="97" max="97" width="17.28515625" style="189" hidden="1" customWidth="1"/>
    <col min="98" max="98" width="37.42578125" style="189" hidden="1" customWidth="1"/>
    <col min="99" max="99" width="9.5703125" style="189" hidden="1" customWidth="1"/>
    <col min="100" max="100" width="7.28515625" style="219" hidden="1" customWidth="1"/>
    <col min="101" max="102" width="46.5703125" style="219" hidden="1" customWidth="1"/>
    <col min="103" max="103" width="6" style="219" hidden="1" customWidth="1"/>
    <col min="104" max="104" width="29.28515625" style="219" hidden="1" customWidth="1"/>
    <col min="105" max="105" width="24.28515625" style="219" hidden="1" customWidth="1"/>
    <col min="106" max="106" width="6" style="219" hidden="1" customWidth="1"/>
    <col min="107" max="107" width="11.5703125" style="219" hidden="1" customWidth="1"/>
    <col min="108" max="110" width="11.5703125" style="270" hidden="1" customWidth="1"/>
    <col min="111" max="114" width="11.5703125" style="239" hidden="1" customWidth="1"/>
    <col min="115" max="120" width="11.5703125" style="241" hidden="1" customWidth="1"/>
    <col min="121" max="126" width="11.5703125" style="239" hidden="1" customWidth="1"/>
    <col min="127" max="156" width="11.5703125" style="234" hidden="1" customWidth="1"/>
    <col min="157" max="157" width="11.5703125" style="234" customWidth="1"/>
    <col min="158" max="16384" width="11.5703125" style="234"/>
  </cols>
  <sheetData>
    <row r="1" spans="1:126" s="288" customFormat="1" ht="14.25" hidden="1" x14ac:dyDescent="0.2">
      <c r="A1" s="1310">
        <v>0.19</v>
      </c>
      <c r="C1" s="1311" t="str">
        <f>IF($D$8="English",CO1,CN1)</f>
        <v>FreiberuflerIn</v>
      </c>
      <c r="D1" s="1312"/>
      <c r="E1" s="288">
        <f>IF(ISNA(VLOOKUP(D13,C1:C5,1,FALSE)),1,VLOOKUP(D13,C1:C5,1,FALSE))</f>
        <v>1</v>
      </c>
      <c r="G1" s="1311" t="str">
        <f>IF($D$8="English",CS1,CR1)</f>
        <v>Kleinunternehmerregelung</v>
      </c>
      <c r="H1" s="288">
        <f>IF(ISNA(VLOOKUP(I13,G1:G2,1,FALSE)),1,VLOOKUP(I13,G1:G2,1,FALSE))</f>
        <v>1</v>
      </c>
      <c r="I1" s="1313"/>
      <c r="J1" s="288" t="str">
        <f>IF(OR(I13=G1,D13=C4),"mit MwSt","ohne MwSt")</f>
        <v>ohne MwSt</v>
      </c>
      <c r="K1" s="288" t="str">
        <f>IF(OR(I13=G1,D13=C4),"incl. VAT","w/o VAT")</f>
        <v>w/o VAT</v>
      </c>
      <c r="L1" s="288">
        <f ca="1">YEAR(TODAY())</f>
        <v>2019</v>
      </c>
      <c r="M1" s="1314">
        <f>IF(AND(D13="",I13=""),0,IF(AND(OR(D13=C1,D13=C2,D13=C3),I13=G2),0,IF(AND(OR(D13=C1,D13=C2,D13=C3),I13=G1),1,IF(D13=C4,2,3))))</f>
        <v>0</v>
      </c>
      <c r="N1" s="288" t="s">
        <v>583</v>
      </c>
      <c r="S1" s="288" t="s">
        <v>387</v>
      </c>
      <c r="T1" s="1311" t="s">
        <v>91</v>
      </c>
      <c r="V1" s="288" t="str">
        <f t="shared" ref="V1:V12" si="0">IF($D$8="English",S1,T1)</f>
        <v>Januar</v>
      </c>
      <c r="W1" s="288">
        <v>1</v>
      </c>
      <c r="X1" s="288">
        <f>IF(F15="",1,VLOOKUP(F15,V1:W14,2,FALSE))</f>
        <v>1</v>
      </c>
      <c r="CK1" s="370"/>
      <c r="CL1" s="370"/>
      <c r="CM1" s="1120"/>
      <c r="CN1" s="884" t="s">
        <v>142</v>
      </c>
      <c r="CO1" s="885" t="s">
        <v>425</v>
      </c>
      <c r="CP1" s="189"/>
      <c r="CQ1" s="189"/>
      <c r="CR1" s="189" t="s">
        <v>144</v>
      </c>
      <c r="CS1" s="189" t="s">
        <v>340</v>
      </c>
      <c r="CT1" s="189"/>
      <c r="CU1" s="189"/>
      <c r="CV1" s="219"/>
      <c r="CW1" s="219"/>
      <c r="CX1" s="219"/>
      <c r="CY1" s="219"/>
      <c r="CZ1" s="219"/>
      <c r="DA1" s="219"/>
      <c r="DB1" s="219"/>
      <c r="DC1" s="219"/>
      <c r="DD1" s="1121"/>
      <c r="DE1" s="1121"/>
      <c r="DF1" s="1121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</row>
    <row r="2" spans="1:126" s="288" customFormat="1" ht="14.25" hidden="1" x14ac:dyDescent="0.2">
      <c r="A2" s="1310">
        <v>7.0000000000000007E-2</v>
      </c>
      <c r="C2" s="1311" t="str">
        <f>IF($D$8="English",CO2,CN2)</f>
        <v>Einzelunternehmen</v>
      </c>
      <c r="D2" s="1312"/>
      <c r="G2" s="1311" t="str">
        <f>IF($D$8="English",CS2,CR2)</f>
        <v>umsatzsteuerpflichtig</v>
      </c>
      <c r="I2" s="1313"/>
      <c r="J2" s="288" t="str">
        <f>IF(J1="ohne MwSt","mit MwSt", "ohne MwSt")</f>
        <v>mit MwSt</v>
      </c>
      <c r="K2" s="288" t="str">
        <f>IF(K1="w/o VAT","incl VAT", "w/o VAT")</f>
        <v>incl VAT</v>
      </c>
      <c r="L2" s="288">
        <f ca="1">L1+1</f>
        <v>2020</v>
      </c>
      <c r="N2" s="288" t="s">
        <v>582</v>
      </c>
      <c r="S2" s="288" t="s">
        <v>426</v>
      </c>
      <c r="T2" s="1311" t="s">
        <v>92</v>
      </c>
      <c r="V2" s="288" t="str">
        <f t="shared" si="0"/>
        <v>Februar</v>
      </c>
      <c r="W2" s="288">
        <v>2</v>
      </c>
      <c r="CK2" s="370"/>
      <c r="CL2" s="370"/>
      <c r="CM2" s="1121"/>
      <c r="CN2" s="884" t="s">
        <v>167</v>
      </c>
      <c r="CO2" s="885" t="s">
        <v>337</v>
      </c>
      <c r="CP2" s="189"/>
      <c r="CQ2" s="189"/>
      <c r="CR2" s="189" t="s">
        <v>143</v>
      </c>
      <c r="CS2" s="189" t="s">
        <v>341</v>
      </c>
      <c r="CT2" s="189"/>
      <c r="CU2" s="189"/>
      <c r="CV2" s="219"/>
      <c r="CW2" s="219"/>
      <c r="CX2" s="219"/>
      <c r="CY2" s="219"/>
      <c r="CZ2" s="219"/>
      <c r="DA2" s="219"/>
      <c r="DB2" s="219"/>
      <c r="DC2" s="219"/>
      <c r="DD2" s="1121"/>
      <c r="DE2" s="1121"/>
      <c r="DF2" s="1121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</row>
    <row r="3" spans="1:126" s="288" customFormat="1" ht="14.25" hidden="1" x14ac:dyDescent="0.2">
      <c r="A3" s="1315"/>
      <c r="C3" s="1311" t="str">
        <f>IF($D$8="English",CO4,CN4)</f>
        <v>Personengesellschaft</v>
      </c>
      <c r="H3" s="1312"/>
      <c r="L3" s="288">
        <f ca="1">L2+1</f>
        <v>2021</v>
      </c>
      <c r="N3" s="288" t="s">
        <v>581</v>
      </c>
      <c r="S3" s="288" t="s">
        <v>389</v>
      </c>
      <c r="T3" s="1311" t="s">
        <v>3</v>
      </c>
      <c r="V3" s="288" t="str">
        <f t="shared" si="0"/>
        <v>März</v>
      </c>
      <c r="W3" s="288">
        <v>3</v>
      </c>
      <c r="CK3" s="370"/>
      <c r="CL3" s="370"/>
      <c r="CM3" s="1121"/>
      <c r="CN3" s="288" t="s">
        <v>460</v>
      </c>
      <c r="CO3" s="288" t="s">
        <v>461</v>
      </c>
      <c r="CP3" s="189"/>
      <c r="CQ3" s="189"/>
      <c r="CR3" s="189" t="s">
        <v>144</v>
      </c>
      <c r="CS3" s="189" t="s">
        <v>340</v>
      </c>
      <c r="CT3" s="189"/>
      <c r="CU3" s="189"/>
      <c r="CV3" s="219"/>
      <c r="CW3" s="219"/>
      <c r="CX3" s="219"/>
      <c r="CY3" s="219"/>
      <c r="CZ3" s="219"/>
      <c r="DA3" s="219"/>
      <c r="DB3" s="219"/>
      <c r="DC3" s="219"/>
      <c r="DD3" s="1121"/>
      <c r="DE3" s="1121"/>
      <c r="DF3" s="1121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</row>
    <row r="4" spans="1:126" s="288" customFormat="1" ht="14.25" hidden="1" x14ac:dyDescent="0.2">
      <c r="A4" s="1311">
        <v>24</v>
      </c>
      <c r="C4" s="1311" t="str">
        <f>IF($D$8="English",CO3,CN3)</f>
        <v>Einzelhandel</v>
      </c>
      <c r="D4" s="1312"/>
      <c r="E4" s="1312"/>
      <c r="G4" s="1311"/>
      <c r="K4" s="1311"/>
      <c r="L4" s="288">
        <f ca="1">L3+1</f>
        <v>2022</v>
      </c>
      <c r="N4" s="288" t="s">
        <v>580</v>
      </c>
      <c r="S4" s="288" t="s">
        <v>4</v>
      </c>
      <c r="T4" s="1311" t="s">
        <v>4</v>
      </c>
      <c r="V4" s="288" t="str">
        <f t="shared" si="0"/>
        <v>April</v>
      </c>
      <c r="W4" s="288">
        <v>4</v>
      </c>
      <c r="CK4" s="370"/>
      <c r="CL4" s="370"/>
      <c r="CM4" s="1121"/>
      <c r="CN4" s="884" t="s">
        <v>168</v>
      </c>
      <c r="CO4" s="885" t="s">
        <v>338</v>
      </c>
      <c r="CP4" s="189"/>
      <c r="CQ4" s="189"/>
      <c r="CR4" s="189"/>
      <c r="CS4" s="189"/>
      <c r="CT4" s="189"/>
      <c r="CU4" s="189"/>
      <c r="CV4" s="886"/>
      <c r="CW4" s="219"/>
      <c r="CX4" s="219"/>
      <c r="CY4" s="219"/>
      <c r="CZ4" s="219"/>
      <c r="DA4" s="219"/>
      <c r="DB4" s="219"/>
      <c r="DC4" s="219"/>
      <c r="DD4" s="1121"/>
      <c r="DE4" s="1121"/>
      <c r="DF4" s="1121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</row>
    <row r="5" spans="1:126" s="1082" customFormat="1" ht="68.099999999999994" customHeight="1" x14ac:dyDescent="0.2">
      <c r="A5" s="1083"/>
      <c r="C5" s="1060" t="str">
        <f>IF($D$8="English",CO7,CN7)</f>
        <v>Kapitalgesellschaft</v>
      </c>
      <c r="D5" s="1073"/>
      <c r="E5" s="1073"/>
      <c r="G5" s="1083"/>
      <c r="K5" s="1083"/>
      <c r="R5" s="1268"/>
      <c r="S5" s="230" t="s">
        <v>310</v>
      </c>
      <c r="T5" s="237" t="s">
        <v>5</v>
      </c>
      <c r="U5" s="230"/>
      <c r="V5" s="230" t="str">
        <f t="shared" si="0"/>
        <v>Mai</v>
      </c>
      <c r="W5" s="238">
        <v>5</v>
      </c>
      <c r="CK5" s="370"/>
      <c r="CL5" s="370"/>
      <c r="CM5" s="1121"/>
      <c r="CN5" s="884"/>
      <c r="CO5" s="885"/>
      <c r="CP5" s="189"/>
      <c r="CQ5" s="189"/>
      <c r="CR5" s="189"/>
      <c r="CS5" s="189"/>
      <c r="CT5" s="189"/>
      <c r="CU5" s="189"/>
      <c r="CV5" s="886"/>
      <c r="CW5" s="219"/>
      <c r="CX5" s="219"/>
      <c r="CY5" s="219"/>
      <c r="CZ5" s="219"/>
      <c r="DA5" s="219"/>
      <c r="DB5" s="219"/>
      <c r="DC5" s="219"/>
      <c r="DD5" s="1121"/>
      <c r="DE5" s="1121"/>
      <c r="DF5" s="1121"/>
      <c r="DG5" s="370"/>
      <c r="DH5" s="370"/>
      <c r="DI5" s="370"/>
      <c r="DJ5" s="370"/>
      <c r="DK5" s="865"/>
      <c r="DL5" s="865"/>
      <c r="DM5" s="865"/>
      <c r="DN5" s="865"/>
      <c r="DO5" s="865"/>
      <c r="DP5" s="865"/>
      <c r="DQ5" s="865"/>
      <c r="DR5" s="865"/>
      <c r="DS5" s="865"/>
      <c r="DT5" s="865"/>
      <c r="DU5" s="865"/>
      <c r="DV5" s="865"/>
    </row>
    <row r="6" spans="1:126" s="1082" customFormat="1" ht="14.25" x14ac:dyDescent="0.2">
      <c r="A6" s="1083"/>
      <c r="C6" s="1083"/>
      <c r="D6" s="1073"/>
      <c r="E6" s="1073"/>
      <c r="G6" s="1083"/>
      <c r="K6" s="1083"/>
      <c r="R6" s="1268"/>
      <c r="S6" s="230" t="s">
        <v>311</v>
      </c>
      <c r="T6" s="237" t="s">
        <v>6</v>
      </c>
      <c r="U6" s="230"/>
      <c r="V6" s="230" t="str">
        <f t="shared" si="0"/>
        <v>Juni</v>
      </c>
      <c r="W6" s="238">
        <v>6</v>
      </c>
      <c r="CK6" s="370"/>
      <c r="CL6" s="370"/>
      <c r="CM6" s="1121"/>
      <c r="CN6" s="884"/>
      <c r="CO6" s="885"/>
      <c r="CP6" s="189"/>
      <c r="CQ6" s="189"/>
      <c r="CR6" s="189"/>
      <c r="CS6" s="189"/>
      <c r="CT6" s="189"/>
      <c r="CU6" s="189"/>
      <c r="CV6" s="886"/>
      <c r="CW6" s="219"/>
      <c r="CX6" s="219"/>
      <c r="CY6" s="219"/>
      <c r="CZ6" s="219"/>
      <c r="DA6" s="219"/>
      <c r="DB6" s="219"/>
      <c r="DC6" s="219"/>
      <c r="DD6" s="1121"/>
      <c r="DE6" s="1121"/>
      <c r="DF6" s="1121"/>
      <c r="DG6" s="370"/>
      <c r="DH6" s="370"/>
      <c r="DI6" s="370"/>
      <c r="DJ6" s="370"/>
      <c r="DK6" s="865"/>
      <c r="DL6" s="865"/>
      <c r="DM6" s="865"/>
      <c r="DN6" s="865"/>
      <c r="DO6" s="865"/>
      <c r="DP6" s="865"/>
      <c r="DQ6" s="865"/>
      <c r="DR6" s="865"/>
      <c r="DS6" s="865"/>
      <c r="DT6" s="865"/>
      <c r="DU6" s="865"/>
      <c r="DV6" s="865"/>
    </row>
    <row r="7" spans="1:126" ht="27" x14ac:dyDescent="0.35">
      <c r="D7" s="1599" t="str">
        <f>IF($D$8="English",CP7,CO8)</f>
        <v>Finanzplan zum Businessplan</v>
      </c>
      <c r="E7" s="1599"/>
      <c r="F7" s="1599"/>
      <c r="G7" s="1599"/>
      <c r="H7" s="1599"/>
      <c r="I7" s="1599"/>
      <c r="J7" s="1074"/>
      <c r="K7" s="1075"/>
      <c r="L7" s="1076"/>
      <c r="O7" s="234"/>
      <c r="P7" s="235"/>
      <c r="Q7" s="235"/>
      <c r="R7" s="1272"/>
      <c r="S7" s="230" t="s">
        <v>312</v>
      </c>
      <c r="T7" s="237" t="s">
        <v>7</v>
      </c>
      <c r="V7" s="230" t="str">
        <f t="shared" si="0"/>
        <v>Juli</v>
      </c>
      <c r="W7" s="238">
        <v>7</v>
      </c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CK7" s="883" t="s">
        <v>604</v>
      </c>
      <c r="CL7" s="883" t="s">
        <v>605</v>
      </c>
      <c r="CN7" s="884" t="s">
        <v>117</v>
      </c>
      <c r="CO7" s="885" t="s">
        <v>339</v>
      </c>
      <c r="CP7" s="189" t="s">
        <v>342</v>
      </c>
      <c r="CV7" s="886"/>
      <c r="CW7" s="189"/>
      <c r="CX7" s="189"/>
      <c r="DK7" s="239"/>
      <c r="DL7" s="239"/>
      <c r="DM7" s="239"/>
      <c r="DN7" s="239"/>
      <c r="DO7" s="239"/>
      <c r="DP7" s="239"/>
    </row>
    <row r="8" spans="1:126" x14ac:dyDescent="0.25">
      <c r="A8" s="242"/>
      <c r="B8" s="242"/>
      <c r="D8" s="932" t="str">
        <f>'Deckblatt|Cover'!$M$7</f>
        <v>Deutsch</v>
      </c>
      <c r="E8" s="175" t="s">
        <v>257</v>
      </c>
      <c r="F8" s="1228" t="str">
        <f>IF(OR($A$4=24,$A$4=2),IF($D$8="English",$CL$8,$CK$8),"")</f>
        <v>mit Monatsplanung für die ersten beiden Planjahre</v>
      </c>
      <c r="I8" s="244"/>
      <c r="K8" s="1075"/>
      <c r="L8" s="1076"/>
      <c r="P8" s="235"/>
      <c r="Q8" s="235"/>
      <c r="R8" s="1272"/>
      <c r="S8" s="230" t="s">
        <v>84</v>
      </c>
      <c r="T8" s="237" t="s">
        <v>84</v>
      </c>
      <c r="V8" s="230" t="str">
        <f t="shared" si="0"/>
        <v>August</v>
      </c>
      <c r="W8" s="238">
        <v>8</v>
      </c>
      <c r="X8" s="236"/>
      <c r="CK8" s="883" t="s">
        <v>606</v>
      </c>
      <c r="CL8" s="883" t="s">
        <v>607</v>
      </c>
      <c r="CM8" s="219" t="s">
        <v>256</v>
      </c>
      <c r="CN8" s="1121" t="s">
        <v>332</v>
      </c>
      <c r="CO8" s="885" t="s">
        <v>101</v>
      </c>
      <c r="CW8" s="1122"/>
      <c r="CX8" s="1122"/>
    </row>
    <row r="9" spans="1:126" ht="18" customHeight="1" x14ac:dyDescent="0.25">
      <c r="D9" s="245"/>
      <c r="E9" s="931"/>
      <c r="F9"/>
      <c r="I9" s="244"/>
      <c r="K9" s="1075"/>
      <c r="L9" s="1076"/>
      <c r="P9" s="235"/>
      <c r="Q9" s="235"/>
      <c r="R9" s="1272"/>
      <c r="S9" s="250" t="s">
        <v>427</v>
      </c>
      <c r="T9" s="251" t="s">
        <v>93</v>
      </c>
      <c r="V9" s="230" t="str">
        <f t="shared" si="0"/>
        <v>September</v>
      </c>
      <c r="W9" s="252">
        <v>9</v>
      </c>
      <c r="X9" s="236"/>
      <c r="CW9" s="817"/>
      <c r="CX9" s="817"/>
    </row>
    <row r="10" spans="1:126" x14ac:dyDescent="0.25">
      <c r="K10" s="247"/>
      <c r="L10" s="1076"/>
      <c r="P10" s="235"/>
      <c r="Q10" s="235"/>
      <c r="R10" s="1272"/>
      <c r="S10" s="250" t="s">
        <v>390</v>
      </c>
      <c r="T10" s="251" t="s">
        <v>94</v>
      </c>
      <c r="V10" s="230" t="str">
        <f t="shared" si="0"/>
        <v>Oktober</v>
      </c>
      <c r="W10" s="252">
        <v>10</v>
      </c>
      <c r="X10" s="236"/>
      <c r="CV10" s="886"/>
    </row>
    <row r="11" spans="1:126" s="253" customFormat="1" x14ac:dyDescent="0.15">
      <c r="A11" s="242" t="str">
        <f>IF($D$8="English",CN11,CM11)</f>
        <v>Unternehmensname*):</v>
      </c>
      <c r="B11" s="242"/>
      <c r="C11" s="248"/>
      <c r="D11" s="1601"/>
      <c r="E11" s="1601"/>
      <c r="F11" s="1601"/>
      <c r="G11" s="1601"/>
      <c r="H11" s="1601"/>
      <c r="I11" s="1601"/>
      <c r="J11" s="1601"/>
      <c r="K11" s="249"/>
      <c r="L11" s="46" t="str">
        <f>IF($D$8="English",CX11,CW11)</f>
        <v>Grün hinterlegte Felder bitte ausfüllen</v>
      </c>
      <c r="M11" s="1077"/>
      <c r="N11" s="1078"/>
      <c r="O11" s="110"/>
      <c r="P11" s="110"/>
      <c r="Q11" s="110"/>
      <c r="R11" s="1273"/>
      <c r="S11" s="267" t="s">
        <v>95</v>
      </c>
      <c r="T11" s="268" t="s">
        <v>95</v>
      </c>
      <c r="U11" s="259"/>
      <c r="V11" s="230" t="str">
        <f t="shared" si="0"/>
        <v>November</v>
      </c>
      <c r="W11" s="269">
        <v>11</v>
      </c>
      <c r="X11" s="259"/>
      <c r="CK11" s="254"/>
      <c r="CL11" s="254"/>
      <c r="CM11" s="618" t="s">
        <v>584</v>
      </c>
      <c r="CN11" s="1123" t="s">
        <v>333</v>
      </c>
      <c r="CO11" s="1124"/>
      <c r="CP11" s="418"/>
      <c r="CQ11" s="418"/>
      <c r="CR11" s="418"/>
      <c r="CS11" s="418"/>
      <c r="CT11" s="40" t="str">
        <f>IF(AND(OR(CO13=CN1,CO13=CN2),CT12=""),"bitte Besteuerungsart auswählen",IF(AND(CO13=CN4,CT12=CR1),"Geht nicht! Bitte löschen",""))</f>
        <v/>
      </c>
      <c r="CU11" s="418"/>
      <c r="CV11" s="1125"/>
      <c r="CW11" s="1126" t="s">
        <v>330</v>
      </c>
      <c r="CX11" s="1126" t="s">
        <v>343</v>
      </c>
      <c r="CY11" s="1126"/>
      <c r="CZ11" s="1126"/>
      <c r="DA11" s="1126"/>
      <c r="DB11" s="1126"/>
      <c r="DC11" s="1126"/>
      <c r="DD11" s="1126"/>
      <c r="DE11" s="1126"/>
      <c r="DF11" s="254"/>
      <c r="DG11" s="254"/>
      <c r="DH11" s="254"/>
      <c r="DI11" s="254"/>
      <c r="DJ11" s="254"/>
      <c r="DK11" s="255"/>
      <c r="DL11" s="255"/>
      <c r="DM11" s="255"/>
      <c r="DN11" s="255"/>
      <c r="DO11" s="255"/>
      <c r="DP11" s="255"/>
      <c r="DQ11" s="254"/>
      <c r="DR11" s="254"/>
      <c r="DS11" s="254"/>
      <c r="DT11" s="254"/>
      <c r="DU11" s="254"/>
      <c r="DV11" s="254"/>
    </row>
    <row r="12" spans="1:126" s="253" customFormat="1" x14ac:dyDescent="0.2">
      <c r="A12" s="257"/>
      <c r="B12" s="257"/>
      <c r="C12" s="258"/>
      <c r="D12" s="1603" t="str">
        <f>IF(AND($I$13="",$D$13&lt;&gt;""),"",IF(AND($D$13="",$I$13=""),"",IF(OR($E$1=1,$H$1=1),"Neu auswählen/Select new","")))</f>
        <v/>
      </c>
      <c r="E12" s="1603"/>
      <c r="G12" s="259"/>
      <c r="H12" s="260"/>
      <c r="I12" s="1602" t="str">
        <f>IF(AND($D$13="",$I$13=""),"",IF(OR($E$1=1,$H$1=1),"Neu auswählen/Select new",IF(AND(OR($M$1=2,$M$1=3),OR($I$13="Kleinunternehmerregelung",$I$13="Smal business regulation")),"Neu auswählen/Select new","")))</f>
        <v/>
      </c>
      <c r="J12" s="1602"/>
      <c r="K12" s="261"/>
      <c r="L12" s="1078"/>
      <c r="M12" s="1078"/>
      <c r="N12" s="1078"/>
      <c r="O12" s="110"/>
      <c r="P12" s="110"/>
      <c r="Q12" s="110"/>
      <c r="R12" s="1273"/>
      <c r="S12" s="250" t="s">
        <v>391</v>
      </c>
      <c r="T12" s="251" t="s">
        <v>96</v>
      </c>
      <c r="U12" s="259"/>
      <c r="V12" s="230" t="str">
        <f t="shared" si="0"/>
        <v>Dezember</v>
      </c>
      <c r="W12" s="252">
        <v>12</v>
      </c>
      <c r="X12" s="259"/>
      <c r="CK12" s="254"/>
      <c r="CL12" s="254"/>
      <c r="CM12" s="618"/>
      <c r="CN12" s="1127"/>
      <c r="CO12" s="1128"/>
      <c r="CP12" s="40"/>
      <c r="CQ12" s="40"/>
      <c r="CR12" s="40"/>
      <c r="CS12" s="40"/>
      <c r="CT12" s="1129"/>
      <c r="CU12" s="40"/>
      <c r="CV12" s="1125"/>
      <c r="CW12" s="1126"/>
      <c r="CX12" s="1126"/>
      <c r="CY12" s="1126"/>
      <c r="CZ12" s="1126"/>
      <c r="DA12" s="1126"/>
      <c r="DB12" s="1126"/>
      <c r="DC12" s="1126"/>
      <c r="DD12" s="1126"/>
      <c r="DE12" s="1126"/>
      <c r="DF12" s="254"/>
      <c r="DG12" s="254"/>
      <c r="DH12" s="254"/>
      <c r="DI12" s="254"/>
      <c r="DJ12" s="254"/>
      <c r="DK12" s="255"/>
      <c r="DL12" s="255"/>
      <c r="DM12" s="255"/>
      <c r="DN12" s="255"/>
      <c r="DO12" s="255"/>
      <c r="DP12" s="255"/>
      <c r="DQ12" s="254"/>
      <c r="DR12" s="254"/>
      <c r="DS12" s="254"/>
      <c r="DT12" s="254"/>
      <c r="DU12" s="254"/>
      <c r="DV12" s="254"/>
    </row>
    <row r="13" spans="1:126" s="262" customFormat="1" ht="18.75" x14ac:dyDescent="0.25">
      <c r="A13" s="242" t="str">
        <f>IF($D$8="English",CN13,CM13)</f>
        <v>Unternehmensform*):</v>
      </c>
      <c r="B13" s="242"/>
      <c r="C13" s="245"/>
      <c r="D13" s="1606"/>
      <c r="E13" s="1606"/>
      <c r="G13" s="263"/>
      <c r="H13" s="242" t="str">
        <f>IF($D$8="English",CT13,CS13)</f>
        <v>Steuerpflicht*):</v>
      </c>
      <c r="I13" s="1606"/>
      <c r="J13" s="1606"/>
      <c r="K13" s="264"/>
      <c r="L13" s="1118" t="str">
        <f>IF($D$8="English",CX13,CW13)</f>
        <v>Voreingestellter Inhalt der roten Felder</v>
      </c>
      <c r="M13" s="1079"/>
      <c r="N13" s="1080"/>
      <c r="O13" s="266"/>
      <c r="P13" s="265"/>
      <c r="Q13" s="265"/>
      <c r="R13" s="1274"/>
      <c r="S13" s="263"/>
      <c r="T13" s="263"/>
      <c r="U13" s="263"/>
      <c r="V13" s="263"/>
      <c r="W13" s="263"/>
      <c r="X13" s="263"/>
      <c r="CK13" s="270"/>
      <c r="CL13" s="270"/>
      <c r="CM13" s="1130" t="s">
        <v>585</v>
      </c>
      <c r="CN13" s="1123" t="s">
        <v>334</v>
      </c>
      <c r="CO13" s="1131"/>
      <c r="CP13" s="1129"/>
      <c r="CQ13" s="189"/>
      <c r="CR13" s="189"/>
      <c r="CS13" s="189" t="s">
        <v>586</v>
      </c>
      <c r="CT13" s="1129" t="s">
        <v>587</v>
      </c>
      <c r="CV13" s="189"/>
      <c r="CW13" s="1132" t="s">
        <v>331</v>
      </c>
      <c r="CX13" s="1132" t="s">
        <v>416</v>
      </c>
      <c r="CY13" s="1120"/>
      <c r="CZ13" s="1120"/>
      <c r="DA13" s="1120"/>
      <c r="DB13" s="1120"/>
      <c r="DC13" s="1120"/>
      <c r="DD13" s="1120"/>
      <c r="DE13" s="1120"/>
      <c r="DF13" s="270"/>
      <c r="DG13" s="270"/>
      <c r="DH13" s="270"/>
      <c r="DI13" s="270"/>
      <c r="DJ13" s="270"/>
      <c r="DK13" s="240"/>
      <c r="DL13" s="240"/>
      <c r="DM13" s="240"/>
      <c r="DN13" s="240"/>
      <c r="DO13" s="240"/>
      <c r="DP13" s="240"/>
      <c r="DQ13" s="270"/>
      <c r="DR13" s="270"/>
      <c r="DS13" s="270"/>
      <c r="DT13" s="270"/>
      <c r="DU13" s="270"/>
      <c r="DV13" s="270"/>
    </row>
    <row r="14" spans="1:126" s="253" customFormat="1" x14ac:dyDescent="0.2">
      <c r="A14" s="257"/>
      <c r="B14" s="257"/>
      <c r="C14" s="258"/>
      <c r="F14" s="260"/>
      <c r="G14" s="271"/>
      <c r="H14" s="242"/>
      <c r="I14" s="260"/>
      <c r="J14" s="248"/>
      <c r="K14" s="249"/>
      <c r="L14" s="46" t="str">
        <f>IF($D$8="English",CX14,CW14)</f>
        <v>Unternehmensform:</v>
      </c>
      <c r="M14" s="1078"/>
      <c r="N14" s="832"/>
      <c r="O14" s="1119" t="str">
        <f>IF($D$8="English",CN14,CM14)</f>
        <v>Keine Kapitalgesellschaft</v>
      </c>
      <c r="P14" s="110"/>
      <c r="Q14" s="110"/>
      <c r="R14" s="1273"/>
      <c r="S14" s="259"/>
      <c r="T14" s="259"/>
      <c r="U14" s="259"/>
      <c r="V14" s="259"/>
      <c r="W14" s="259"/>
      <c r="X14" s="259"/>
      <c r="CK14" s="254"/>
      <c r="CL14" s="254"/>
      <c r="CM14" s="618" t="s">
        <v>246</v>
      </c>
      <c r="CN14" s="1127" t="s">
        <v>424</v>
      </c>
      <c r="CO14" s="1128"/>
      <c r="CP14" s="40"/>
      <c r="CQ14" s="40"/>
      <c r="CR14" s="40"/>
      <c r="CS14" s="40"/>
      <c r="CT14" s="40"/>
      <c r="CU14" s="40"/>
      <c r="CV14" s="1125"/>
      <c r="CW14" s="1120" t="s">
        <v>242</v>
      </c>
      <c r="CX14" s="1120" t="s">
        <v>419</v>
      </c>
      <c r="CY14" s="1126"/>
      <c r="CZ14" s="1120" t="s">
        <v>246</v>
      </c>
      <c r="DA14" s="1126" t="s">
        <v>412</v>
      </c>
      <c r="DB14" s="1126"/>
      <c r="DC14" s="1126"/>
      <c r="DE14" s="1126"/>
      <c r="DF14" s="254"/>
      <c r="DG14" s="254"/>
      <c r="DH14" s="254"/>
      <c r="DI14" s="254"/>
      <c r="DJ14" s="254"/>
      <c r="DK14" s="255"/>
      <c r="DL14" s="255"/>
      <c r="DM14" s="255"/>
      <c r="DN14" s="255"/>
      <c r="DO14" s="255"/>
      <c r="DP14" s="255"/>
      <c r="DQ14" s="254"/>
      <c r="DR14" s="254"/>
      <c r="DS14" s="254"/>
      <c r="DT14" s="254"/>
      <c r="DU14" s="254"/>
      <c r="DV14" s="254"/>
    </row>
    <row r="15" spans="1:126" s="262" customFormat="1" ht="18.75" x14ac:dyDescent="0.25">
      <c r="A15" s="242" t="str">
        <f>IF($D$8="English",CN15,CM15)</f>
        <v>Gründungsjahr*):</v>
      </c>
      <c r="B15" s="242"/>
      <c r="C15" s="272"/>
      <c r="D15" s="1217"/>
      <c r="E15" s="1505" t="str">
        <f>IF($D$8="English",CQ15,CP15)</f>
        <v>Gründungsmonat:</v>
      </c>
      <c r="F15" s="1267"/>
      <c r="G15" s="283"/>
      <c r="H15" s="242" t="str">
        <f>IF($D$8="English",CT15,CS15)</f>
        <v>Rechtsform**):</v>
      </c>
      <c r="I15" s="1607"/>
      <c r="J15" s="1607"/>
      <c r="K15" s="273"/>
      <c r="L15" s="46" t="str">
        <f>IF($D$8="English",CX15,CW15)</f>
        <v>Steuerpflicht:</v>
      </c>
      <c r="M15" s="1081"/>
      <c r="N15" s="1073"/>
      <c r="O15" s="1119" t="str">
        <f>IF($D$8="English",DA15,CZ15)</f>
        <v>umsatzsteuerpflichtig</v>
      </c>
      <c r="P15" s="274"/>
      <c r="Q15" s="274"/>
      <c r="R15" s="1269"/>
      <c r="S15" s="267"/>
      <c r="T15" s="263"/>
      <c r="U15" s="263"/>
      <c r="V15" s="245"/>
      <c r="W15" s="245"/>
      <c r="CK15" s="270"/>
      <c r="CL15" s="270"/>
      <c r="CM15" s="1130" t="s">
        <v>588</v>
      </c>
      <c r="CN15" s="1123" t="s">
        <v>351</v>
      </c>
      <c r="CO15" s="1128"/>
      <c r="CP15" s="1133" t="s">
        <v>229</v>
      </c>
      <c r="CQ15" s="40" t="s">
        <v>420</v>
      </c>
      <c r="CR15" s="189"/>
      <c r="CS15" s="189" t="s">
        <v>589</v>
      </c>
      <c r="CT15" s="1129" t="s">
        <v>590</v>
      </c>
      <c r="CU15" s="1129"/>
      <c r="CV15" s="886"/>
      <c r="CW15" s="1120" t="s">
        <v>243</v>
      </c>
      <c r="CX15" s="1120" t="s">
        <v>417</v>
      </c>
      <c r="CY15" s="1120"/>
      <c r="CZ15" s="1120" t="s">
        <v>143</v>
      </c>
      <c r="DA15" s="1120" t="s">
        <v>341</v>
      </c>
      <c r="DB15" s="1120"/>
      <c r="DC15" s="1120"/>
      <c r="DE15" s="1120"/>
      <c r="DF15" s="270"/>
      <c r="DG15" s="270"/>
      <c r="DH15" s="270"/>
      <c r="DI15" s="270"/>
      <c r="DJ15" s="270"/>
      <c r="DK15" s="240"/>
      <c r="DL15" s="240"/>
      <c r="DM15" s="240"/>
      <c r="DN15" s="240"/>
      <c r="DO15" s="240"/>
      <c r="DP15" s="240"/>
      <c r="DQ15" s="270"/>
      <c r="DR15" s="270"/>
      <c r="DS15" s="270"/>
      <c r="DT15" s="270"/>
      <c r="DU15" s="270"/>
      <c r="DV15" s="270"/>
    </row>
    <row r="16" spans="1:126" s="253" customFormat="1" x14ac:dyDescent="0.2">
      <c r="A16" s="257"/>
      <c r="B16" s="257"/>
      <c r="C16" s="258"/>
      <c r="D16" s="275"/>
      <c r="F16" s="260"/>
      <c r="G16" s="271"/>
      <c r="H16" s="260"/>
      <c r="I16" s="260"/>
      <c r="J16" s="248"/>
      <c r="K16" s="276"/>
      <c r="L16" s="46" t="str">
        <f>IF($D$8="English",CX16,CW16)</f>
        <v xml:space="preserve">Gründungsjahr: </v>
      </c>
      <c r="M16" s="1081"/>
      <c r="N16" s="1073"/>
      <c r="O16" s="1119" t="str">
        <f>IF($D$8="English",DA16,CZ16)</f>
        <v>aktuelles Jahr</v>
      </c>
      <c r="P16" s="274"/>
      <c r="Q16" s="110"/>
      <c r="R16" s="1270"/>
      <c r="S16" s="250"/>
      <c r="T16" s="259"/>
      <c r="U16" s="259"/>
      <c r="V16" s="258"/>
      <c r="W16" s="258"/>
      <c r="CK16" s="254"/>
      <c r="CL16" s="254"/>
      <c r="CM16" s="618"/>
      <c r="CN16" s="1127"/>
      <c r="CO16" s="1128"/>
      <c r="CP16" s="40"/>
      <c r="CQ16" s="40"/>
      <c r="CR16" s="40"/>
      <c r="CS16" s="40"/>
      <c r="CT16" s="40"/>
      <c r="CU16" s="40"/>
      <c r="CV16" s="1125"/>
      <c r="CW16" s="1120" t="s">
        <v>244</v>
      </c>
      <c r="CX16" s="1120" t="s">
        <v>418</v>
      </c>
      <c r="CY16" s="1120"/>
      <c r="CZ16" s="1120" t="s">
        <v>245</v>
      </c>
      <c r="DA16" s="1126" t="s">
        <v>345</v>
      </c>
      <c r="DB16" s="1126"/>
      <c r="DC16" s="1126"/>
      <c r="DE16" s="1126"/>
      <c r="DF16" s="254"/>
      <c r="DG16" s="254"/>
      <c r="DH16" s="254"/>
      <c r="DI16" s="254"/>
      <c r="DJ16" s="254"/>
      <c r="DK16" s="255"/>
      <c r="DL16" s="255"/>
      <c r="DM16" s="255"/>
      <c r="DN16" s="255"/>
      <c r="DO16" s="255"/>
      <c r="DP16" s="255"/>
      <c r="DQ16" s="254"/>
      <c r="DR16" s="254"/>
      <c r="DS16" s="254"/>
      <c r="DT16" s="254"/>
      <c r="DU16" s="254"/>
      <c r="DV16" s="254"/>
    </row>
    <row r="17" spans="1:126" s="262" customFormat="1" ht="18.75" x14ac:dyDescent="0.25">
      <c r="A17" s="242" t="str">
        <f>IF($D$8="English",CN17,CM17)</f>
        <v>Namen GründerIn(nen)*):</v>
      </c>
      <c r="B17" s="242"/>
      <c r="C17" s="272"/>
      <c r="D17" s="1601"/>
      <c r="E17" s="1601"/>
      <c r="F17" s="1601"/>
      <c r="G17" s="1601"/>
      <c r="H17" s="1601"/>
      <c r="I17" s="1601"/>
      <c r="J17" s="1609"/>
      <c r="K17" s="273"/>
      <c r="L17" s="46" t="str">
        <f>IF($D$8="English",CX17,CW17)</f>
        <v>Gründungsmonat:</v>
      </c>
      <c r="M17" s="1081"/>
      <c r="N17" s="1081"/>
      <c r="O17" s="1119" t="str">
        <f>IF($D$8="English",DA17,CZ17)</f>
        <v>Januar</v>
      </c>
      <c r="P17" s="274"/>
      <c r="Q17" s="274"/>
      <c r="R17" s="1269"/>
      <c r="S17" s="267"/>
      <c r="T17" s="263"/>
      <c r="U17" s="263"/>
      <c r="V17" s="245"/>
      <c r="W17" s="245"/>
      <c r="CK17" s="270"/>
      <c r="CL17" s="270"/>
      <c r="CM17" s="1130" t="s">
        <v>591</v>
      </c>
      <c r="CN17" s="1121" t="s">
        <v>336</v>
      </c>
      <c r="CO17" s="1128"/>
      <c r="CP17" s="418"/>
      <c r="CQ17" s="418"/>
      <c r="CR17" s="418"/>
      <c r="CS17" s="418"/>
      <c r="CT17" s="418"/>
      <c r="CU17" s="418"/>
      <c r="CV17" s="886"/>
      <c r="CW17" s="1120" t="s">
        <v>229</v>
      </c>
      <c r="CX17" s="1120" t="s">
        <v>602</v>
      </c>
      <c r="CY17" s="1120"/>
      <c r="CZ17" s="1120" t="s">
        <v>91</v>
      </c>
      <c r="DA17" s="1120" t="s">
        <v>601</v>
      </c>
      <c r="DB17" s="1120"/>
      <c r="DC17" s="1120"/>
      <c r="DD17" s="1120"/>
      <c r="DE17" s="1120"/>
      <c r="DF17" s="270"/>
      <c r="DG17" s="270"/>
      <c r="DH17" s="270"/>
      <c r="DI17" s="270"/>
      <c r="DJ17" s="270"/>
      <c r="DK17" s="240"/>
      <c r="DL17" s="240"/>
      <c r="DM17" s="240"/>
      <c r="DN17" s="240"/>
      <c r="DO17" s="240"/>
      <c r="DP17" s="240"/>
      <c r="DQ17" s="270"/>
      <c r="DR17" s="270"/>
      <c r="DS17" s="270"/>
      <c r="DT17" s="270"/>
      <c r="DU17" s="270"/>
      <c r="DV17" s="270"/>
    </row>
    <row r="18" spans="1:126" s="262" customFormat="1" x14ac:dyDescent="0.25">
      <c r="A18" s="277"/>
      <c r="B18" s="277"/>
      <c r="C18" s="272"/>
      <c r="D18" s="278"/>
      <c r="E18" s="279"/>
      <c r="F18" s="279"/>
      <c r="G18" s="280"/>
      <c r="H18" s="279"/>
      <c r="I18" s="246"/>
      <c r="J18" s="278"/>
      <c r="K18" s="273"/>
      <c r="L18" s="1078"/>
      <c r="M18" s="1081"/>
      <c r="N18" s="1081"/>
      <c r="O18" s="274"/>
      <c r="P18" s="274"/>
      <c r="Q18" s="274"/>
      <c r="R18" s="1269"/>
      <c r="S18" s="267"/>
      <c r="T18" s="263"/>
      <c r="U18" s="263"/>
      <c r="V18" s="263"/>
      <c r="CK18" s="270"/>
      <c r="CL18" s="270"/>
      <c r="CM18" s="1130"/>
      <c r="CN18" s="1121"/>
      <c r="CO18" s="885"/>
      <c r="CP18" s="189"/>
      <c r="CQ18" s="189"/>
      <c r="CR18" s="189"/>
      <c r="CS18" s="189"/>
      <c r="CT18" s="189"/>
      <c r="CU18" s="189"/>
      <c r="CV18" s="886"/>
      <c r="CW18" s="1126"/>
      <c r="CX18" s="1126"/>
      <c r="CY18" s="1120"/>
      <c r="CZ18" s="1120"/>
      <c r="DA18" s="1120"/>
      <c r="DB18" s="1120"/>
      <c r="DC18" s="1120"/>
      <c r="DD18" s="1120"/>
      <c r="DE18" s="1120"/>
      <c r="DF18" s="270"/>
      <c r="DG18" s="270"/>
      <c r="DH18" s="270"/>
      <c r="DI18" s="270"/>
      <c r="DJ18" s="270"/>
      <c r="DK18" s="240"/>
      <c r="DL18" s="240"/>
      <c r="DM18" s="240"/>
      <c r="DN18" s="240"/>
      <c r="DO18" s="240"/>
      <c r="DP18" s="240"/>
      <c r="DQ18" s="270"/>
      <c r="DR18" s="270"/>
      <c r="DS18" s="270"/>
      <c r="DT18" s="270"/>
      <c r="DU18" s="270"/>
      <c r="DV18" s="270"/>
    </row>
    <row r="19" spans="1:126" s="262" customFormat="1" ht="18.75" x14ac:dyDescent="0.25">
      <c r="A19" s="242" t="str">
        <f>IF($D$8="English",CN19,CM19)</f>
        <v>Adresse*):</v>
      </c>
      <c r="B19" s="242"/>
      <c r="C19" s="272"/>
      <c r="D19" s="1608"/>
      <c r="E19" s="1608"/>
      <c r="F19" s="1608"/>
      <c r="G19" s="1608"/>
      <c r="H19" s="1608"/>
      <c r="I19" s="1608"/>
      <c r="J19" s="1608"/>
      <c r="K19" s="273"/>
      <c r="L19"/>
      <c r="M19" s="1081"/>
      <c r="N19" s="1073"/>
      <c r="O19" s="231"/>
      <c r="P19" s="274"/>
      <c r="Q19" s="274"/>
      <c r="R19" s="1269"/>
      <c r="S19" s="267"/>
      <c r="T19" s="263"/>
      <c r="U19" s="263"/>
      <c r="V19" s="263"/>
      <c r="CK19" s="270"/>
      <c r="CL19" s="270"/>
      <c r="CM19" s="1130" t="s">
        <v>592</v>
      </c>
      <c r="CN19" s="1123" t="s">
        <v>335</v>
      </c>
      <c r="CO19" s="1131"/>
      <c r="CP19" s="1129"/>
      <c r="CQ19" s="1129"/>
      <c r="CR19" s="1129"/>
      <c r="CS19" s="1129"/>
      <c r="CT19" s="1129"/>
      <c r="CU19" s="1129"/>
      <c r="CV19" s="886"/>
      <c r="CW19" s="1120" t="s">
        <v>248</v>
      </c>
      <c r="CX19" s="1120" t="s">
        <v>413</v>
      </c>
      <c r="CY19" s="1120"/>
      <c r="CZ19" s="1120"/>
      <c r="DA19" s="1120"/>
      <c r="DB19" s="1120"/>
      <c r="DC19" s="1120"/>
      <c r="DD19" s="1120"/>
      <c r="DE19" s="1120"/>
      <c r="DF19" s="270"/>
      <c r="DG19" s="270"/>
      <c r="DH19" s="270"/>
      <c r="DI19" s="270"/>
      <c r="DJ19" s="270"/>
      <c r="DK19" s="240"/>
      <c r="DL19" s="240"/>
      <c r="DM19" s="240"/>
      <c r="DN19" s="240"/>
      <c r="DO19" s="240"/>
      <c r="DP19" s="240"/>
      <c r="DQ19" s="270"/>
      <c r="DR19" s="270"/>
      <c r="DS19" s="270"/>
      <c r="DT19" s="270"/>
      <c r="DU19" s="270"/>
      <c r="DV19" s="270"/>
    </row>
    <row r="20" spans="1:126" s="262" customFormat="1" x14ac:dyDescent="0.25">
      <c r="A20" s="277"/>
      <c r="B20" s="277"/>
      <c r="C20" s="272"/>
      <c r="D20" s="1608"/>
      <c r="E20" s="1608"/>
      <c r="F20" s="1608"/>
      <c r="G20" s="1608"/>
      <c r="H20" s="1608"/>
      <c r="I20" s="1608"/>
      <c r="J20" s="1608"/>
      <c r="K20" s="281"/>
      <c r="L20"/>
      <c r="M20" s="1081"/>
      <c r="N20" s="1073"/>
      <c r="O20" s="231"/>
      <c r="P20" s="274"/>
      <c r="Q20" s="274"/>
      <c r="R20" s="1269"/>
      <c r="S20" s="267"/>
      <c r="T20" s="263"/>
      <c r="U20" s="263"/>
      <c r="V20" s="263"/>
      <c r="CK20" s="270"/>
      <c r="CL20" s="270"/>
      <c r="CM20" s="1130"/>
      <c r="CN20" s="1121"/>
      <c r="CO20" s="1131"/>
      <c r="CP20" s="1129"/>
      <c r="CQ20" s="1129"/>
      <c r="CR20" s="1129"/>
      <c r="CS20" s="1129"/>
      <c r="CT20" s="1129"/>
      <c r="CU20" s="1129"/>
      <c r="CV20" s="886"/>
      <c r="CW20" s="1120" t="s">
        <v>249</v>
      </c>
      <c r="CX20" s="1120" t="s">
        <v>414</v>
      </c>
      <c r="CY20" s="1120"/>
      <c r="CZ20" s="1120"/>
      <c r="DA20" s="1120"/>
      <c r="DB20" s="1120"/>
      <c r="DC20" s="1120"/>
      <c r="DD20" s="1120"/>
      <c r="DE20" s="1120"/>
      <c r="DF20" s="270"/>
      <c r="DG20" s="270"/>
      <c r="DH20" s="270"/>
      <c r="DI20" s="270"/>
      <c r="DJ20" s="270"/>
      <c r="DK20" s="240"/>
      <c r="DL20" s="240"/>
      <c r="DM20" s="240"/>
      <c r="DN20" s="240"/>
      <c r="DO20" s="240"/>
      <c r="DP20" s="240"/>
      <c r="DQ20" s="270"/>
      <c r="DR20" s="270"/>
      <c r="DS20" s="270"/>
      <c r="DT20" s="270"/>
      <c r="DU20" s="270"/>
      <c r="DV20" s="270"/>
    </row>
    <row r="21" spans="1:126" s="262" customFormat="1" x14ac:dyDescent="0.25">
      <c r="A21" s="282"/>
      <c r="B21" s="282"/>
      <c r="C21" s="245"/>
      <c r="D21" s="278"/>
      <c r="E21" s="279"/>
      <c r="F21" s="279"/>
      <c r="G21" s="280"/>
      <c r="H21" s="279"/>
      <c r="I21" s="246"/>
      <c r="J21" s="278"/>
      <c r="K21" s="273"/>
      <c r="L21"/>
      <c r="M21" s="1081"/>
      <c r="N21" s="1073"/>
      <c r="O21" s="231"/>
      <c r="P21" s="274"/>
      <c r="Q21" s="274"/>
      <c r="R21" s="1269"/>
      <c r="S21" s="267"/>
      <c r="T21" s="263"/>
      <c r="U21" s="263"/>
      <c r="V21" s="263"/>
      <c r="CK21" s="270"/>
      <c r="CL21" s="270"/>
      <c r="CM21" s="1130"/>
      <c r="CN21" s="1121"/>
      <c r="CO21" s="1131"/>
      <c r="CP21" s="1129"/>
      <c r="CQ21" s="1129"/>
      <c r="CR21" s="1129"/>
      <c r="CS21" s="1129"/>
      <c r="CT21" s="1129"/>
      <c r="CU21" s="1129"/>
      <c r="CV21" s="886"/>
      <c r="CW21" s="1120" t="s">
        <v>534</v>
      </c>
      <c r="CX21" s="1120" t="s">
        <v>415</v>
      </c>
      <c r="CY21" s="1120"/>
      <c r="CZ21" s="1120"/>
      <c r="DA21" s="1120"/>
      <c r="DB21" s="1120"/>
      <c r="DC21" s="1120"/>
      <c r="DD21" s="1120"/>
      <c r="DE21" s="1120"/>
      <c r="DF21" s="270"/>
      <c r="DG21" s="270"/>
      <c r="DH21" s="270"/>
      <c r="DI21" s="270"/>
      <c r="DJ21" s="270"/>
      <c r="DK21" s="240"/>
      <c r="DL21" s="240"/>
      <c r="DM21" s="240"/>
      <c r="DN21" s="240"/>
      <c r="DO21" s="240"/>
      <c r="DP21" s="240"/>
      <c r="DQ21" s="270"/>
      <c r="DR21" s="270"/>
      <c r="DS21" s="270"/>
      <c r="DT21" s="270"/>
      <c r="DU21" s="270"/>
      <c r="DV21" s="270"/>
    </row>
    <row r="22" spans="1:126" s="262" customFormat="1" x14ac:dyDescent="0.25">
      <c r="A22" s="242" t="str">
        <f>IF($D$8="English",CN23,CM23)</f>
        <v>Telefon:</v>
      </c>
      <c r="B22" s="242"/>
      <c r="C22" s="272"/>
      <c r="D22" s="1607"/>
      <c r="E22" s="1607"/>
      <c r="G22" s="283"/>
      <c r="H22" s="242" t="str">
        <f>IF($D$8="English",CT23,CS23)</f>
        <v xml:space="preserve">Mobil: </v>
      </c>
      <c r="I22" s="1607"/>
      <c r="J22" s="1607"/>
      <c r="K22" s="273"/>
      <c r="L22"/>
      <c r="M22" s="1081"/>
      <c r="N22" s="1073"/>
      <c r="O22" s="231"/>
      <c r="P22" s="274"/>
      <c r="Q22" s="274"/>
      <c r="R22" s="1269"/>
      <c r="S22" s="267"/>
      <c r="T22" s="263"/>
      <c r="U22" s="263"/>
      <c r="V22" s="263"/>
      <c r="CK22" s="270"/>
      <c r="CL22" s="270"/>
      <c r="CM22" s="1130"/>
      <c r="CN22" s="1121"/>
      <c r="CO22" s="885"/>
      <c r="CP22" s="189"/>
      <c r="CQ22" s="189"/>
      <c r="CR22" s="189"/>
      <c r="CS22" s="189"/>
      <c r="CT22" s="189"/>
      <c r="CU22" s="189"/>
      <c r="CV22" s="886"/>
      <c r="CW22" s="1120" t="s">
        <v>535</v>
      </c>
      <c r="CX22" s="1120"/>
      <c r="CY22" s="1120"/>
      <c r="CZ22" s="1120"/>
      <c r="DA22" s="1120"/>
      <c r="DB22" s="1120"/>
      <c r="DC22" s="1120"/>
      <c r="DD22" s="1120"/>
      <c r="DE22" s="1120"/>
      <c r="DF22" s="270"/>
      <c r="DG22" s="270"/>
      <c r="DH22" s="270"/>
      <c r="DI22" s="270"/>
      <c r="DJ22" s="270"/>
      <c r="DK22" s="240"/>
      <c r="DL22" s="240"/>
      <c r="DM22" s="240"/>
      <c r="DN22" s="240"/>
      <c r="DO22" s="240"/>
      <c r="DP22" s="240"/>
      <c r="DQ22" s="270"/>
      <c r="DR22" s="270"/>
      <c r="DS22" s="270"/>
      <c r="DT22" s="270"/>
      <c r="DU22" s="270"/>
      <c r="DV22" s="270"/>
    </row>
    <row r="23" spans="1:126" s="262" customFormat="1" x14ac:dyDescent="0.25">
      <c r="J23" s="245"/>
      <c r="K23" s="273"/>
      <c r="L23"/>
      <c r="M23" s="1081"/>
      <c r="N23" s="1073"/>
      <c r="O23" s="231"/>
      <c r="P23" s="274"/>
      <c r="Q23" s="274"/>
      <c r="R23" s="1269"/>
      <c r="S23" s="267"/>
      <c r="T23" s="263"/>
      <c r="U23" s="263"/>
      <c r="V23" s="263"/>
      <c r="CK23" s="270"/>
      <c r="CL23" s="270"/>
      <c r="CM23" s="1130" t="s">
        <v>105</v>
      </c>
      <c r="CN23" s="1123" t="s">
        <v>421</v>
      </c>
      <c r="CO23" s="1600"/>
      <c r="CP23" s="1600"/>
      <c r="CQ23" s="189"/>
      <c r="CR23" s="189"/>
      <c r="CS23" s="189" t="s">
        <v>107</v>
      </c>
      <c r="CT23" s="1129" t="s">
        <v>107</v>
      </c>
      <c r="CU23" s="1129"/>
      <c r="CV23" s="886"/>
      <c r="CW23" s="1120" t="s">
        <v>536</v>
      </c>
      <c r="CX23" s="1120" t="s">
        <v>537</v>
      </c>
      <c r="CY23" s="1120"/>
      <c r="CZ23" s="1120"/>
      <c r="DA23" s="1120"/>
      <c r="DB23" s="1120"/>
      <c r="DC23" s="1120"/>
      <c r="DD23" s="1120"/>
      <c r="DE23" s="1120"/>
      <c r="DF23" s="270"/>
      <c r="DG23" s="270"/>
      <c r="DH23" s="270"/>
      <c r="DI23" s="270"/>
      <c r="DJ23" s="270"/>
      <c r="DK23" s="240"/>
      <c r="DL23" s="240"/>
      <c r="DM23" s="240"/>
      <c r="DN23" s="240"/>
      <c r="DO23" s="240"/>
      <c r="DP23" s="240"/>
      <c r="DQ23" s="270"/>
      <c r="DR23" s="270"/>
      <c r="DS23" s="270"/>
      <c r="DT23" s="270"/>
      <c r="DU23" s="270"/>
      <c r="DV23" s="270"/>
    </row>
    <row r="24" spans="1:126" s="262" customFormat="1" x14ac:dyDescent="0.25">
      <c r="A24" s="242" t="str">
        <f>IF($D$8="English",CN25,CM25)</f>
        <v>Mail:</v>
      </c>
      <c r="B24" s="242"/>
      <c r="C24" s="272"/>
      <c r="D24" s="1604"/>
      <c r="E24" s="1604"/>
      <c r="F24" s="1216"/>
      <c r="G24" s="284"/>
      <c r="H24" s="242" t="str">
        <f>IF($D$8="English",CT25,CS25)</f>
        <v>Abgabedatum*):</v>
      </c>
      <c r="I24" s="1605"/>
      <c r="J24" s="1605"/>
      <c r="K24" s="273"/>
      <c r="L24" s="278"/>
      <c r="M24" s="245"/>
      <c r="N24" s="278"/>
      <c r="O24" s="280"/>
      <c r="P24" s="280"/>
      <c r="R24" s="1269"/>
      <c r="S24" s="267"/>
      <c r="T24" s="263"/>
      <c r="U24" s="263"/>
      <c r="V24" s="263"/>
      <c r="CK24" s="270"/>
      <c r="CL24" s="270"/>
      <c r="CM24" s="1130"/>
      <c r="CN24" s="1121"/>
      <c r="CO24" s="885"/>
      <c r="CP24" s="189"/>
      <c r="CQ24" s="189"/>
      <c r="CR24" s="189"/>
      <c r="CS24" s="189"/>
      <c r="CT24" s="189"/>
      <c r="CU24" s="189"/>
      <c r="CV24" s="886"/>
      <c r="CW24" s="219"/>
      <c r="CX24" s="219"/>
      <c r="CY24" s="219"/>
      <c r="CZ24" s="219"/>
      <c r="DA24" s="219"/>
      <c r="DB24" s="219"/>
      <c r="DC24" s="219"/>
      <c r="DD24" s="270"/>
      <c r="DE24" s="270"/>
      <c r="DF24" s="270"/>
      <c r="DG24" s="270"/>
      <c r="DH24" s="270"/>
      <c r="DI24" s="270"/>
      <c r="DJ24" s="270"/>
      <c r="DK24" s="240"/>
      <c r="DL24" s="240"/>
      <c r="DM24" s="240"/>
      <c r="DN24" s="240"/>
      <c r="DO24" s="240"/>
      <c r="DP24" s="240"/>
      <c r="DQ24" s="270"/>
      <c r="DR24" s="270"/>
      <c r="DS24" s="270"/>
      <c r="DT24" s="270"/>
      <c r="DU24" s="270"/>
      <c r="DV24" s="270"/>
    </row>
    <row r="25" spans="1:126" s="262" customFormat="1" x14ac:dyDescent="0.25">
      <c r="J25" s="245"/>
      <c r="K25" s="273"/>
      <c r="L25" s="278"/>
      <c r="M25" s="245"/>
      <c r="N25" s="278"/>
      <c r="O25" s="280"/>
      <c r="R25" s="1269"/>
      <c r="S25" s="267"/>
      <c r="T25" s="263"/>
      <c r="U25" s="263"/>
      <c r="V25" s="263"/>
      <c r="CK25" s="270"/>
      <c r="CL25" s="270"/>
      <c r="CM25" s="1130" t="s">
        <v>106</v>
      </c>
      <c r="CN25" s="1123" t="s">
        <v>422</v>
      </c>
      <c r="CO25" s="1131"/>
      <c r="CP25" s="1129"/>
      <c r="CQ25" s="189"/>
      <c r="CR25" s="1129"/>
      <c r="CS25" s="189" t="s">
        <v>593</v>
      </c>
      <c r="CT25" s="1134" t="s">
        <v>423</v>
      </c>
      <c r="CU25" s="1129"/>
      <c r="CV25" s="886"/>
      <c r="CW25" s="219"/>
      <c r="CX25" s="219"/>
      <c r="CY25" s="219"/>
      <c r="CZ25" s="219"/>
      <c r="DA25" s="219"/>
      <c r="DB25" s="219"/>
      <c r="DC25" s="219"/>
      <c r="DD25" s="270"/>
      <c r="DE25" s="270"/>
      <c r="DF25" s="270"/>
      <c r="DG25" s="270"/>
      <c r="DH25" s="270"/>
      <c r="DI25" s="270"/>
      <c r="DJ25" s="270"/>
      <c r="DK25" s="240"/>
      <c r="DL25" s="240"/>
      <c r="DM25" s="240"/>
      <c r="DN25" s="240"/>
      <c r="DO25" s="240"/>
      <c r="DP25" s="240"/>
      <c r="DQ25" s="270"/>
      <c r="DR25" s="270"/>
      <c r="DS25" s="270"/>
      <c r="DT25" s="270"/>
      <c r="DU25" s="270"/>
      <c r="DV25" s="270"/>
    </row>
    <row r="26" spans="1:126" s="253" customFormat="1" x14ac:dyDescent="0.2">
      <c r="A26" s="257"/>
      <c r="B26" s="257"/>
      <c r="C26" s="258"/>
      <c r="D26" s="275"/>
      <c r="E26" s="285"/>
      <c r="G26" s="286"/>
      <c r="H26" s="285"/>
      <c r="I26" s="260"/>
      <c r="J26" s="275"/>
      <c r="K26" s="276"/>
      <c r="L26" s="275"/>
      <c r="M26" s="258"/>
      <c r="N26" s="275"/>
      <c r="O26" s="286"/>
      <c r="R26" s="1270"/>
      <c r="S26" s="250"/>
      <c r="T26" s="259"/>
      <c r="U26" s="259"/>
      <c r="V26" s="259"/>
      <c r="CK26" s="254"/>
      <c r="CL26" s="254"/>
      <c r="CM26" s="618"/>
      <c r="CN26" s="1127"/>
      <c r="CO26" s="1128"/>
      <c r="CP26" s="40"/>
      <c r="CQ26" s="40"/>
      <c r="CR26" s="40"/>
      <c r="CS26" s="40"/>
      <c r="CT26" s="40"/>
      <c r="CU26" s="40"/>
      <c r="CV26" s="1125"/>
      <c r="CW26" s="60"/>
      <c r="CX26" s="60"/>
      <c r="CY26" s="60"/>
      <c r="CZ26" s="60"/>
      <c r="DA26" s="60"/>
      <c r="DB26" s="60"/>
      <c r="DC26" s="60"/>
      <c r="DD26" s="254"/>
      <c r="DE26" s="254"/>
      <c r="DF26" s="254"/>
      <c r="DG26" s="254"/>
      <c r="DH26" s="254"/>
      <c r="DI26" s="254"/>
      <c r="DJ26" s="254"/>
      <c r="DK26" s="255"/>
      <c r="DL26" s="255"/>
      <c r="DM26" s="255"/>
      <c r="DN26" s="255"/>
      <c r="DO26" s="255"/>
      <c r="DP26" s="255"/>
      <c r="DQ26" s="254"/>
      <c r="DR26" s="254"/>
      <c r="DS26" s="254"/>
      <c r="DT26" s="254"/>
      <c r="DU26" s="254"/>
      <c r="DV26" s="254"/>
    </row>
    <row r="27" spans="1:126" s="253" customFormat="1" x14ac:dyDescent="0.2">
      <c r="C27" s="46" t="str">
        <f>IF($D$8="English",CO27,CN27)</f>
        <v>*) Pflichtfelder sind Mindestangaben für einen Businessplan</v>
      </c>
      <c r="D27" s="110"/>
      <c r="E27" s="110"/>
      <c r="G27" s="259"/>
      <c r="I27" s="260"/>
      <c r="J27" s="258"/>
      <c r="K27" s="276"/>
      <c r="L27" s="258"/>
      <c r="M27" s="258"/>
      <c r="N27" s="258"/>
      <c r="O27" s="259"/>
      <c r="R27" s="1270"/>
      <c r="S27" s="250"/>
      <c r="T27" s="259"/>
      <c r="U27" s="259"/>
      <c r="V27" s="259"/>
      <c r="CK27" s="254"/>
      <c r="CL27" s="254"/>
      <c r="CM27" s="254"/>
      <c r="CN27" s="1127" t="s">
        <v>594</v>
      </c>
      <c r="CO27" s="1128" t="s">
        <v>595</v>
      </c>
      <c r="CP27" s="40"/>
      <c r="CQ27" s="40"/>
      <c r="CR27" s="40"/>
      <c r="CS27" s="40" t="s">
        <v>173</v>
      </c>
      <c r="CT27" s="40"/>
      <c r="CU27" s="40"/>
      <c r="CV27" s="1125"/>
      <c r="CW27" s="60"/>
      <c r="CX27" s="60"/>
      <c r="CY27" s="60"/>
      <c r="CZ27" s="60"/>
      <c r="DA27" s="60"/>
      <c r="DB27" s="60"/>
      <c r="DC27" s="60"/>
      <c r="DD27" s="254"/>
      <c r="DE27" s="254"/>
      <c r="DF27" s="254"/>
      <c r="DG27" s="254"/>
      <c r="DH27" s="254"/>
      <c r="DI27" s="254"/>
      <c r="DJ27" s="254"/>
      <c r="DK27" s="255"/>
      <c r="DL27" s="255"/>
      <c r="DM27" s="255"/>
      <c r="DN27" s="255"/>
      <c r="DO27" s="255"/>
      <c r="DP27" s="255"/>
      <c r="DQ27" s="254"/>
      <c r="DR27" s="254"/>
      <c r="DS27" s="254"/>
      <c r="DT27" s="254"/>
      <c r="DU27" s="254"/>
      <c r="DV27" s="254"/>
    </row>
    <row r="28" spans="1:126" x14ac:dyDescent="0.25">
      <c r="C28" s="46" t="str">
        <f>IF($D$8="English",CO28,CN28)</f>
        <v xml:space="preserve">**) Erläuterung zu Rechtsformen siehe z.B. </v>
      </c>
      <c r="D28" s="288"/>
      <c r="E28" s="288"/>
      <c r="F28" s="289" t="s">
        <v>166</v>
      </c>
      <c r="I28" s="234"/>
      <c r="CN28" s="1135" t="s">
        <v>596</v>
      </c>
      <c r="CO28" s="885" t="s">
        <v>597</v>
      </c>
    </row>
    <row r="32" spans="1:126" x14ac:dyDescent="0.25">
      <c r="K32" s="290"/>
      <c r="CV32" s="886"/>
    </row>
    <row r="33" spans="9:100" x14ac:dyDescent="0.25">
      <c r="K33" s="291"/>
      <c r="CV33" s="886"/>
    </row>
    <row r="34" spans="9:100" x14ac:dyDescent="0.25">
      <c r="K34" s="292"/>
      <c r="CV34" s="1125"/>
    </row>
    <row r="35" spans="9:100" x14ac:dyDescent="0.25">
      <c r="I35" s="234"/>
      <c r="K35" s="293"/>
      <c r="CV35" s="1125"/>
    </row>
    <row r="36" spans="9:100" x14ac:dyDescent="0.25">
      <c r="I36" s="234"/>
      <c r="K36" s="293"/>
      <c r="CV36" s="1125"/>
    </row>
    <row r="37" spans="9:100" x14ac:dyDescent="0.25">
      <c r="I37" s="234"/>
      <c r="K37" s="291"/>
      <c r="CV37" s="886"/>
    </row>
    <row r="38" spans="9:100" x14ac:dyDescent="0.25">
      <c r="I38" s="234"/>
      <c r="K38" s="291"/>
      <c r="CV38" s="886"/>
    </row>
    <row r="39" spans="9:100" x14ac:dyDescent="0.25">
      <c r="I39" s="234"/>
      <c r="K39" s="291"/>
      <c r="CV39" s="886"/>
    </row>
    <row r="40" spans="9:100" x14ac:dyDescent="0.25">
      <c r="I40" s="234"/>
      <c r="K40" s="294"/>
      <c r="CV40" s="1125"/>
    </row>
    <row r="41" spans="9:100" x14ac:dyDescent="0.25">
      <c r="I41" s="234"/>
      <c r="K41" s="291"/>
      <c r="CV41" s="886"/>
    </row>
    <row r="42" spans="9:100" x14ac:dyDescent="0.25">
      <c r="I42" s="234"/>
      <c r="K42" s="291"/>
      <c r="CV42" s="886"/>
    </row>
    <row r="43" spans="9:100" x14ac:dyDescent="0.25">
      <c r="I43" s="234"/>
      <c r="K43" s="291"/>
      <c r="CV43" s="886"/>
    </row>
    <row r="44" spans="9:100" x14ac:dyDescent="0.25">
      <c r="I44" s="234"/>
      <c r="K44" s="294"/>
      <c r="CV44" s="1125"/>
    </row>
    <row r="45" spans="9:100" x14ac:dyDescent="0.25">
      <c r="I45" s="234"/>
      <c r="K45" s="291"/>
      <c r="CV45" s="886"/>
    </row>
    <row r="46" spans="9:100" x14ac:dyDescent="0.25">
      <c r="I46" s="234"/>
      <c r="K46" s="291"/>
      <c r="CV46" s="886"/>
    </row>
    <row r="47" spans="9:100" x14ac:dyDescent="0.25">
      <c r="I47" s="234"/>
      <c r="K47" s="291"/>
      <c r="CV47" s="886"/>
    </row>
    <row r="48" spans="9:100" x14ac:dyDescent="0.25">
      <c r="I48" s="234"/>
      <c r="K48" s="291"/>
      <c r="CV48" s="886"/>
    </row>
    <row r="49" spans="9:100" x14ac:dyDescent="0.25">
      <c r="I49" s="234"/>
      <c r="K49" s="291"/>
      <c r="CV49" s="886"/>
    </row>
    <row r="50" spans="9:100" x14ac:dyDescent="0.25">
      <c r="I50" s="234"/>
      <c r="K50" s="291"/>
      <c r="CV50" s="886"/>
    </row>
    <row r="51" spans="9:100" x14ac:dyDescent="0.25">
      <c r="I51" s="234"/>
      <c r="K51" s="291"/>
      <c r="CV51" s="886"/>
    </row>
    <row r="52" spans="9:100" x14ac:dyDescent="0.25">
      <c r="I52" s="234"/>
      <c r="K52" s="291"/>
      <c r="CV52" s="886"/>
    </row>
    <row r="53" spans="9:100" x14ac:dyDescent="0.25">
      <c r="I53" s="234"/>
      <c r="K53" s="291"/>
      <c r="CV53" s="886"/>
    </row>
    <row r="54" spans="9:100" x14ac:dyDescent="0.25">
      <c r="I54" s="234"/>
      <c r="K54" s="293"/>
      <c r="CV54" s="1125"/>
    </row>
    <row r="55" spans="9:100" x14ac:dyDescent="0.25">
      <c r="I55" s="234"/>
      <c r="K55" s="293"/>
      <c r="CV55" s="1125"/>
    </row>
    <row r="56" spans="9:100" x14ac:dyDescent="0.25">
      <c r="I56" s="234"/>
      <c r="K56" s="291"/>
      <c r="CV56" s="886"/>
    </row>
    <row r="57" spans="9:100" x14ac:dyDescent="0.25">
      <c r="I57" s="234"/>
      <c r="K57" s="291"/>
      <c r="CV57" s="886"/>
    </row>
  </sheetData>
  <sheetProtection algorithmName="SHA-512" hashValue="JHj44GGCBXlLJsklYL0YAsmBzH9ZxCIu9CujBGm0Iy7YsSfGzSnXwFNn0vHcxGslgXT+6ZuNvoGj24FdOzIzqA==" saltValue="UESKLxu4BGRYUpEAcs1QzA==" spinCount="100000" sheet="1" objects="1" scenarios="1" selectLockedCells="1"/>
  <mergeCells count="15">
    <mergeCell ref="D24:E24"/>
    <mergeCell ref="I24:J24"/>
    <mergeCell ref="D13:E13"/>
    <mergeCell ref="I13:J13"/>
    <mergeCell ref="I15:J15"/>
    <mergeCell ref="D19:J19"/>
    <mergeCell ref="D20:J20"/>
    <mergeCell ref="D17:J17"/>
    <mergeCell ref="D22:E22"/>
    <mergeCell ref="I22:J22"/>
    <mergeCell ref="D7:I7"/>
    <mergeCell ref="CO23:CP23"/>
    <mergeCell ref="D11:J11"/>
    <mergeCell ref="I12:J12"/>
    <mergeCell ref="D12:E12"/>
  </mergeCells>
  <conditionalFormatting sqref="CT12:CT13">
    <cfRule type="expression" dxfId="730" priority="99" stopIfTrue="1">
      <formula>IF(CT12&lt;&gt;"",1,"")=1</formula>
    </cfRule>
  </conditionalFormatting>
  <conditionalFormatting sqref="CP11:CS11 CU11">
    <cfRule type="expression" dxfId="729" priority="61" stopIfTrue="1">
      <formula>IF(CP11&lt;&gt;"",1,0)=1</formula>
    </cfRule>
  </conditionalFormatting>
  <conditionalFormatting sqref="CP13">
    <cfRule type="expression" dxfId="728" priority="60" stopIfTrue="1">
      <formula>IF(CP13&lt;&gt;"",1,"")=1</formula>
    </cfRule>
  </conditionalFormatting>
  <conditionalFormatting sqref="CP20:CU20">
    <cfRule type="expression" dxfId="727" priority="59" stopIfTrue="1">
      <formula>IF(CP20&lt;&gt;"",1,"")=1</formula>
    </cfRule>
  </conditionalFormatting>
  <conditionalFormatting sqref="CP19:CU19">
    <cfRule type="expression" dxfId="726" priority="57" stopIfTrue="1">
      <formula>IF(CP19&lt;&gt;"",1,"")=1</formula>
    </cfRule>
  </conditionalFormatting>
  <conditionalFormatting sqref="CP21:CU21">
    <cfRule type="expression" dxfId="725" priority="56" stopIfTrue="1">
      <formula>IF(CP21&lt;&gt;"",1,"")=1</formula>
    </cfRule>
  </conditionalFormatting>
  <conditionalFormatting sqref="CP23">
    <cfRule type="expression" dxfId="724" priority="54" stopIfTrue="1">
      <formula>IF(CP23&lt;&gt;"",1,"")=1</formula>
    </cfRule>
  </conditionalFormatting>
  <conditionalFormatting sqref="CP25">
    <cfRule type="expression" dxfId="723" priority="51" stopIfTrue="1">
      <formula>IF(CP25&lt;&gt;"",1,"")=1</formula>
    </cfRule>
  </conditionalFormatting>
  <conditionalFormatting sqref="CT23:CU23">
    <cfRule type="expression" dxfId="722" priority="50" stopIfTrue="1">
      <formula>IF(CT23&lt;&gt;"",1,"")=1</formula>
    </cfRule>
  </conditionalFormatting>
  <conditionalFormatting sqref="CP17:CU17">
    <cfRule type="expression" dxfId="721" priority="52" stopIfTrue="1">
      <formula>IF(CP17&lt;&gt;"",1,0)=1</formula>
    </cfRule>
  </conditionalFormatting>
  <conditionalFormatting sqref="CT25:CU25">
    <cfRule type="expression" dxfId="720" priority="49" stopIfTrue="1">
      <formula>IF(CT25&lt;&gt;"",1,"")=1</formula>
    </cfRule>
  </conditionalFormatting>
  <conditionalFormatting sqref="CT15:CU15">
    <cfRule type="expression" dxfId="719" priority="48" stopIfTrue="1">
      <formula>IF(CT15&lt;&gt;"",1,"")=1</formula>
    </cfRule>
  </conditionalFormatting>
  <conditionalFormatting sqref="CO11">
    <cfRule type="expression" dxfId="718" priority="33" stopIfTrue="1">
      <formula>IF(CO11&lt;&gt;"",1,0)=1</formula>
    </cfRule>
  </conditionalFormatting>
  <conditionalFormatting sqref="CO13">
    <cfRule type="expression" dxfId="717" priority="32" stopIfTrue="1">
      <formula>IF(CO13&lt;&gt;"",1,"")=1</formula>
    </cfRule>
  </conditionalFormatting>
  <conditionalFormatting sqref="CO20">
    <cfRule type="expression" dxfId="716" priority="31" stopIfTrue="1">
      <formula>IF(CO20&lt;&gt;"",1,"")=1</formula>
    </cfRule>
  </conditionalFormatting>
  <conditionalFormatting sqref="CO19">
    <cfRule type="expression" dxfId="715" priority="30" stopIfTrue="1">
      <formula>IF(CO19&lt;&gt;"",1,"")=1</formula>
    </cfRule>
  </conditionalFormatting>
  <conditionalFormatting sqref="CO21">
    <cfRule type="expression" dxfId="714" priority="29" stopIfTrue="1">
      <formula>IF(CO21&lt;&gt;"",1,"")=1</formula>
    </cfRule>
  </conditionalFormatting>
  <conditionalFormatting sqref="CO23">
    <cfRule type="expression" dxfId="713" priority="28" stopIfTrue="1">
      <formula>IF(CO23&lt;&gt;"",1,"")=1</formula>
    </cfRule>
  </conditionalFormatting>
  <conditionalFormatting sqref="CO25">
    <cfRule type="expression" dxfId="712" priority="25" stopIfTrue="1">
      <formula>IF(CO25&lt;&gt;"",1,"")=1</formula>
    </cfRule>
  </conditionalFormatting>
  <conditionalFormatting sqref="D15">
    <cfRule type="expression" dxfId="711" priority="10" stopIfTrue="1">
      <formula>IF(D15&lt;&gt;"",1,0)=1</formula>
    </cfRule>
  </conditionalFormatting>
  <conditionalFormatting sqref="I15:J15">
    <cfRule type="expression" dxfId="710" priority="5" stopIfTrue="1">
      <formula>IF(I15&lt;&gt;"",1,"")=1</formula>
    </cfRule>
  </conditionalFormatting>
  <conditionalFormatting sqref="D11:J11">
    <cfRule type="expression" dxfId="709" priority="18" stopIfTrue="1">
      <formula>IF(D11&lt;&gt;"",1,0)=1</formula>
    </cfRule>
  </conditionalFormatting>
  <conditionalFormatting sqref="D13:E13">
    <cfRule type="expression" dxfId="708" priority="17" stopIfTrue="1">
      <formula>IF(D13&lt;&gt;"",1,"")=1</formula>
    </cfRule>
  </conditionalFormatting>
  <conditionalFormatting sqref="D20:J20">
    <cfRule type="expression" dxfId="707" priority="16" stopIfTrue="1">
      <formula>IF(D20&lt;&gt;"",1,"")=1</formula>
    </cfRule>
  </conditionalFormatting>
  <conditionalFormatting sqref="D19:J19">
    <cfRule type="expression" dxfId="706" priority="14" stopIfTrue="1">
      <formula>IF(D19&lt;&gt;"",1,"")=1</formula>
    </cfRule>
  </conditionalFormatting>
  <conditionalFormatting sqref="I13:J13">
    <cfRule type="expression" dxfId="705" priority="12" stopIfTrue="1">
      <formula>IF(I13&lt;&gt;"",1,"")=1</formula>
    </cfRule>
  </conditionalFormatting>
  <conditionalFormatting sqref="D22:E22">
    <cfRule type="expression" dxfId="704" priority="11" stopIfTrue="1">
      <formula>IF(D22&lt;&gt;"",1,"")=1</formula>
    </cfRule>
  </conditionalFormatting>
  <conditionalFormatting sqref="D24:E24">
    <cfRule type="expression" dxfId="703" priority="8" stopIfTrue="1">
      <formula>IF(D24&lt;&gt;"",1,"")=1</formula>
    </cfRule>
  </conditionalFormatting>
  <conditionalFormatting sqref="I22:J22">
    <cfRule type="expression" dxfId="702" priority="7" stopIfTrue="1">
      <formula>IF(I22&lt;&gt;"",1,"")=1</formula>
    </cfRule>
  </conditionalFormatting>
  <conditionalFormatting sqref="D17:J17">
    <cfRule type="expression" dxfId="701" priority="9" stopIfTrue="1">
      <formula>IF(D17&lt;&gt;"",1,0)=1</formula>
    </cfRule>
  </conditionalFormatting>
  <conditionalFormatting sqref="I24:J24">
    <cfRule type="expression" dxfId="700" priority="6" stopIfTrue="1">
      <formula>IF(I24&lt;&gt;"",1,"")=1</formula>
    </cfRule>
  </conditionalFormatting>
  <conditionalFormatting sqref="F15">
    <cfRule type="expression" dxfId="699" priority="4" stopIfTrue="1">
      <formula>IF(F15&lt;&gt;"",1,0)=1</formula>
    </cfRule>
  </conditionalFormatting>
  <conditionalFormatting sqref="D17:J17">
    <cfRule type="expression" dxfId="698" priority="3" stopIfTrue="1">
      <formula>IF(D17&lt;&gt;"",1,0)=1</formula>
    </cfRule>
  </conditionalFormatting>
  <conditionalFormatting sqref="D20:J20">
    <cfRule type="expression" dxfId="697" priority="2" stopIfTrue="1">
      <formula>IF(D20&lt;&gt;"",1,"")=1</formula>
    </cfRule>
  </conditionalFormatting>
  <conditionalFormatting sqref="D19:J19">
    <cfRule type="expression" dxfId="696" priority="1" stopIfTrue="1">
      <formula>IF(D19&lt;&gt;"",1,"")=1</formula>
    </cfRule>
  </conditionalFormatting>
  <dataValidations count="6">
    <dataValidation type="list" allowBlank="1" showErrorMessage="1" error="Jahreszahl bitte 4-stellig eingeben" promptTitle="Jahreszahl 4-stellig eingeben" prompt="Aktuelles Jahr und die 3 Folgejahre sind als Eingabe zugelassen" sqref="D15">
      <formula1>$L$1:$L$4</formula1>
    </dataValidation>
    <dataValidation type="list" allowBlank="1" showErrorMessage="1" sqref="CT12 I13:J13">
      <formula1>$G$1:$G$2</formula1>
    </dataValidation>
    <dataValidation type="list" allowBlank="1" showInputMessage="1" showErrorMessage="1" sqref="CP13">
      <formula1>$C$1:$C$4</formula1>
    </dataValidation>
    <dataValidation type="list" allowBlank="1" showInputMessage="1" showErrorMessage="1" sqref="CO13">
      <formula1>$C$1:$C$6</formula1>
    </dataValidation>
    <dataValidation type="list" allowBlank="1" showInputMessage="1" showErrorMessage="1" sqref="D13:E13">
      <formula1>$C$1:$C$5</formula1>
    </dataValidation>
    <dataValidation type="list" allowBlank="1" showInputMessage="1" showErrorMessage="1" sqref="F15">
      <formula1>$V$1:$V$12</formula1>
    </dataValidation>
  </dataValidations>
  <hyperlinks>
    <hyperlink ref="F28" r:id="rId1"/>
  </hyperlinks>
  <printOptions horizontalCentered="1"/>
  <pageMargins left="0.51181102362204722" right="1.1023622047244095" top="0.78740157480314965" bottom="0.78740157480314965" header="0.31496062992125984" footer="0.31496062992125984"/>
  <pageSetup paperSize="9" scale="89" orientation="landscape" r:id="rId2"/>
  <headerFooter>
    <oddFooter>&amp;L&amp;8&amp;A&amp;C&amp;8&amp;F&amp;R&amp;9© 2017 www.Kindermanns.de
Jürgen Erlewein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478"/>
  <sheetViews>
    <sheetView showGridLines="0" topLeftCell="A2" zoomScale="60" zoomScaleNormal="60" zoomScaleSheetLayoutView="81" zoomScalePageLayoutView="50" workbookViewId="0">
      <selection sqref="A1:S1"/>
    </sheetView>
  </sheetViews>
  <sheetFormatPr baseColWidth="10" defaultColWidth="28.85546875" defaultRowHeight="14.25" x14ac:dyDescent="0.2"/>
  <cols>
    <col min="1" max="1" width="2.5703125" style="176" customWidth="1"/>
    <col min="2" max="2" width="5.85546875" style="179" customWidth="1"/>
    <col min="3" max="3" width="60.140625" style="364" customWidth="1"/>
    <col min="4" max="15" width="14.7109375" style="179" customWidth="1"/>
    <col min="16" max="16" width="14.7109375" style="229" customWidth="1"/>
    <col min="17" max="17" width="4.7109375" style="229" customWidth="1"/>
    <col min="18" max="18" width="4.7109375" style="57" customWidth="1"/>
    <col min="19" max="19" width="51.7109375" style="188" customWidth="1"/>
    <col min="20" max="36" width="28.85546875" style="176" customWidth="1"/>
    <col min="37" max="58" width="28.85546875" style="176" hidden="1" customWidth="1"/>
    <col min="59" max="98" width="28.85546875" style="179" hidden="1" customWidth="1"/>
    <col min="99" max="99" width="5.85546875" style="297" hidden="1" customWidth="1"/>
    <col min="100" max="100" width="161.5703125" style="305" hidden="1" customWidth="1"/>
    <col min="101" max="101" width="83.5703125" style="305" hidden="1" customWidth="1"/>
    <col min="102" max="103" width="19.140625" style="179" hidden="1" customWidth="1"/>
    <col min="104" max="156" width="28.85546875" style="179" hidden="1" customWidth="1"/>
    <col min="157" max="16384" width="28.85546875" style="179"/>
  </cols>
  <sheetData>
    <row r="1" spans="1:136" ht="66" customHeight="1" x14ac:dyDescent="0.2"/>
    <row r="2" spans="1:136" s="176" customFormat="1" ht="21.95" customHeight="1" x14ac:dyDescent="0.2">
      <c r="A2" s="175"/>
      <c r="B2" s="177" t="str">
        <f>'Deckblatt Gruender|Data Founder'!$D$8</f>
        <v>Deutsch</v>
      </c>
      <c r="C2" s="295">
        <f ca="1">YEAR(TODAY())</f>
        <v>2019</v>
      </c>
      <c r="E2" s="198"/>
      <c r="F2" s="199"/>
      <c r="O2" s="200"/>
      <c r="P2" s="296"/>
      <c r="Q2" s="296"/>
      <c r="R2" s="57"/>
      <c r="T2" s="182" t="s">
        <v>225</v>
      </c>
      <c r="CU2" s="297"/>
      <c r="CV2" s="180"/>
      <c r="CW2" s="180"/>
      <c r="CZ2" s="40" t="s">
        <v>1</v>
      </c>
      <c r="DA2" s="40" t="s">
        <v>2</v>
      </c>
      <c r="DB2" s="40" t="s">
        <v>3</v>
      </c>
      <c r="DC2" s="40" t="s">
        <v>4</v>
      </c>
      <c r="DD2" s="40" t="s">
        <v>5</v>
      </c>
      <c r="DE2" s="40" t="s">
        <v>6</v>
      </c>
      <c r="DF2" s="40" t="s">
        <v>7</v>
      </c>
      <c r="DG2" s="40" t="s">
        <v>8</v>
      </c>
      <c r="DH2" s="40" t="s">
        <v>9</v>
      </c>
      <c r="DI2" s="40" t="s">
        <v>10</v>
      </c>
      <c r="DJ2" s="40" t="s">
        <v>11</v>
      </c>
      <c r="DK2" s="40" t="s">
        <v>12</v>
      </c>
      <c r="DL2" s="40" t="str">
        <f ca="1">"Jahr "&amp;'1 Pers.Ausgaben|Pers Expenses'!C4</f>
        <v>Jahr 2019</v>
      </c>
    </row>
    <row r="3" spans="1:136" s="183" customFormat="1" ht="24.75" x14ac:dyDescent="0.3">
      <c r="B3" s="397" t="str">
        <f ca="1">IF(B2="English",CW3,CV3)&amp;$C$4</f>
        <v>1a  Persönliche Ausgaben in EUR für die Monate des Jahres 2019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96"/>
      <c r="R3" s="253"/>
      <c r="T3" s="37" t="s">
        <v>317</v>
      </c>
      <c r="CU3" s="209"/>
      <c r="CV3" s="279" t="str">
        <f>"1a  Persönliche Ausgaben in EUR für die Monate des Jahres "</f>
        <v xml:space="preserve">1a  Persönliche Ausgaben in EUR für die Monate des Jahres </v>
      </c>
      <c r="CW3" s="299" t="str">
        <f>"1a  Personal Expenses in EUR for the Months of the Year "</f>
        <v xml:space="preserve">1a  Personal Expenses in EUR for the Months of the Year </v>
      </c>
      <c r="CZ3" s="40" t="s">
        <v>73</v>
      </c>
      <c r="DA3" s="40" t="s">
        <v>74</v>
      </c>
      <c r="DB3" s="40" t="s">
        <v>313</v>
      </c>
      <c r="DC3" s="40" t="s">
        <v>76</v>
      </c>
      <c r="DD3" s="40" t="s">
        <v>310</v>
      </c>
      <c r="DE3" s="40" t="s">
        <v>311</v>
      </c>
      <c r="DF3" s="40" t="s">
        <v>312</v>
      </c>
      <c r="DG3" s="40" t="s">
        <v>79</v>
      </c>
      <c r="DH3" s="40" t="s">
        <v>314</v>
      </c>
      <c r="DI3" s="40" t="s">
        <v>315</v>
      </c>
      <c r="DJ3" s="40" t="s">
        <v>82</v>
      </c>
      <c r="DK3" s="40" t="s">
        <v>316</v>
      </c>
      <c r="DL3" s="40" t="str">
        <f ca="1">"Year "&amp;'1 Pers.Ausgaben|Pers Expenses'!C4</f>
        <v>Year 2019</v>
      </c>
    </row>
    <row r="4" spans="1:136" s="183" customFormat="1" ht="15" thickBot="1" x14ac:dyDescent="0.25">
      <c r="B4" s="177"/>
      <c r="C4" s="295">
        <f ca="1">IF('Deckblatt Gruender|Data Founder'!D15&lt;&gt;"",'Deckblatt Gruender|Data Founder'!D15,'1 Pers.Ausgaben|Pers Expenses'!C2)</f>
        <v>2019</v>
      </c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4"/>
      <c r="O4" s="202"/>
      <c r="P4" s="202"/>
      <c r="Q4" s="296"/>
      <c r="R4" s="35"/>
      <c r="T4" s="37"/>
      <c r="U4" s="202"/>
      <c r="V4" s="202"/>
      <c r="W4" s="202"/>
      <c r="X4" s="202"/>
      <c r="Y4" s="205"/>
      <c r="AB4" s="206"/>
      <c r="AC4" s="206"/>
      <c r="AD4" s="207"/>
      <c r="AE4" s="208"/>
      <c r="AF4" s="208"/>
      <c r="CU4" s="297"/>
      <c r="CV4" s="180"/>
      <c r="CW4" s="180"/>
      <c r="EB4" s="186"/>
      <c r="EC4" s="176"/>
      <c r="ED4" s="176"/>
      <c r="EE4" s="176"/>
      <c r="EF4" s="176"/>
    </row>
    <row r="5" spans="1:136" s="60" customFormat="1" ht="15" thickBot="1" x14ac:dyDescent="0.25">
      <c r="A5" s="57"/>
      <c r="B5" s="51" t="s">
        <v>309</v>
      </c>
      <c r="C5" s="300" t="str">
        <f>IF($B$2="English", CW5,CV5)</f>
        <v>Kostenart</v>
      </c>
      <c r="D5" s="53" t="str">
        <f>IF($B$2="English", CZ3,CZ2)</f>
        <v>Jan.</v>
      </c>
      <c r="E5" s="53" t="str">
        <f t="shared" ref="E5:O5" si="0">IF($B$2="English", DA3,DA2)</f>
        <v>Febr.</v>
      </c>
      <c r="F5" s="53" t="str">
        <f t="shared" si="0"/>
        <v>März</v>
      </c>
      <c r="G5" s="53" t="str">
        <f t="shared" si="0"/>
        <v>April</v>
      </c>
      <c r="H5" s="53" t="str">
        <f t="shared" si="0"/>
        <v>Mai</v>
      </c>
      <c r="I5" s="53" t="str">
        <f t="shared" si="0"/>
        <v>Juni</v>
      </c>
      <c r="J5" s="53" t="str">
        <f t="shared" si="0"/>
        <v>Juli</v>
      </c>
      <c r="K5" s="53" t="str">
        <f t="shared" si="0"/>
        <v>Aug.</v>
      </c>
      <c r="L5" s="53" t="str">
        <f t="shared" si="0"/>
        <v>Sept.</v>
      </c>
      <c r="M5" s="53" t="str">
        <f t="shared" si="0"/>
        <v>Okt.</v>
      </c>
      <c r="N5" s="53" t="str">
        <f t="shared" si="0"/>
        <v>Nov.</v>
      </c>
      <c r="O5" s="53" t="str">
        <f t="shared" si="0"/>
        <v>Dez.</v>
      </c>
      <c r="P5" s="54" t="str">
        <f ca="1">IF(B2="English","Year ","Jahr ")&amp;C4</f>
        <v>Jahr 2019</v>
      </c>
      <c r="Q5" s="296"/>
      <c r="R5" s="55"/>
      <c r="S5" s="56" t="str">
        <f>IF(B2="English",T3,T2)</f>
        <v>Aufgaben und/oder Kommentar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CU5" s="297"/>
      <c r="CV5" s="301" t="s">
        <v>0</v>
      </c>
      <c r="CW5" s="301" t="s">
        <v>394</v>
      </c>
    </row>
    <row r="6" spans="1:136" x14ac:dyDescent="0.2">
      <c r="B6" s="302">
        <v>1</v>
      </c>
      <c r="C6" s="303" t="str">
        <f>IF($B$2="English", CW6,CV6)</f>
        <v>Wohnen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304"/>
      <c r="Q6" s="296"/>
      <c r="R6" s="66"/>
      <c r="CV6" s="305" t="s">
        <v>40</v>
      </c>
      <c r="CW6" s="306" t="s">
        <v>637</v>
      </c>
    </row>
    <row r="7" spans="1:136" x14ac:dyDescent="0.2">
      <c r="B7" s="302"/>
      <c r="C7" s="307" t="str">
        <f t="shared" ref="C7:C13" si="1">IF($B$2="English", CW7,CV7)</f>
        <v>Miete (oder vergleichbare Belastung)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308">
        <f>SUM(D7:O7)</f>
        <v>0</v>
      </c>
      <c r="Q7" s="296"/>
      <c r="S7" s="1556"/>
      <c r="CV7" s="305" t="s">
        <v>13</v>
      </c>
      <c r="CW7" s="71" t="s">
        <v>638</v>
      </c>
    </row>
    <row r="8" spans="1:136" x14ac:dyDescent="0.2">
      <c r="B8" s="302"/>
      <c r="C8" s="307" t="str">
        <f t="shared" si="1"/>
        <v xml:space="preserve">Heizung, Schornsteinfeger, Emission 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308">
        <f t="shared" ref="P8:P14" si="2">SUM(D8:O8)</f>
        <v>0</v>
      </c>
      <c r="Q8" s="296"/>
      <c r="S8" s="1556"/>
      <c r="CV8" s="305" t="s">
        <v>14</v>
      </c>
      <c r="CW8" s="71" t="s">
        <v>639</v>
      </c>
    </row>
    <row r="9" spans="1:136" x14ac:dyDescent="0.2">
      <c r="B9" s="302"/>
      <c r="C9" s="307" t="str">
        <f t="shared" si="1"/>
        <v>Strom, Wasser, Abwasser, Müll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308">
        <f t="shared" si="2"/>
        <v>0</v>
      </c>
      <c r="Q9" s="296"/>
      <c r="S9" s="1556"/>
      <c r="CV9" s="305" t="s">
        <v>15</v>
      </c>
      <c r="CW9" s="71" t="s">
        <v>280</v>
      </c>
    </row>
    <row r="10" spans="1:136" x14ac:dyDescent="0.2">
      <c r="B10" s="302"/>
      <c r="C10" s="307" t="str">
        <f t="shared" si="1"/>
        <v>Telefon, Mobil, Fax, Internet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308">
        <f t="shared" si="2"/>
        <v>0</v>
      </c>
      <c r="Q10" s="296"/>
      <c r="S10" s="1556"/>
      <c r="CV10" s="305" t="s">
        <v>16</v>
      </c>
      <c r="CW10" s="71" t="s">
        <v>640</v>
      </c>
    </row>
    <row r="11" spans="1:136" x14ac:dyDescent="0.2">
      <c r="B11" s="302"/>
      <c r="C11" s="307" t="str">
        <f t="shared" si="1"/>
        <v>Rundfunk / Fernsehen usw.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308">
        <f t="shared" si="2"/>
        <v>0</v>
      </c>
      <c r="Q11" s="296"/>
      <c r="S11" s="1556"/>
      <c r="CV11" s="305" t="s">
        <v>17</v>
      </c>
      <c r="CW11" s="71" t="s">
        <v>646</v>
      </c>
    </row>
    <row r="12" spans="1:136" x14ac:dyDescent="0.2">
      <c r="B12" s="302"/>
      <c r="C12" s="307" t="str">
        <f t="shared" si="1"/>
        <v>Kredit (Zins u. Tilgung)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308">
        <f t="shared" si="2"/>
        <v>0</v>
      </c>
      <c r="Q12" s="296"/>
      <c r="S12" s="1556"/>
      <c r="CV12" s="305" t="s">
        <v>18</v>
      </c>
      <c r="CW12" s="71" t="s">
        <v>266</v>
      </c>
    </row>
    <row r="13" spans="1:136" x14ac:dyDescent="0.2">
      <c r="B13" s="302"/>
      <c r="C13" s="307" t="str">
        <f t="shared" si="1"/>
        <v>Wohnungsreparaturen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308">
        <f t="shared" si="2"/>
        <v>0</v>
      </c>
      <c r="Q13" s="296"/>
      <c r="S13" s="1556"/>
      <c r="CV13" s="305" t="s">
        <v>19</v>
      </c>
      <c r="CW13" s="71" t="s">
        <v>641</v>
      </c>
    </row>
    <row r="14" spans="1:136" x14ac:dyDescent="0.2">
      <c r="B14" s="302"/>
      <c r="C14" s="1555" t="s">
        <v>20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308">
        <f t="shared" si="2"/>
        <v>0</v>
      </c>
      <c r="Q14" s="296"/>
      <c r="S14" s="1556"/>
      <c r="CV14" s="305" t="s">
        <v>20</v>
      </c>
      <c r="CW14" s="71" t="s">
        <v>279</v>
      </c>
    </row>
    <row r="15" spans="1:136" ht="15" thickBot="1" x14ac:dyDescent="0.25">
      <c r="B15" s="309"/>
      <c r="C15" s="310" t="str">
        <f>IF('Deckblatt Gruender|Data Founder'!$D$8="Deutsch",CV15,CW15)</f>
        <v>Summe</v>
      </c>
      <c r="D15" s="311">
        <f>SUM(D7:D14)</f>
        <v>0</v>
      </c>
      <c r="E15" s="311">
        <f t="shared" ref="E15:O15" si="3">SUM(E7:E14)</f>
        <v>0</v>
      </c>
      <c r="F15" s="311">
        <f t="shared" si="3"/>
        <v>0</v>
      </c>
      <c r="G15" s="311">
        <f t="shared" si="3"/>
        <v>0</v>
      </c>
      <c r="H15" s="311">
        <f t="shared" si="3"/>
        <v>0</v>
      </c>
      <c r="I15" s="311">
        <f t="shared" si="3"/>
        <v>0</v>
      </c>
      <c r="J15" s="311">
        <f t="shared" si="3"/>
        <v>0</v>
      </c>
      <c r="K15" s="311">
        <f t="shared" si="3"/>
        <v>0</v>
      </c>
      <c r="L15" s="311">
        <f t="shared" si="3"/>
        <v>0</v>
      </c>
      <c r="M15" s="311">
        <f t="shared" si="3"/>
        <v>0</v>
      </c>
      <c r="N15" s="311">
        <f t="shared" si="3"/>
        <v>0</v>
      </c>
      <c r="O15" s="311">
        <f t="shared" si="3"/>
        <v>0</v>
      </c>
      <c r="P15" s="312">
        <f>SUM(P7:P14)</f>
        <v>0</v>
      </c>
      <c r="Q15" s="296"/>
      <c r="CV15" s="305" t="s">
        <v>42</v>
      </c>
      <c r="CW15" s="306" t="s">
        <v>258</v>
      </c>
    </row>
    <row r="16" spans="1:136" ht="15" thickTop="1" x14ac:dyDescent="0.2">
      <c r="B16" s="302">
        <v>2</v>
      </c>
      <c r="C16" s="303" t="str">
        <f>IF($B$2="English", CW16,CV16)</f>
        <v>Lebensunterhalt / Haushaltsgeld</v>
      </c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308"/>
      <c r="Q16" s="296"/>
      <c r="CV16" s="305" t="s">
        <v>21</v>
      </c>
      <c r="CW16" s="313" t="s">
        <v>642</v>
      </c>
    </row>
    <row r="17" spans="2:101" x14ac:dyDescent="0.2">
      <c r="B17" s="302"/>
      <c r="C17" s="307" t="str">
        <f>IF($B$2="English", CW17,CV17)</f>
        <v>Lebensmittel , auswärts Essen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308">
        <f>SUM(D17:O17)</f>
        <v>0</v>
      </c>
      <c r="Q17" s="296"/>
      <c r="S17" s="1556"/>
      <c r="CV17" s="305" t="s">
        <v>22</v>
      </c>
      <c r="CW17" s="71" t="s">
        <v>643</v>
      </c>
    </row>
    <row r="18" spans="2:101" x14ac:dyDescent="0.2">
      <c r="B18" s="302"/>
      <c r="C18" s="307" t="str">
        <f>IF($B$2="English", CW18,CV18)</f>
        <v>Kleidung, kosmetika, Sonstiges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308">
        <f>SUM(D18:O18)</f>
        <v>0</v>
      </c>
      <c r="Q18" s="296"/>
      <c r="S18" s="1556"/>
      <c r="CV18" s="305" t="s">
        <v>23</v>
      </c>
      <c r="CW18" s="71" t="s">
        <v>644</v>
      </c>
    </row>
    <row r="19" spans="2:101" ht="15" thickBot="1" x14ac:dyDescent="0.25">
      <c r="B19" s="309"/>
      <c r="C19" s="310" t="str">
        <f>IF('Deckblatt Gruender|Data Founder'!$D$8="Deutsch",CV19,CW19)</f>
        <v>Summe</v>
      </c>
      <c r="D19" s="311">
        <f>SUM(D17:D18)</f>
        <v>0</v>
      </c>
      <c r="E19" s="311">
        <f t="shared" ref="E19:O19" si="4">SUM(E17:E18)</f>
        <v>0</v>
      </c>
      <c r="F19" s="311">
        <f t="shared" si="4"/>
        <v>0</v>
      </c>
      <c r="G19" s="311">
        <f t="shared" si="4"/>
        <v>0</v>
      </c>
      <c r="H19" s="311">
        <f t="shared" si="4"/>
        <v>0</v>
      </c>
      <c r="I19" s="311">
        <f t="shared" si="4"/>
        <v>0</v>
      </c>
      <c r="J19" s="311">
        <f t="shared" si="4"/>
        <v>0</v>
      </c>
      <c r="K19" s="311">
        <f t="shared" si="4"/>
        <v>0</v>
      </c>
      <c r="L19" s="311">
        <f t="shared" si="4"/>
        <v>0</v>
      </c>
      <c r="M19" s="311">
        <f t="shared" si="4"/>
        <v>0</v>
      </c>
      <c r="N19" s="311">
        <f t="shared" si="4"/>
        <v>0</v>
      </c>
      <c r="O19" s="311">
        <f t="shared" si="4"/>
        <v>0</v>
      </c>
      <c r="P19" s="312">
        <f>SUM(P17:P18)</f>
        <v>0</v>
      </c>
      <c r="Q19" s="296"/>
      <c r="CV19" s="305" t="s">
        <v>42</v>
      </c>
      <c r="CW19" s="306" t="s">
        <v>258</v>
      </c>
    </row>
    <row r="20" spans="2:101" ht="15" thickTop="1" x14ac:dyDescent="0.2">
      <c r="B20" s="302">
        <v>3</v>
      </c>
      <c r="C20" s="303" t="str">
        <f>IF($B$2="English", CW20,CV20)</f>
        <v>PKW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308"/>
      <c r="Q20" s="296"/>
      <c r="CV20" s="305" t="s">
        <v>41</v>
      </c>
      <c r="CW20" s="313" t="s">
        <v>272</v>
      </c>
    </row>
    <row r="21" spans="2:101" x14ac:dyDescent="0.2">
      <c r="B21" s="302"/>
      <c r="C21" s="307" t="str">
        <f>IF($B$2="English", CW21,CV21)</f>
        <v>Kredit (Zins u. Tilgung) / Leasing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308">
        <f>SUM(D21:O21)</f>
        <v>0</v>
      </c>
      <c r="Q21" s="296"/>
      <c r="S21" s="1556"/>
      <c r="CV21" s="305" t="s">
        <v>24</v>
      </c>
      <c r="CW21" s="71" t="s">
        <v>267</v>
      </c>
    </row>
    <row r="22" spans="2:101" x14ac:dyDescent="0.2">
      <c r="B22" s="302"/>
      <c r="C22" s="307" t="str">
        <f>IF($B$2="English", CW22,CV22)</f>
        <v>Versicherung, Steuern, Reparaturen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308">
        <f>SUM(D22:O22)</f>
        <v>0</v>
      </c>
      <c r="Q22" s="296"/>
      <c r="S22" s="1556"/>
      <c r="CV22" s="305" t="s">
        <v>25</v>
      </c>
      <c r="CW22" s="71" t="s">
        <v>293</v>
      </c>
    </row>
    <row r="23" spans="2:101" x14ac:dyDescent="0.2">
      <c r="B23" s="302"/>
      <c r="C23" s="307" t="str">
        <f>IF($B$2="English", CW23,CV23)</f>
        <v>Benzin / Diesel / Reparaturen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308">
        <f>SUM(D23:O23)</f>
        <v>0</v>
      </c>
      <c r="Q23" s="296"/>
      <c r="S23" s="1556"/>
      <c r="CV23" s="305" t="s">
        <v>26</v>
      </c>
      <c r="CW23" s="71" t="s">
        <v>645</v>
      </c>
    </row>
    <row r="24" spans="2:101" ht="15" thickBot="1" x14ac:dyDescent="0.25">
      <c r="B24" s="309"/>
      <c r="C24" s="310" t="str">
        <f>IF('Deckblatt Gruender|Data Founder'!$D$8="Deutsch",CV24,CW24)</f>
        <v>Summe</v>
      </c>
      <c r="D24" s="311">
        <f>SUM(D21:D23)</f>
        <v>0</v>
      </c>
      <c r="E24" s="311">
        <f t="shared" ref="E24:O24" si="5">SUM(E21:E23)</f>
        <v>0</v>
      </c>
      <c r="F24" s="311">
        <f t="shared" si="5"/>
        <v>0</v>
      </c>
      <c r="G24" s="311">
        <f t="shared" si="5"/>
        <v>0</v>
      </c>
      <c r="H24" s="311">
        <f t="shared" si="5"/>
        <v>0</v>
      </c>
      <c r="I24" s="311">
        <f t="shared" si="5"/>
        <v>0</v>
      </c>
      <c r="J24" s="311">
        <f t="shared" si="5"/>
        <v>0</v>
      </c>
      <c r="K24" s="311">
        <f t="shared" si="5"/>
        <v>0</v>
      </c>
      <c r="L24" s="311">
        <f t="shared" si="5"/>
        <v>0</v>
      </c>
      <c r="M24" s="311">
        <f t="shared" si="5"/>
        <v>0</v>
      </c>
      <c r="N24" s="311">
        <f t="shared" si="5"/>
        <v>0</v>
      </c>
      <c r="O24" s="311">
        <f t="shared" si="5"/>
        <v>0</v>
      </c>
      <c r="P24" s="312">
        <f>SUM(P21:P23)</f>
        <v>0</v>
      </c>
      <c r="Q24" s="296"/>
      <c r="CV24" s="305" t="s">
        <v>42</v>
      </c>
      <c r="CW24" s="306" t="s">
        <v>258</v>
      </c>
    </row>
    <row r="25" spans="2:101" ht="15" thickTop="1" x14ac:dyDescent="0.2">
      <c r="B25" s="302">
        <v>4</v>
      </c>
      <c r="C25" s="303" t="str">
        <f t="shared" ref="C25:C34" si="6">IF($B$2="English", CW25,CV25)</f>
        <v>Versicherungen</v>
      </c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308"/>
      <c r="Q25" s="296"/>
      <c r="CV25" s="305" t="s">
        <v>27</v>
      </c>
      <c r="CW25" s="313" t="s">
        <v>294</v>
      </c>
    </row>
    <row r="26" spans="2:101" x14ac:dyDescent="0.2">
      <c r="B26" s="302"/>
      <c r="C26" s="307" t="str">
        <f t="shared" si="6"/>
        <v>Rentenversicherung, freiw. Versicher. 1)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308">
        <f>SUM(D26:O26)</f>
        <v>0</v>
      </c>
      <c r="Q26" s="296"/>
      <c r="S26" s="1556"/>
      <c r="CV26" s="305" t="s">
        <v>690</v>
      </c>
      <c r="CW26" s="71" t="s">
        <v>695</v>
      </c>
    </row>
    <row r="27" spans="2:101" x14ac:dyDescent="0.2">
      <c r="B27" s="302"/>
      <c r="C27" s="307" t="str">
        <f t="shared" si="6"/>
        <v>Krankenversicherung u Medikamente 2)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308">
        <f>SUM(D27:O27)</f>
        <v>0</v>
      </c>
      <c r="Q27" s="296"/>
      <c r="S27" s="1556"/>
      <c r="CV27" s="305" t="s">
        <v>691</v>
      </c>
      <c r="CW27" s="71" t="s">
        <v>696</v>
      </c>
    </row>
    <row r="28" spans="2:101" x14ac:dyDescent="0.2">
      <c r="B28" s="302"/>
      <c r="C28" s="307" t="str">
        <f t="shared" si="6"/>
        <v>Unfallversicherung, Berufsunfähigkeit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308">
        <f>SUM(D28:O28)</f>
        <v>0</v>
      </c>
      <c r="Q28" s="296"/>
      <c r="S28" s="1556"/>
      <c r="CV28" s="305" t="s">
        <v>28</v>
      </c>
      <c r="CW28" s="71" t="s">
        <v>290</v>
      </c>
    </row>
    <row r="29" spans="2:101" x14ac:dyDescent="0.2">
      <c r="B29" s="302"/>
      <c r="C29" s="307" t="str">
        <f t="shared" si="6"/>
        <v>Hausratsversicherung, Haftpflicht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308">
        <f>SUM(D29:O29)</f>
        <v>0</v>
      </c>
      <c r="Q29" s="296"/>
      <c r="S29" s="1556"/>
      <c r="CV29" s="305" t="s">
        <v>29</v>
      </c>
      <c r="CW29" s="71" t="s">
        <v>649</v>
      </c>
    </row>
    <row r="30" spans="2:101" x14ac:dyDescent="0.2">
      <c r="B30" s="302"/>
      <c r="C30" s="307" t="str">
        <f t="shared" si="6"/>
        <v>Sonstige.Versicherungen.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308">
        <f>SUM(D30:O30)</f>
        <v>0</v>
      </c>
      <c r="Q30" s="296"/>
      <c r="S30" s="1556"/>
      <c r="CV30" s="305" t="s">
        <v>30</v>
      </c>
      <c r="CW30" s="71" t="s">
        <v>278</v>
      </c>
    </row>
    <row r="31" spans="2:101" ht="15" thickBot="1" x14ac:dyDescent="0.25">
      <c r="B31" s="309"/>
      <c r="C31" s="310" t="str">
        <f t="shared" si="6"/>
        <v>Summe</v>
      </c>
      <c r="D31" s="311">
        <f>SUM(D26:D30)</f>
        <v>0</v>
      </c>
      <c r="E31" s="311">
        <f t="shared" ref="E31:O31" si="7">SUM(E26:E30)</f>
        <v>0</v>
      </c>
      <c r="F31" s="311">
        <f t="shared" si="7"/>
        <v>0</v>
      </c>
      <c r="G31" s="311">
        <f t="shared" si="7"/>
        <v>0</v>
      </c>
      <c r="H31" s="311">
        <f t="shared" si="7"/>
        <v>0</v>
      </c>
      <c r="I31" s="311">
        <f t="shared" si="7"/>
        <v>0</v>
      </c>
      <c r="J31" s="311">
        <f t="shared" si="7"/>
        <v>0</v>
      </c>
      <c r="K31" s="311">
        <f t="shared" si="7"/>
        <v>0</v>
      </c>
      <c r="L31" s="311">
        <f t="shared" si="7"/>
        <v>0</v>
      </c>
      <c r="M31" s="311">
        <f t="shared" si="7"/>
        <v>0</v>
      </c>
      <c r="N31" s="311">
        <f t="shared" si="7"/>
        <v>0</v>
      </c>
      <c r="O31" s="311">
        <f t="shared" si="7"/>
        <v>0</v>
      </c>
      <c r="P31" s="312">
        <f>SUM(P26:P30)</f>
        <v>0</v>
      </c>
      <c r="Q31" s="296"/>
      <c r="CV31" s="305" t="s">
        <v>42</v>
      </c>
      <c r="CW31" s="306" t="s">
        <v>258</v>
      </c>
    </row>
    <row r="32" spans="2:101" ht="15" thickTop="1" x14ac:dyDescent="0.2">
      <c r="B32" s="302">
        <v>5</v>
      </c>
      <c r="C32" s="303" t="str">
        <f t="shared" si="6"/>
        <v>Freizeit / Unterhaltung</v>
      </c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308"/>
      <c r="Q32" s="296"/>
      <c r="CV32" s="305" t="s">
        <v>31</v>
      </c>
      <c r="CW32" s="313" t="s">
        <v>263</v>
      </c>
    </row>
    <row r="33" spans="1:101" x14ac:dyDescent="0.2">
      <c r="B33" s="302"/>
      <c r="C33" s="307" t="str">
        <f t="shared" si="6"/>
        <v xml:space="preserve">Hobby, Bücher, Geschenke 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308">
        <f>SUM(D33:O33)</f>
        <v>0</v>
      </c>
      <c r="Q33" s="296"/>
      <c r="S33" s="1556"/>
      <c r="CV33" s="305" t="s">
        <v>32</v>
      </c>
      <c r="CW33" s="71" t="s">
        <v>647</v>
      </c>
    </row>
    <row r="34" spans="1:101" x14ac:dyDescent="0.2">
      <c r="B34" s="302"/>
      <c r="C34" s="307" t="str">
        <f t="shared" si="6"/>
        <v>Urlaub, Reisen, Sonstiges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308">
        <f>SUM(D34:O34)</f>
        <v>0</v>
      </c>
      <c r="Q34" s="296"/>
      <c r="S34" s="1556"/>
      <c r="CV34" s="305" t="s">
        <v>33</v>
      </c>
      <c r="CW34" s="71" t="s">
        <v>648</v>
      </c>
    </row>
    <row r="35" spans="1:101" ht="15" thickBot="1" x14ac:dyDescent="0.25">
      <c r="B35" s="309"/>
      <c r="C35" s="310" t="str">
        <f>IF('Deckblatt Gruender|Data Founder'!$D$8="Deutsch",CV35,CW35)</f>
        <v>Summe</v>
      </c>
      <c r="D35" s="311">
        <f>SUM(D33:D34)</f>
        <v>0</v>
      </c>
      <c r="E35" s="311">
        <f t="shared" ref="E35:O35" si="8">SUM(E33:E34)</f>
        <v>0</v>
      </c>
      <c r="F35" s="311">
        <f t="shared" si="8"/>
        <v>0</v>
      </c>
      <c r="G35" s="311">
        <f t="shared" si="8"/>
        <v>0</v>
      </c>
      <c r="H35" s="311">
        <f t="shared" si="8"/>
        <v>0</v>
      </c>
      <c r="I35" s="311">
        <f t="shared" si="8"/>
        <v>0</v>
      </c>
      <c r="J35" s="311">
        <f t="shared" si="8"/>
        <v>0</v>
      </c>
      <c r="K35" s="311">
        <f t="shared" si="8"/>
        <v>0</v>
      </c>
      <c r="L35" s="311">
        <f t="shared" si="8"/>
        <v>0</v>
      </c>
      <c r="M35" s="311">
        <f t="shared" si="8"/>
        <v>0</v>
      </c>
      <c r="N35" s="311">
        <f t="shared" si="8"/>
        <v>0</v>
      </c>
      <c r="O35" s="311">
        <f t="shared" si="8"/>
        <v>0</v>
      </c>
      <c r="P35" s="312">
        <f>SUM(P33:P34)</f>
        <v>0</v>
      </c>
      <c r="Q35" s="296"/>
      <c r="R35" s="94"/>
      <c r="CV35" s="305" t="s">
        <v>42</v>
      </c>
      <c r="CW35" s="306" t="s">
        <v>258</v>
      </c>
    </row>
    <row r="36" spans="1:101" ht="15" thickTop="1" x14ac:dyDescent="0.2">
      <c r="B36" s="314">
        <v>6</v>
      </c>
      <c r="C36" s="303" t="str">
        <f>IF($B$2="English", CW36,CV36)</f>
        <v>Zahlungsverpflichtungen</v>
      </c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308"/>
      <c r="Q36" s="296"/>
      <c r="CV36" s="305" t="s">
        <v>37</v>
      </c>
      <c r="CW36" s="313" t="s">
        <v>296</v>
      </c>
    </row>
    <row r="37" spans="1:101" x14ac:dyDescent="0.2">
      <c r="B37" s="302"/>
      <c r="C37" s="307" t="str">
        <f>IF($B$2="English", CW37,CV37)</f>
        <v>Unterhalt, Kredittilgung, Weiterbildung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308">
        <f>SUM(D37:O37)</f>
        <v>0</v>
      </c>
      <c r="Q37" s="296"/>
      <c r="S37" s="1556"/>
      <c r="CV37" s="305" t="s">
        <v>38</v>
      </c>
      <c r="CW37" s="71" t="s">
        <v>650</v>
      </c>
    </row>
    <row r="38" spans="1:101" x14ac:dyDescent="0.2">
      <c r="B38" s="302"/>
      <c r="C38" s="307" t="str">
        <f>IF($B$2="English", CW38,CV38)</f>
        <v>Sonstige private Kredite (Zins + Tilg.)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308">
        <f>SUM(D38:O38)</f>
        <v>0</v>
      </c>
      <c r="Q38" s="296"/>
      <c r="S38" s="1556"/>
      <c r="CV38" s="305" t="s">
        <v>39</v>
      </c>
      <c r="CW38" s="71" t="s">
        <v>277</v>
      </c>
    </row>
    <row r="39" spans="1:101" ht="15" thickBot="1" x14ac:dyDescent="0.25">
      <c r="A39" s="186"/>
      <c r="B39" s="309"/>
      <c r="C39" s="310" t="str">
        <f>IF('Deckblatt Gruender|Data Founder'!$D$8="Deutsch",CV39,CW39)</f>
        <v>Summe</v>
      </c>
      <c r="D39" s="311">
        <f>SUM(D37:D38)</f>
        <v>0</v>
      </c>
      <c r="E39" s="311">
        <f t="shared" ref="E39:O39" si="9">SUM(E37:E38)</f>
        <v>0</v>
      </c>
      <c r="F39" s="311">
        <f t="shared" si="9"/>
        <v>0</v>
      </c>
      <c r="G39" s="311">
        <f t="shared" si="9"/>
        <v>0</v>
      </c>
      <c r="H39" s="311">
        <f t="shared" si="9"/>
        <v>0</v>
      </c>
      <c r="I39" s="311">
        <f t="shared" si="9"/>
        <v>0</v>
      </c>
      <c r="J39" s="311">
        <f t="shared" si="9"/>
        <v>0</v>
      </c>
      <c r="K39" s="311">
        <f t="shared" si="9"/>
        <v>0</v>
      </c>
      <c r="L39" s="311">
        <f t="shared" si="9"/>
        <v>0</v>
      </c>
      <c r="M39" s="311">
        <f t="shared" si="9"/>
        <v>0</v>
      </c>
      <c r="N39" s="311">
        <f t="shared" si="9"/>
        <v>0</v>
      </c>
      <c r="O39" s="311">
        <f t="shared" si="9"/>
        <v>0</v>
      </c>
      <c r="P39" s="312">
        <f>SUM(P37:P38)</f>
        <v>0</v>
      </c>
      <c r="Q39" s="296"/>
      <c r="CV39" s="305" t="s">
        <v>42</v>
      </c>
      <c r="CW39" s="306" t="s">
        <v>258</v>
      </c>
    </row>
    <row r="40" spans="1:101" ht="15" thickTop="1" x14ac:dyDescent="0.2">
      <c r="B40" s="314">
        <v>7</v>
      </c>
      <c r="C40" s="303" t="str">
        <f>IF($B$2="English", CW40,CV40)</f>
        <v>Verschiedenes</v>
      </c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308"/>
      <c r="Q40" s="296"/>
      <c r="CV40" s="305" t="s">
        <v>34</v>
      </c>
      <c r="CW40" s="313" t="s">
        <v>292</v>
      </c>
    </row>
    <row r="41" spans="1:101" x14ac:dyDescent="0.2">
      <c r="B41" s="302"/>
      <c r="C41" s="307" t="str">
        <f>IF($B$2="English", CW41,CV41)</f>
        <v>Vereinsbeiträge, Spenden, Bausparen</v>
      </c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308">
        <f>SUM(D41:O41)</f>
        <v>0</v>
      </c>
      <c r="Q41" s="296"/>
      <c r="R41" s="95"/>
      <c r="S41" s="1556"/>
      <c r="CV41" s="305" t="s">
        <v>35</v>
      </c>
      <c r="CW41" s="71" t="s">
        <v>291</v>
      </c>
    </row>
    <row r="42" spans="1:101" x14ac:dyDescent="0.2">
      <c r="B42" s="302"/>
      <c r="C42" s="307" t="str">
        <f>IF($B$2="English", CW43,CV43)</f>
        <v>Beratung (Steuer, Recht usw.)</v>
      </c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308">
        <f>SUM(D42:O42)</f>
        <v>0</v>
      </c>
      <c r="Q42" s="296"/>
      <c r="R42" s="95"/>
      <c r="S42" s="1556"/>
      <c r="CW42" s="71"/>
    </row>
    <row r="43" spans="1:101" x14ac:dyDescent="0.2">
      <c r="B43" s="302"/>
      <c r="C43" s="1555" t="s">
        <v>470</v>
      </c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308">
        <f>SUM(D43:O43)</f>
        <v>0</v>
      </c>
      <c r="Q43" s="296"/>
      <c r="S43" s="1556"/>
      <c r="CV43" s="305" t="s">
        <v>36</v>
      </c>
      <c r="CW43" s="71" t="s">
        <v>651</v>
      </c>
    </row>
    <row r="44" spans="1:101" ht="15" thickBot="1" x14ac:dyDescent="0.25">
      <c r="B44" s="309"/>
      <c r="C44" s="310" t="str">
        <f>IF('Deckblatt Gruender|Data Founder'!$D$8="Deutsch",CV44,CW44)</f>
        <v>Summe</v>
      </c>
      <c r="D44" s="311">
        <f t="shared" ref="D44:P44" si="10">SUM(D41:D43)</f>
        <v>0</v>
      </c>
      <c r="E44" s="311">
        <f t="shared" si="10"/>
        <v>0</v>
      </c>
      <c r="F44" s="311">
        <f t="shared" si="10"/>
        <v>0</v>
      </c>
      <c r="G44" s="311">
        <f t="shared" si="10"/>
        <v>0</v>
      </c>
      <c r="H44" s="311">
        <f t="shared" si="10"/>
        <v>0</v>
      </c>
      <c r="I44" s="311">
        <f t="shared" si="10"/>
        <v>0</v>
      </c>
      <c r="J44" s="311">
        <f t="shared" si="10"/>
        <v>0</v>
      </c>
      <c r="K44" s="311">
        <f t="shared" si="10"/>
        <v>0</v>
      </c>
      <c r="L44" s="311">
        <f t="shared" si="10"/>
        <v>0</v>
      </c>
      <c r="M44" s="311">
        <f t="shared" si="10"/>
        <v>0</v>
      </c>
      <c r="N44" s="311">
        <f t="shared" si="10"/>
        <v>0</v>
      </c>
      <c r="O44" s="311">
        <f t="shared" si="10"/>
        <v>0</v>
      </c>
      <c r="P44" s="312">
        <f t="shared" si="10"/>
        <v>0</v>
      </c>
      <c r="Q44" s="296"/>
      <c r="CV44" s="305" t="s">
        <v>42</v>
      </c>
      <c r="CW44" s="306" t="s">
        <v>258</v>
      </c>
    </row>
    <row r="45" spans="1:101" ht="15.75" thickTop="1" thickBot="1" x14ac:dyDescent="0.25">
      <c r="B45" s="315"/>
      <c r="C45" s="316" t="str">
        <f>IF($B$2="English", CW45,CV45)</f>
        <v xml:space="preserve">Gesamtausgaben o. Einkommensteuer </v>
      </c>
      <c r="D45" s="317">
        <f t="shared" ref="D45:O45" si="11">SUM(D6:D44)/2</f>
        <v>0</v>
      </c>
      <c r="E45" s="317">
        <f t="shared" si="11"/>
        <v>0</v>
      </c>
      <c r="F45" s="317">
        <f t="shared" si="11"/>
        <v>0</v>
      </c>
      <c r="G45" s="317">
        <f t="shared" si="11"/>
        <v>0</v>
      </c>
      <c r="H45" s="317">
        <f t="shared" si="11"/>
        <v>0</v>
      </c>
      <c r="I45" s="317">
        <f t="shared" si="11"/>
        <v>0</v>
      </c>
      <c r="J45" s="317">
        <f t="shared" si="11"/>
        <v>0</v>
      </c>
      <c r="K45" s="317">
        <f t="shared" si="11"/>
        <v>0</v>
      </c>
      <c r="L45" s="317">
        <f t="shared" si="11"/>
        <v>0</v>
      </c>
      <c r="M45" s="317">
        <f t="shared" si="11"/>
        <v>0</v>
      </c>
      <c r="N45" s="317">
        <f t="shared" si="11"/>
        <v>0</v>
      </c>
      <c r="O45" s="317">
        <f t="shared" si="11"/>
        <v>0</v>
      </c>
      <c r="P45" s="318">
        <f>SUM(P7:P44)/2</f>
        <v>0</v>
      </c>
      <c r="Q45" s="296"/>
      <c r="CV45" s="305" t="s">
        <v>694</v>
      </c>
      <c r="CW45" s="313" t="s">
        <v>693</v>
      </c>
    </row>
    <row r="46" spans="1:101" s="177" customFormat="1" x14ac:dyDescent="0.2">
      <c r="C46" s="319"/>
      <c r="D46" s="320">
        <f>IF(D45=0,0,1)</f>
        <v>0</v>
      </c>
      <c r="E46" s="320">
        <f t="shared" ref="E46:O46" si="12">IF(E45=0,0,1)</f>
        <v>0</v>
      </c>
      <c r="F46" s="320">
        <f t="shared" si="12"/>
        <v>0</v>
      </c>
      <c r="G46" s="320">
        <f t="shared" si="12"/>
        <v>0</v>
      </c>
      <c r="H46" s="320">
        <f t="shared" si="12"/>
        <v>0</v>
      </c>
      <c r="I46" s="320">
        <f t="shared" si="12"/>
        <v>0</v>
      </c>
      <c r="J46" s="320">
        <f t="shared" si="12"/>
        <v>0</v>
      </c>
      <c r="K46" s="320">
        <f t="shared" si="12"/>
        <v>0</v>
      </c>
      <c r="L46" s="320">
        <f t="shared" si="12"/>
        <v>0</v>
      </c>
      <c r="M46" s="320">
        <f t="shared" si="12"/>
        <v>0</v>
      </c>
      <c r="N46" s="320">
        <f t="shared" si="12"/>
        <v>0</v>
      </c>
      <c r="O46" s="320">
        <f t="shared" si="12"/>
        <v>0</v>
      </c>
      <c r="P46" s="321">
        <f>SUM(D46:O46)</f>
        <v>0</v>
      </c>
      <c r="Q46" s="296"/>
      <c r="R46" s="57"/>
      <c r="S46" s="182"/>
      <c r="CU46" s="297"/>
      <c r="CV46" s="305"/>
      <c r="CW46" s="305"/>
    </row>
    <row r="47" spans="1:101" s="177" customFormat="1" x14ac:dyDescent="0.2"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1"/>
      <c r="Q47" s="296"/>
      <c r="R47" s="57"/>
      <c r="S47" s="182"/>
      <c r="CU47" s="297"/>
      <c r="CV47" s="305"/>
      <c r="CW47" s="305"/>
    </row>
    <row r="48" spans="1:101" s="183" customFormat="1" ht="24.75" x14ac:dyDescent="0.25">
      <c r="B48" s="41" t="str">
        <f ca="1">IF(B2="English",CW48,CV48)&amp;$C$4&amp;" - "&amp;$C$4+4</f>
        <v>1b  Persönliche Ausgaben in EUR für die Jahre 2019 - 2023</v>
      </c>
      <c r="D48" s="201"/>
      <c r="E48" s="201"/>
      <c r="F48" s="201"/>
      <c r="G48" s="201"/>
      <c r="H48" s="201"/>
      <c r="I48" s="201"/>
      <c r="J48" s="201"/>
      <c r="K48" s="201"/>
      <c r="L48" s="201"/>
      <c r="M48" s="1035" t="str">
        <f>IF(B2="English","Personal Drawings (EUR)","Privatentnahmen (EUR)")</f>
        <v>Privatentnahmen (EUR)</v>
      </c>
      <c r="N48" s="201"/>
      <c r="O48" s="201"/>
      <c r="P48" s="201"/>
      <c r="Q48" s="296"/>
      <c r="R48" s="57"/>
      <c r="S48" s="211"/>
      <c r="CU48" s="297"/>
      <c r="CV48" s="279" t="str">
        <f>"1b  Persönliche Ausgaben in EUR für die Jahre "</f>
        <v xml:space="preserve">1b  Persönliche Ausgaben in EUR für die Jahre </v>
      </c>
      <c r="CW48" s="299" t="str">
        <f>"1b  Personal Expenses in EUR for the Years "</f>
        <v xml:space="preserve">1b  Personal Expenses in EUR for the Years </v>
      </c>
    </row>
    <row r="49" spans="2:101" s="183" customFormat="1" ht="14.25" customHeight="1" thickBot="1" x14ac:dyDescent="0.3">
      <c r="B49" s="41"/>
      <c r="D49" s="201"/>
      <c r="E49" s="201"/>
      <c r="F49" s="201"/>
      <c r="G49" s="201"/>
      <c r="H49" s="201"/>
      <c r="I49" s="201"/>
      <c r="J49" s="201"/>
      <c r="K49" s="201"/>
      <c r="L49" s="201"/>
      <c r="M49" s="1035"/>
      <c r="N49" s="201"/>
      <c r="O49" s="201"/>
      <c r="P49" s="201"/>
      <c r="Q49" s="296"/>
      <c r="R49" s="57"/>
      <c r="S49" s="211"/>
      <c r="CU49" s="297"/>
      <c r="CV49" s="279"/>
      <c r="CW49" s="299"/>
    </row>
    <row r="50" spans="2:101" ht="15" thickBot="1" x14ac:dyDescent="0.25">
      <c r="B50" s="322" t="str">
        <f>B5</f>
        <v>No.</v>
      </c>
      <c r="C50" s="300" t="str">
        <f>C5</f>
        <v>Kostenart</v>
      </c>
      <c r="D50" s="184">
        <f ca="1">C4</f>
        <v>2019</v>
      </c>
      <c r="E50" s="184">
        <f ca="1">D50+1</f>
        <v>2020</v>
      </c>
      <c r="F50" s="184">
        <f ca="1">E50+1</f>
        <v>2021</v>
      </c>
      <c r="G50" s="184">
        <f ca="1">F50+1</f>
        <v>2022</v>
      </c>
      <c r="H50" s="1386">
        <f ca="1">G50+1</f>
        <v>2023</v>
      </c>
      <c r="I50" s="213"/>
      <c r="J50" s="177"/>
      <c r="K50" s="177"/>
      <c r="L50" s="177"/>
      <c r="M50" s="177"/>
      <c r="N50" s="177"/>
      <c r="O50" s="176"/>
      <c r="P50" s="176"/>
      <c r="Q50" s="296"/>
      <c r="S50" s="211"/>
      <c r="CV50" s="323" t="str">
        <f t="shared" ref="CV50:CV86" si="13">CV5</f>
        <v>Kostenart</v>
      </c>
      <c r="CW50" s="323"/>
    </row>
    <row r="51" spans="2:101" ht="18.95" customHeight="1" x14ac:dyDescent="0.2">
      <c r="B51" s="302">
        <v>1</v>
      </c>
      <c r="C51" s="303" t="str">
        <f t="shared" ref="C51:C87" si="14">C6</f>
        <v>Wohnen</v>
      </c>
      <c r="D51" s="134"/>
      <c r="E51" s="134"/>
      <c r="F51" s="134"/>
      <c r="G51" s="134"/>
      <c r="H51" s="1557"/>
      <c r="I51" s="213"/>
      <c r="J51" s="176"/>
      <c r="K51" s="176"/>
      <c r="L51" s="176"/>
      <c r="N51" s="176"/>
      <c r="O51" s="176"/>
      <c r="P51" s="176"/>
      <c r="Q51" s="296"/>
      <c r="CV51" s="323" t="str">
        <f t="shared" si="13"/>
        <v>Wohnen</v>
      </c>
      <c r="CW51" s="323"/>
    </row>
    <row r="52" spans="2:101" x14ac:dyDescent="0.2">
      <c r="B52" s="302"/>
      <c r="C52" s="307" t="str">
        <f t="shared" si="14"/>
        <v>Miete (oder vergleichbare Belastung)</v>
      </c>
      <c r="D52" s="134">
        <f t="shared" ref="D52:D64" si="15">P7</f>
        <v>0</v>
      </c>
      <c r="E52" s="324"/>
      <c r="F52" s="324"/>
      <c r="G52" s="324"/>
      <c r="H52" s="324"/>
      <c r="I52" s="213"/>
      <c r="J52" s="176"/>
      <c r="K52" s="176"/>
      <c r="L52" s="176"/>
      <c r="M52" s="176"/>
      <c r="N52" s="176"/>
      <c r="O52" s="176"/>
      <c r="P52" s="176"/>
      <c r="Q52" s="296"/>
      <c r="S52" s="1556"/>
      <c r="CV52" s="323" t="str">
        <f t="shared" si="13"/>
        <v>Miete (oder vergleichbare Belastung)</v>
      </c>
      <c r="CW52" s="323"/>
    </row>
    <row r="53" spans="2:101" x14ac:dyDescent="0.2">
      <c r="B53" s="302"/>
      <c r="C53" s="307" t="str">
        <f t="shared" si="14"/>
        <v xml:space="preserve">Heizung, Schornsteinfeger, Emission </v>
      </c>
      <c r="D53" s="134">
        <f t="shared" si="15"/>
        <v>0</v>
      </c>
      <c r="E53" s="324"/>
      <c r="F53" s="324"/>
      <c r="G53" s="324"/>
      <c r="H53" s="1558"/>
      <c r="I53" s="213"/>
      <c r="J53" s="176"/>
      <c r="K53" s="176"/>
      <c r="L53" s="176"/>
      <c r="M53" s="176"/>
      <c r="N53" s="176"/>
      <c r="O53" s="176"/>
      <c r="P53" s="176"/>
      <c r="Q53" s="296"/>
      <c r="S53" s="1556"/>
      <c r="CV53" s="323" t="str">
        <f t="shared" si="13"/>
        <v xml:space="preserve">Heizung, Schornsteinfeger, Emission </v>
      </c>
      <c r="CW53" s="323"/>
    </row>
    <row r="54" spans="2:101" x14ac:dyDescent="0.2">
      <c r="B54" s="302"/>
      <c r="C54" s="307" t="str">
        <f t="shared" si="14"/>
        <v>Strom, Wasser, Abwasser, Müll</v>
      </c>
      <c r="D54" s="134">
        <f t="shared" si="15"/>
        <v>0</v>
      </c>
      <c r="E54" s="324"/>
      <c r="F54" s="324"/>
      <c r="G54" s="324"/>
      <c r="H54" s="1558"/>
      <c r="I54" s="213"/>
      <c r="J54" s="176"/>
      <c r="K54" s="176"/>
      <c r="L54" s="176"/>
      <c r="M54" s="176"/>
      <c r="N54" s="176"/>
      <c r="O54" s="176"/>
      <c r="P54" s="176"/>
      <c r="Q54" s="296"/>
      <c r="S54" s="1556"/>
      <c r="CV54" s="323" t="str">
        <f t="shared" si="13"/>
        <v>Strom, Wasser, Abwasser, Müll</v>
      </c>
      <c r="CW54" s="323"/>
    </row>
    <row r="55" spans="2:101" x14ac:dyDescent="0.2">
      <c r="B55" s="302"/>
      <c r="C55" s="307" t="str">
        <f t="shared" si="14"/>
        <v>Telefon, Mobil, Fax, Internet</v>
      </c>
      <c r="D55" s="134">
        <f t="shared" si="15"/>
        <v>0</v>
      </c>
      <c r="E55" s="324"/>
      <c r="F55" s="324"/>
      <c r="G55" s="324"/>
      <c r="H55" s="1558"/>
      <c r="I55" s="213"/>
      <c r="J55" s="176"/>
      <c r="K55" s="176"/>
      <c r="L55" s="176"/>
      <c r="M55" s="176"/>
      <c r="N55" s="176"/>
      <c r="O55" s="176"/>
      <c r="P55" s="176"/>
      <c r="Q55" s="296"/>
      <c r="S55" s="1556"/>
      <c r="CV55" s="323" t="str">
        <f t="shared" si="13"/>
        <v>Telefon, Mobil, Fax, Internet</v>
      </c>
      <c r="CW55" s="323"/>
    </row>
    <row r="56" spans="2:101" x14ac:dyDescent="0.2">
      <c r="B56" s="302"/>
      <c r="C56" s="307" t="str">
        <f t="shared" si="14"/>
        <v>Rundfunk / Fernsehen usw.</v>
      </c>
      <c r="D56" s="134">
        <f t="shared" si="15"/>
        <v>0</v>
      </c>
      <c r="E56" s="324"/>
      <c r="F56" s="324"/>
      <c r="G56" s="324"/>
      <c r="H56" s="1558"/>
      <c r="I56" s="213"/>
      <c r="J56" s="176"/>
      <c r="K56" s="176"/>
      <c r="L56" s="176"/>
      <c r="M56" s="176"/>
      <c r="N56" s="176"/>
      <c r="O56" s="176"/>
      <c r="P56" s="176"/>
      <c r="Q56" s="296"/>
      <c r="S56" s="1556"/>
      <c r="CV56" s="323" t="str">
        <f t="shared" si="13"/>
        <v>Rundfunk / Fernsehen usw.</v>
      </c>
      <c r="CW56" s="323"/>
    </row>
    <row r="57" spans="2:101" x14ac:dyDescent="0.2">
      <c r="B57" s="302"/>
      <c r="C57" s="307" t="str">
        <f t="shared" si="14"/>
        <v>Kredit (Zins u. Tilgung)</v>
      </c>
      <c r="D57" s="134">
        <f t="shared" si="15"/>
        <v>0</v>
      </c>
      <c r="E57" s="324"/>
      <c r="F57" s="324"/>
      <c r="G57" s="324"/>
      <c r="H57" s="1558"/>
      <c r="I57" s="213"/>
      <c r="J57" s="176"/>
      <c r="K57" s="176"/>
      <c r="L57" s="176"/>
      <c r="M57" s="176"/>
      <c r="N57" s="176"/>
      <c r="O57" s="176"/>
      <c r="P57" s="176"/>
      <c r="Q57" s="296"/>
      <c r="S57" s="1556"/>
      <c r="CV57" s="323" t="str">
        <f t="shared" si="13"/>
        <v>Kredit (Zins u. Tilgung)</v>
      </c>
      <c r="CW57" s="323"/>
    </row>
    <row r="58" spans="2:101" x14ac:dyDescent="0.2">
      <c r="B58" s="302"/>
      <c r="C58" s="307" t="str">
        <f t="shared" si="14"/>
        <v>Wohnungsreparaturen</v>
      </c>
      <c r="D58" s="134">
        <f t="shared" si="15"/>
        <v>0</v>
      </c>
      <c r="E58" s="324"/>
      <c r="F58" s="324"/>
      <c r="G58" s="324"/>
      <c r="H58" s="1558"/>
      <c r="I58" s="213"/>
      <c r="J58" s="176"/>
      <c r="K58" s="176"/>
      <c r="L58" s="176"/>
      <c r="M58" s="176"/>
      <c r="N58" s="176"/>
      <c r="O58" s="176"/>
      <c r="P58" s="176"/>
      <c r="Q58" s="296"/>
      <c r="S58" s="1556"/>
      <c r="CV58" s="323" t="str">
        <f t="shared" si="13"/>
        <v>Wohnungsreparaturen</v>
      </c>
      <c r="CW58" s="323"/>
    </row>
    <row r="59" spans="2:101" x14ac:dyDescent="0.2">
      <c r="B59" s="302"/>
      <c r="C59" s="307" t="str">
        <f t="shared" si="14"/>
        <v>Sonstiges (z.B. Grundsteuern)</v>
      </c>
      <c r="D59" s="134">
        <f t="shared" si="15"/>
        <v>0</v>
      </c>
      <c r="E59" s="324"/>
      <c r="F59" s="324"/>
      <c r="G59" s="324"/>
      <c r="H59" s="1558"/>
      <c r="I59" s="213"/>
      <c r="J59" s="176"/>
      <c r="K59" s="176"/>
      <c r="L59" s="176"/>
      <c r="M59" s="176"/>
      <c r="N59" s="176"/>
      <c r="O59" s="176"/>
      <c r="P59" s="176"/>
      <c r="Q59" s="296"/>
      <c r="S59" s="1556"/>
      <c r="CV59" s="323" t="str">
        <f t="shared" si="13"/>
        <v>Sonstiges (z.B. Grundsteuern)</v>
      </c>
      <c r="CW59" s="323"/>
    </row>
    <row r="60" spans="2:101" ht="15" thickBot="1" x14ac:dyDescent="0.25">
      <c r="B60" s="309"/>
      <c r="C60" s="310" t="str">
        <f t="shared" si="14"/>
        <v>Summe</v>
      </c>
      <c r="D60" s="311">
        <f t="shared" si="15"/>
        <v>0</v>
      </c>
      <c r="E60" s="325">
        <f>SUM(E52:E59)</f>
        <v>0</v>
      </c>
      <c r="F60" s="311">
        <f>SUM(F52:F59)</f>
        <v>0</v>
      </c>
      <c r="G60" s="311">
        <f>SUM(G52:G59)</f>
        <v>0</v>
      </c>
      <c r="H60" s="1559">
        <f>SUM(H52:H59)</f>
        <v>0</v>
      </c>
      <c r="I60" s="213"/>
      <c r="J60" s="176"/>
      <c r="K60" s="176"/>
      <c r="L60" s="176"/>
      <c r="M60" s="176"/>
      <c r="N60" s="176"/>
      <c r="O60" s="176"/>
      <c r="P60" s="176"/>
      <c r="Q60" s="296"/>
      <c r="CV60" s="323" t="str">
        <f t="shared" si="13"/>
        <v>Summe</v>
      </c>
      <c r="CW60" s="323"/>
    </row>
    <row r="61" spans="2:101" ht="15" thickTop="1" x14ac:dyDescent="0.2">
      <c r="B61" s="302">
        <v>2</v>
      </c>
      <c r="C61" s="303" t="str">
        <f t="shared" si="14"/>
        <v>Lebensunterhalt / Haushaltsgeld</v>
      </c>
      <c r="D61" s="134">
        <f t="shared" si="15"/>
        <v>0</v>
      </c>
      <c r="E61" s="326"/>
      <c r="F61" s="134"/>
      <c r="G61" s="134"/>
      <c r="H61" s="1557"/>
      <c r="I61" s="213"/>
      <c r="J61" s="176"/>
      <c r="K61" s="176"/>
      <c r="L61" s="176"/>
      <c r="M61" s="176"/>
      <c r="N61" s="176"/>
      <c r="O61" s="176"/>
      <c r="P61" s="176"/>
      <c r="Q61" s="176"/>
      <c r="CV61" s="323" t="str">
        <f t="shared" si="13"/>
        <v>Lebensunterhalt / Haushaltsgeld</v>
      </c>
      <c r="CW61" s="323"/>
    </row>
    <row r="62" spans="2:101" x14ac:dyDescent="0.2">
      <c r="B62" s="302"/>
      <c r="C62" s="307" t="str">
        <f t="shared" si="14"/>
        <v>Lebensmittel , auswärts Essen</v>
      </c>
      <c r="D62" s="134">
        <f t="shared" si="15"/>
        <v>0</v>
      </c>
      <c r="E62" s="324"/>
      <c r="F62" s="324"/>
      <c r="G62" s="324"/>
      <c r="H62" s="1558"/>
      <c r="I62" s="213"/>
      <c r="J62" s="176"/>
      <c r="K62" s="176"/>
      <c r="L62" s="176"/>
      <c r="M62" s="176"/>
      <c r="N62" s="176"/>
      <c r="O62" s="176"/>
      <c r="P62" s="176"/>
      <c r="Q62" s="176"/>
      <c r="S62" s="1556"/>
      <c r="CV62" s="323" t="str">
        <f t="shared" si="13"/>
        <v>Lebensmittel , auswärts Essen</v>
      </c>
      <c r="CW62" s="323"/>
    </row>
    <row r="63" spans="2:101" x14ac:dyDescent="0.2">
      <c r="B63" s="302"/>
      <c r="C63" s="307" t="str">
        <f t="shared" si="14"/>
        <v>Kleidung, kosmetika, Sonstiges</v>
      </c>
      <c r="D63" s="134">
        <f t="shared" si="15"/>
        <v>0</v>
      </c>
      <c r="E63" s="324"/>
      <c r="F63" s="324"/>
      <c r="G63" s="324"/>
      <c r="H63" s="1558"/>
      <c r="I63" s="213"/>
      <c r="J63" s="176"/>
      <c r="K63" s="176"/>
      <c r="L63" s="176"/>
      <c r="M63" s="176"/>
      <c r="N63" s="176"/>
      <c r="O63" s="176"/>
      <c r="P63" s="176"/>
      <c r="Q63" s="176"/>
      <c r="S63" s="1556"/>
      <c r="CV63" s="323" t="str">
        <f t="shared" si="13"/>
        <v>Kleidung, kosmetika, Sonstiges</v>
      </c>
      <c r="CW63" s="323"/>
    </row>
    <row r="64" spans="2:101" ht="15" thickBot="1" x14ac:dyDescent="0.25">
      <c r="B64" s="309"/>
      <c r="C64" s="310" t="str">
        <f t="shared" si="14"/>
        <v>Summe</v>
      </c>
      <c r="D64" s="311">
        <f t="shared" si="15"/>
        <v>0</v>
      </c>
      <c r="E64" s="325">
        <f>SUM(E62:E63)</f>
        <v>0</v>
      </c>
      <c r="F64" s="311">
        <f>SUM(F62:F63)</f>
        <v>0</v>
      </c>
      <c r="G64" s="311">
        <f>SUM(G62:G63)</f>
        <v>0</v>
      </c>
      <c r="H64" s="1559">
        <f>SUM(H62:H63)</f>
        <v>0</v>
      </c>
      <c r="I64" s="213"/>
      <c r="J64" s="176"/>
      <c r="K64" s="176"/>
      <c r="L64" s="176"/>
      <c r="M64" s="176"/>
      <c r="N64" s="176"/>
      <c r="O64" s="176"/>
      <c r="P64" s="176"/>
      <c r="Q64" s="176"/>
      <c r="CV64" s="323" t="str">
        <f t="shared" si="13"/>
        <v>Summe</v>
      </c>
      <c r="CW64" s="323"/>
    </row>
    <row r="65" spans="2:101" ht="15" thickTop="1" x14ac:dyDescent="0.2">
      <c r="B65" s="302">
        <v>3</v>
      </c>
      <c r="C65" s="303" t="str">
        <f t="shared" si="14"/>
        <v>PKW</v>
      </c>
      <c r="D65" s="134"/>
      <c r="E65" s="326"/>
      <c r="F65" s="134"/>
      <c r="G65" s="134"/>
      <c r="H65" s="1557"/>
      <c r="I65" s="213"/>
      <c r="J65" s="176"/>
      <c r="K65" s="176"/>
      <c r="L65" s="176"/>
      <c r="M65" s="176"/>
      <c r="N65" s="176"/>
      <c r="O65" s="176"/>
      <c r="P65" s="176"/>
      <c r="Q65" s="176"/>
      <c r="CV65" s="323" t="str">
        <f t="shared" si="13"/>
        <v>PKW</v>
      </c>
      <c r="CW65" s="323"/>
    </row>
    <row r="66" spans="2:101" x14ac:dyDescent="0.2">
      <c r="B66" s="302"/>
      <c r="C66" s="307" t="str">
        <f t="shared" si="14"/>
        <v>Kredit (Zins u. Tilgung) / Leasing</v>
      </c>
      <c r="D66" s="134">
        <f>P21</f>
        <v>0</v>
      </c>
      <c r="E66" s="324"/>
      <c r="F66" s="324"/>
      <c r="G66" s="324"/>
      <c r="H66" s="1558"/>
      <c r="I66" s="213"/>
      <c r="J66" s="176"/>
      <c r="K66" s="176"/>
      <c r="L66" s="176"/>
      <c r="M66" s="176"/>
      <c r="N66" s="176"/>
      <c r="O66" s="176"/>
      <c r="P66" s="176"/>
      <c r="Q66" s="176"/>
      <c r="S66" s="1556"/>
      <c r="CV66" s="323" t="str">
        <f t="shared" si="13"/>
        <v>Kredit (Zins u. Tilgung) / Leasing</v>
      </c>
      <c r="CW66" s="323"/>
    </row>
    <row r="67" spans="2:101" x14ac:dyDescent="0.2">
      <c r="B67" s="302"/>
      <c r="C67" s="307" t="str">
        <f t="shared" si="14"/>
        <v>Versicherung, Steuern, Reparaturen</v>
      </c>
      <c r="D67" s="134">
        <f>P22</f>
        <v>0</v>
      </c>
      <c r="E67" s="324"/>
      <c r="F67" s="324"/>
      <c r="G67" s="324"/>
      <c r="H67" s="1558"/>
      <c r="I67" s="213"/>
      <c r="J67" s="176"/>
      <c r="K67" s="176"/>
      <c r="L67" s="176"/>
      <c r="M67" s="176"/>
      <c r="N67" s="176"/>
      <c r="O67" s="176"/>
      <c r="P67" s="176"/>
      <c r="Q67" s="176"/>
      <c r="S67" s="1556"/>
      <c r="CV67" s="323" t="str">
        <f t="shared" si="13"/>
        <v>Versicherung, Steuern, Reparaturen</v>
      </c>
      <c r="CW67" s="323"/>
    </row>
    <row r="68" spans="2:101" x14ac:dyDescent="0.2">
      <c r="B68" s="302"/>
      <c r="C68" s="307" t="str">
        <f t="shared" si="14"/>
        <v>Benzin / Diesel / Reparaturen</v>
      </c>
      <c r="D68" s="134">
        <f>P23</f>
        <v>0</v>
      </c>
      <c r="E68" s="324"/>
      <c r="F68" s="324"/>
      <c r="G68" s="324"/>
      <c r="H68" s="1558"/>
      <c r="I68" s="213"/>
      <c r="J68" s="176"/>
      <c r="K68" s="176"/>
      <c r="L68" s="176"/>
      <c r="M68" s="176"/>
      <c r="N68" s="176"/>
      <c r="O68" s="176"/>
      <c r="P68" s="176"/>
      <c r="Q68" s="176"/>
      <c r="S68" s="1556"/>
      <c r="CV68" s="323" t="str">
        <f t="shared" si="13"/>
        <v>Benzin / Diesel / Reparaturen</v>
      </c>
      <c r="CW68" s="323"/>
    </row>
    <row r="69" spans="2:101" ht="15" thickBot="1" x14ac:dyDescent="0.25">
      <c r="B69" s="309"/>
      <c r="C69" s="310" t="str">
        <f t="shared" si="14"/>
        <v>Summe</v>
      </c>
      <c r="D69" s="311">
        <f>P24</f>
        <v>0</v>
      </c>
      <c r="E69" s="325">
        <f>SUM(E66:E68)</f>
        <v>0</v>
      </c>
      <c r="F69" s="311">
        <f>SUM(F66:F68)</f>
        <v>0</v>
      </c>
      <c r="G69" s="311">
        <f>SUM(G66:G68)</f>
        <v>0</v>
      </c>
      <c r="H69" s="1559">
        <f>SUM(H66:H68)</f>
        <v>0</v>
      </c>
      <c r="I69" s="213"/>
      <c r="J69" s="176"/>
      <c r="K69" s="176"/>
      <c r="L69" s="176"/>
      <c r="M69" s="176"/>
      <c r="N69" s="176"/>
      <c r="O69" s="176"/>
      <c r="P69" s="176"/>
      <c r="Q69" s="176"/>
      <c r="CV69" s="323" t="str">
        <f t="shared" si="13"/>
        <v>Summe</v>
      </c>
      <c r="CW69" s="323"/>
    </row>
    <row r="70" spans="2:101" ht="15" thickTop="1" x14ac:dyDescent="0.2">
      <c r="B70" s="302">
        <v>4</v>
      </c>
      <c r="C70" s="303" t="str">
        <f t="shared" si="14"/>
        <v>Versicherungen</v>
      </c>
      <c r="D70" s="134"/>
      <c r="E70" s="326"/>
      <c r="F70" s="134"/>
      <c r="G70" s="134"/>
      <c r="H70" s="1557"/>
      <c r="I70" s="213"/>
      <c r="J70" s="176"/>
      <c r="K70" s="176"/>
      <c r="L70" s="176"/>
      <c r="M70" s="176"/>
      <c r="N70" s="176"/>
      <c r="O70" s="176"/>
      <c r="P70" s="176"/>
      <c r="Q70" s="176"/>
      <c r="CV70" s="323" t="str">
        <f t="shared" si="13"/>
        <v>Versicherungen</v>
      </c>
      <c r="CW70" s="323"/>
    </row>
    <row r="71" spans="2:101" x14ac:dyDescent="0.2">
      <c r="B71" s="302"/>
      <c r="C71" s="307" t="str">
        <f t="shared" si="14"/>
        <v>Rentenversicherung, freiw. Versicher. 1)</v>
      </c>
      <c r="D71" s="134">
        <f t="shared" ref="D71:D76" si="16">P26</f>
        <v>0</v>
      </c>
      <c r="E71" s="324"/>
      <c r="F71" s="324"/>
      <c r="G71" s="324"/>
      <c r="H71" s="1558"/>
      <c r="I71" s="213"/>
      <c r="J71" s="176"/>
      <c r="K71" s="176"/>
      <c r="L71" s="176"/>
      <c r="M71" s="176"/>
      <c r="N71" s="176"/>
      <c r="O71" s="176"/>
      <c r="P71" s="176"/>
      <c r="Q71" s="176"/>
      <c r="S71" s="1556"/>
      <c r="CV71" s="323" t="str">
        <f t="shared" si="13"/>
        <v>Rentenversicherung, freiw. Versicher. 1)</v>
      </c>
      <c r="CW71" s="323"/>
    </row>
    <row r="72" spans="2:101" x14ac:dyDescent="0.2">
      <c r="B72" s="302"/>
      <c r="C72" s="307" t="str">
        <f t="shared" si="14"/>
        <v>Krankenversicherung u Medikamente 2)</v>
      </c>
      <c r="D72" s="134">
        <f t="shared" si="16"/>
        <v>0</v>
      </c>
      <c r="E72" s="324"/>
      <c r="F72" s="324"/>
      <c r="G72" s="324"/>
      <c r="H72" s="1558"/>
      <c r="I72" s="213"/>
      <c r="J72" s="176"/>
      <c r="K72" s="176"/>
      <c r="L72" s="176"/>
      <c r="M72" s="176"/>
      <c r="N72" s="176"/>
      <c r="O72" s="176"/>
      <c r="P72" s="176"/>
      <c r="Q72" s="176"/>
      <c r="S72" s="1556"/>
      <c r="CV72" s="323" t="str">
        <f t="shared" si="13"/>
        <v>Krankenversicherung u Medikamente 2)</v>
      </c>
      <c r="CW72" s="323"/>
    </row>
    <row r="73" spans="2:101" x14ac:dyDescent="0.2">
      <c r="B73" s="302"/>
      <c r="C73" s="307" t="str">
        <f t="shared" si="14"/>
        <v>Unfallversicherung, Berufsunfähigkeit</v>
      </c>
      <c r="D73" s="134">
        <f t="shared" si="16"/>
        <v>0</v>
      </c>
      <c r="E73" s="324"/>
      <c r="F73" s="324"/>
      <c r="G73" s="324"/>
      <c r="H73" s="1558"/>
      <c r="I73" s="213"/>
      <c r="J73" s="176"/>
      <c r="K73" s="176"/>
      <c r="L73" s="176"/>
      <c r="M73" s="176"/>
      <c r="N73" s="176"/>
      <c r="O73" s="176"/>
      <c r="P73" s="176"/>
      <c r="Q73" s="176"/>
      <c r="S73" s="1556"/>
      <c r="CV73" s="323" t="str">
        <f t="shared" si="13"/>
        <v>Unfallversicherung, Berufsunfähigkeit</v>
      </c>
      <c r="CW73" s="323"/>
    </row>
    <row r="74" spans="2:101" x14ac:dyDescent="0.2">
      <c r="B74" s="302"/>
      <c r="C74" s="307" t="str">
        <f t="shared" si="14"/>
        <v>Hausratsversicherung, Haftpflicht</v>
      </c>
      <c r="D74" s="134">
        <f t="shared" si="16"/>
        <v>0</v>
      </c>
      <c r="E74" s="324"/>
      <c r="F74" s="324"/>
      <c r="G74" s="324"/>
      <c r="H74" s="1558"/>
      <c r="I74" s="213"/>
      <c r="J74" s="176"/>
      <c r="K74" s="176"/>
      <c r="L74" s="176"/>
      <c r="M74" s="176"/>
      <c r="N74" s="176"/>
      <c r="O74" s="176"/>
      <c r="P74" s="176"/>
      <c r="Q74" s="176"/>
      <c r="S74" s="1556"/>
      <c r="CV74" s="323" t="str">
        <f t="shared" si="13"/>
        <v>Hausratsversicherung, Haftpflicht</v>
      </c>
      <c r="CW74" s="323"/>
    </row>
    <row r="75" spans="2:101" x14ac:dyDescent="0.2">
      <c r="B75" s="302"/>
      <c r="C75" s="307" t="str">
        <f t="shared" si="14"/>
        <v>Sonstige.Versicherungen.</v>
      </c>
      <c r="D75" s="134">
        <f t="shared" si="16"/>
        <v>0</v>
      </c>
      <c r="E75" s="324"/>
      <c r="F75" s="324"/>
      <c r="G75" s="324"/>
      <c r="H75" s="1558"/>
      <c r="I75" s="213"/>
      <c r="J75" s="176"/>
      <c r="K75" s="176"/>
      <c r="L75" s="176"/>
      <c r="M75" s="176"/>
      <c r="N75" s="176"/>
      <c r="O75" s="176"/>
      <c r="P75" s="176"/>
      <c r="Q75" s="176"/>
      <c r="S75" s="1556"/>
      <c r="CV75" s="323" t="str">
        <f t="shared" si="13"/>
        <v>Sonstige.Versicherungen.</v>
      </c>
      <c r="CW75" s="323"/>
    </row>
    <row r="76" spans="2:101" ht="15" thickBot="1" x14ac:dyDescent="0.25">
      <c r="B76" s="309"/>
      <c r="C76" s="310" t="str">
        <f t="shared" si="14"/>
        <v>Summe</v>
      </c>
      <c r="D76" s="311">
        <f t="shared" si="16"/>
        <v>0</v>
      </c>
      <c r="E76" s="325">
        <f>SUM(E71:E75)</f>
        <v>0</v>
      </c>
      <c r="F76" s="311">
        <f>SUM(F71:F75)</f>
        <v>0</v>
      </c>
      <c r="G76" s="311">
        <f>SUM(G71:G75)</f>
        <v>0</v>
      </c>
      <c r="H76" s="1559">
        <f>SUM(H71:H75)</f>
        <v>0</v>
      </c>
      <c r="I76" s="213"/>
      <c r="J76" s="176"/>
      <c r="K76" s="176"/>
      <c r="L76" s="176"/>
      <c r="M76" s="176"/>
      <c r="N76" s="176"/>
      <c r="O76" s="176"/>
      <c r="P76" s="176"/>
      <c r="Q76" s="176"/>
      <c r="CV76" s="323" t="str">
        <f t="shared" si="13"/>
        <v>Summe</v>
      </c>
      <c r="CW76" s="323"/>
    </row>
    <row r="77" spans="2:101" ht="15" thickTop="1" x14ac:dyDescent="0.2">
      <c r="B77" s="302">
        <v>5</v>
      </c>
      <c r="C77" s="303" t="str">
        <f t="shared" si="14"/>
        <v>Freizeit / Unterhaltung</v>
      </c>
      <c r="D77" s="134"/>
      <c r="E77" s="326"/>
      <c r="F77" s="134"/>
      <c r="G77" s="134"/>
      <c r="H77" s="1557"/>
      <c r="I77" s="213"/>
      <c r="J77" s="176"/>
      <c r="K77" s="176"/>
      <c r="L77" s="176"/>
      <c r="M77" s="176"/>
      <c r="N77" s="176"/>
      <c r="O77" s="176"/>
      <c r="P77" s="176"/>
      <c r="Q77" s="176"/>
      <c r="CV77" s="323" t="str">
        <f t="shared" si="13"/>
        <v>Freizeit / Unterhaltung</v>
      </c>
      <c r="CW77" s="323"/>
    </row>
    <row r="78" spans="2:101" x14ac:dyDescent="0.2">
      <c r="B78" s="302"/>
      <c r="C78" s="307" t="str">
        <f t="shared" si="14"/>
        <v xml:space="preserve">Hobby, Bücher, Geschenke </v>
      </c>
      <c r="D78" s="134">
        <f>P33</f>
        <v>0</v>
      </c>
      <c r="E78" s="324"/>
      <c r="F78" s="324"/>
      <c r="G78" s="324"/>
      <c r="H78" s="1558"/>
      <c r="I78" s="213"/>
      <c r="J78" s="176"/>
      <c r="K78" s="176"/>
      <c r="L78" s="176"/>
      <c r="M78" s="176"/>
      <c r="N78" s="176"/>
      <c r="O78" s="176"/>
      <c r="P78" s="176"/>
      <c r="Q78" s="176"/>
      <c r="S78" s="1556"/>
      <c r="CV78" s="323" t="str">
        <f t="shared" si="13"/>
        <v xml:space="preserve">Hobby, Bücher, Geschenke </v>
      </c>
      <c r="CW78" s="323"/>
    </row>
    <row r="79" spans="2:101" x14ac:dyDescent="0.2">
      <c r="B79" s="302"/>
      <c r="C79" s="307" t="str">
        <f t="shared" si="14"/>
        <v>Urlaub, Reisen, Sonstiges</v>
      </c>
      <c r="D79" s="134">
        <f>P34</f>
        <v>0</v>
      </c>
      <c r="E79" s="324"/>
      <c r="F79" s="324"/>
      <c r="G79" s="324"/>
      <c r="H79" s="1558"/>
      <c r="I79" s="213"/>
      <c r="J79" s="176"/>
      <c r="K79" s="176"/>
      <c r="L79" s="176"/>
      <c r="M79" s="176"/>
      <c r="N79" s="176"/>
      <c r="O79" s="176"/>
      <c r="P79" s="176"/>
      <c r="Q79" s="176"/>
      <c r="S79" s="1556"/>
      <c r="CV79" s="323" t="str">
        <f t="shared" si="13"/>
        <v>Urlaub, Reisen, Sonstiges</v>
      </c>
      <c r="CW79" s="323"/>
    </row>
    <row r="80" spans="2:101" ht="15" thickBot="1" x14ac:dyDescent="0.25">
      <c r="B80" s="309"/>
      <c r="C80" s="310" t="str">
        <f t="shared" si="14"/>
        <v>Summe</v>
      </c>
      <c r="D80" s="311">
        <f>P35</f>
        <v>0</v>
      </c>
      <c r="E80" s="325">
        <f>SUM(E78:E79)</f>
        <v>0</v>
      </c>
      <c r="F80" s="311">
        <f>SUM(F78:F79)</f>
        <v>0</v>
      </c>
      <c r="G80" s="311">
        <f>SUM(G78:G79)</f>
        <v>0</v>
      </c>
      <c r="H80" s="1559">
        <f>SUM(H78:H79)</f>
        <v>0</v>
      </c>
      <c r="I80" s="213"/>
      <c r="J80" s="176"/>
      <c r="K80" s="176"/>
      <c r="L80" s="176"/>
      <c r="M80" s="176"/>
      <c r="N80" s="176"/>
      <c r="O80" s="176"/>
      <c r="P80" s="176"/>
      <c r="Q80" s="176"/>
      <c r="CV80" s="323" t="str">
        <f t="shared" si="13"/>
        <v>Summe</v>
      </c>
      <c r="CW80" s="323"/>
    </row>
    <row r="81" spans="1:101" ht="15" thickTop="1" x14ac:dyDescent="0.2">
      <c r="B81" s="314">
        <v>6</v>
      </c>
      <c r="C81" s="303" t="str">
        <f t="shared" si="14"/>
        <v>Zahlungsverpflichtungen</v>
      </c>
      <c r="D81" s="134"/>
      <c r="E81" s="326"/>
      <c r="F81" s="134"/>
      <c r="G81" s="134"/>
      <c r="H81" s="1557"/>
      <c r="I81" s="213"/>
      <c r="J81" s="176"/>
      <c r="K81" s="176"/>
      <c r="L81" s="176"/>
      <c r="M81" s="176"/>
      <c r="N81" s="176"/>
      <c r="O81" s="176"/>
      <c r="P81" s="176"/>
      <c r="Q81" s="176"/>
      <c r="CV81" s="323" t="str">
        <f t="shared" si="13"/>
        <v>Zahlungsverpflichtungen</v>
      </c>
      <c r="CW81" s="323"/>
    </row>
    <row r="82" spans="1:101" x14ac:dyDescent="0.2">
      <c r="B82" s="302"/>
      <c r="C82" s="307" t="str">
        <f t="shared" si="14"/>
        <v>Unterhalt, Kredittilgung, Weiterbildung</v>
      </c>
      <c r="D82" s="134">
        <f>P37</f>
        <v>0</v>
      </c>
      <c r="E82" s="324"/>
      <c r="F82" s="324"/>
      <c r="G82" s="324"/>
      <c r="H82" s="1558"/>
      <c r="I82" s="213"/>
      <c r="J82" s="176"/>
      <c r="K82" s="176"/>
      <c r="L82" s="176"/>
      <c r="M82" s="176"/>
      <c r="N82" s="176"/>
      <c r="O82" s="176"/>
      <c r="P82" s="176"/>
      <c r="Q82" s="176"/>
      <c r="S82" s="1556"/>
      <c r="CV82" s="323" t="str">
        <f t="shared" si="13"/>
        <v>Unterhalt, Kredittilgung, Weiterbildung</v>
      </c>
      <c r="CW82" s="323"/>
    </row>
    <row r="83" spans="1:101" x14ac:dyDescent="0.2">
      <c r="B83" s="302"/>
      <c r="C83" s="307" t="str">
        <f t="shared" si="14"/>
        <v>Sonstige private Kredite (Zins + Tilg.)</v>
      </c>
      <c r="D83" s="134">
        <f>P38</f>
        <v>0</v>
      </c>
      <c r="E83" s="324"/>
      <c r="F83" s="324"/>
      <c r="G83" s="324"/>
      <c r="H83" s="1558"/>
      <c r="I83" s="213"/>
      <c r="J83" s="176"/>
      <c r="K83" s="176"/>
      <c r="L83" s="176"/>
      <c r="M83" s="176"/>
      <c r="N83" s="176"/>
      <c r="O83" s="176"/>
      <c r="P83" s="176"/>
      <c r="Q83" s="176"/>
      <c r="S83" s="1556"/>
      <c r="CV83" s="323" t="str">
        <f t="shared" si="13"/>
        <v>Sonstige private Kredite (Zins + Tilg.)</v>
      </c>
      <c r="CW83" s="323"/>
    </row>
    <row r="84" spans="1:101" ht="15" thickBot="1" x14ac:dyDescent="0.25">
      <c r="A84" s="186"/>
      <c r="B84" s="309"/>
      <c r="C84" s="310" t="str">
        <f t="shared" si="14"/>
        <v>Summe</v>
      </c>
      <c r="D84" s="311">
        <f>P39</f>
        <v>0</v>
      </c>
      <c r="E84" s="325">
        <f>SUM(E82:E83)</f>
        <v>0</v>
      </c>
      <c r="F84" s="311">
        <f>SUM(F82:F83)</f>
        <v>0</v>
      </c>
      <c r="G84" s="311">
        <f>SUM(G82:G83)</f>
        <v>0</v>
      </c>
      <c r="H84" s="1559">
        <f>SUM(H82:H83)</f>
        <v>0</v>
      </c>
      <c r="I84" s="213"/>
      <c r="J84" s="176"/>
      <c r="K84" s="176"/>
      <c r="L84" s="176"/>
      <c r="M84" s="176"/>
      <c r="N84" s="176"/>
      <c r="O84" s="176"/>
      <c r="P84" s="176"/>
      <c r="Q84" s="176"/>
      <c r="CV84" s="323" t="str">
        <f t="shared" si="13"/>
        <v>Summe</v>
      </c>
      <c r="CW84" s="323"/>
    </row>
    <row r="85" spans="1:101" ht="15" thickTop="1" x14ac:dyDescent="0.2">
      <c r="B85" s="314">
        <v>7</v>
      </c>
      <c r="C85" s="303" t="str">
        <f t="shared" si="14"/>
        <v>Verschiedenes</v>
      </c>
      <c r="D85" s="134"/>
      <c r="E85" s="326"/>
      <c r="F85" s="134"/>
      <c r="G85" s="134"/>
      <c r="H85" s="1557"/>
      <c r="I85" s="213"/>
      <c r="J85" s="176"/>
      <c r="K85" s="176"/>
      <c r="L85" s="176"/>
      <c r="M85" s="176"/>
      <c r="N85" s="176"/>
      <c r="O85" s="176"/>
      <c r="P85" s="176"/>
      <c r="Q85" s="176"/>
      <c r="CV85" s="323" t="str">
        <f t="shared" si="13"/>
        <v>Verschiedenes</v>
      </c>
      <c r="CW85" s="323"/>
    </row>
    <row r="86" spans="1:101" x14ac:dyDescent="0.2">
      <c r="B86" s="302"/>
      <c r="C86" s="307" t="str">
        <f t="shared" si="14"/>
        <v>Vereinsbeiträge, Spenden, Bausparen</v>
      </c>
      <c r="D86" s="134">
        <f>P41</f>
        <v>0</v>
      </c>
      <c r="E86" s="324"/>
      <c r="F86" s="324"/>
      <c r="G86" s="324"/>
      <c r="H86" s="1558"/>
      <c r="I86" s="213"/>
      <c r="J86" s="176"/>
      <c r="K86" s="176"/>
      <c r="L86" s="176"/>
      <c r="M86" s="176"/>
      <c r="N86" s="176"/>
      <c r="O86" s="176"/>
      <c r="P86" s="176"/>
      <c r="Q86" s="176"/>
      <c r="S86" s="1556"/>
      <c r="CV86" s="323" t="str">
        <f t="shared" si="13"/>
        <v>Vereinsbeiträge, Spenden, Bausparen</v>
      </c>
      <c r="CW86" s="323"/>
    </row>
    <row r="87" spans="1:101" x14ac:dyDescent="0.2">
      <c r="B87" s="302"/>
      <c r="C87" s="307" t="str">
        <f t="shared" si="14"/>
        <v>Beratung (Steuer, Recht usw.)</v>
      </c>
      <c r="D87" s="134">
        <f>P42</f>
        <v>0</v>
      </c>
      <c r="E87" s="324"/>
      <c r="F87" s="324"/>
      <c r="G87" s="324"/>
      <c r="H87" s="1558"/>
      <c r="I87" s="213"/>
      <c r="J87" s="176"/>
      <c r="K87" s="176"/>
      <c r="L87" s="176"/>
      <c r="M87" s="176"/>
      <c r="N87" s="176"/>
      <c r="O87" s="176"/>
      <c r="P87" s="176"/>
      <c r="Q87" s="176"/>
      <c r="S87" s="1556"/>
      <c r="CV87" s="323"/>
      <c r="CW87" s="323"/>
    </row>
    <row r="88" spans="1:101" x14ac:dyDescent="0.2">
      <c r="B88" s="302"/>
      <c r="C88" s="307" t="s">
        <v>470</v>
      </c>
      <c r="D88" s="134">
        <f>P43</f>
        <v>0</v>
      </c>
      <c r="E88" s="324"/>
      <c r="F88" s="324"/>
      <c r="G88" s="324"/>
      <c r="H88" s="1558"/>
      <c r="I88" s="213"/>
      <c r="J88" s="176"/>
      <c r="K88" s="176"/>
      <c r="L88" s="176"/>
      <c r="M88" s="176"/>
      <c r="N88" s="176"/>
      <c r="O88" s="176"/>
      <c r="P88" s="176"/>
      <c r="Q88" s="176"/>
      <c r="S88" s="1556"/>
      <c r="CV88" s="323" t="str">
        <f>CV43</f>
        <v>Beratung (Steuer, Recht usw.)</v>
      </c>
      <c r="CW88" s="323"/>
    </row>
    <row r="89" spans="1:101" ht="15" thickBot="1" x14ac:dyDescent="0.25">
      <c r="B89" s="302"/>
      <c r="C89" s="310" t="str">
        <f>C44</f>
        <v>Summe</v>
      </c>
      <c r="D89" s="311">
        <f>P44</f>
        <v>0</v>
      </c>
      <c r="E89" s="325">
        <f>SUM(E86:E88)</f>
        <v>0</v>
      </c>
      <c r="F89" s="311">
        <f>SUM(F86:F88)</f>
        <v>0</v>
      </c>
      <c r="G89" s="311">
        <f>SUM(G86:G88)</f>
        <v>0</v>
      </c>
      <c r="H89" s="1559">
        <f>SUM(H86:H88)</f>
        <v>0</v>
      </c>
      <c r="I89" s="213"/>
      <c r="J89" s="176"/>
      <c r="K89" s="176"/>
      <c r="L89" s="176"/>
      <c r="M89" s="176"/>
      <c r="N89" s="176"/>
      <c r="O89" s="176"/>
      <c r="P89" s="176"/>
      <c r="Q89" s="176"/>
      <c r="CV89" s="323" t="str">
        <f>CV44</f>
        <v>Summe</v>
      </c>
      <c r="CW89" s="323"/>
    </row>
    <row r="90" spans="1:101" s="60" customFormat="1" ht="17.25" thickTop="1" thickBot="1" x14ac:dyDescent="0.25">
      <c r="A90" s="57"/>
      <c r="B90" s="165"/>
      <c r="C90" s="327" t="str">
        <f>C45</f>
        <v xml:space="preserve">Gesamtausgaben o. Einkommensteuer </v>
      </c>
      <c r="D90" s="317">
        <f>P45</f>
        <v>0</v>
      </c>
      <c r="E90" s="328">
        <f>SUM(E51:E89)/2</f>
        <v>0</v>
      </c>
      <c r="F90" s="329">
        <f>SUM(F51:F89)/2</f>
        <v>0</v>
      </c>
      <c r="G90" s="329">
        <f>SUM(G51:G89)/2</f>
        <v>0</v>
      </c>
      <c r="H90" s="1560">
        <f>SUM(H51:H89)/2</f>
        <v>0</v>
      </c>
      <c r="I90" s="213"/>
      <c r="J90" s="57"/>
      <c r="K90" s="57"/>
      <c r="L90" s="57"/>
      <c r="M90" s="57"/>
      <c r="N90" s="57"/>
      <c r="O90" s="57"/>
      <c r="P90" s="57"/>
      <c r="Q90" s="57"/>
      <c r="R90" s="57"/>
      <c r="S90" s="118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CU90" s="297"/>
      <c r="CV90" s="305" t="s">
        <v>652</v>
      </c>
      <c r="CW90" s="305"/>
    </row>
    <row r="91" spans="1:101" s="57" customFormat="1" x14ac:dyDescent="0.2">
      <c r="A91" s="186"/>
      <c r="B91" s="330"/>
      <c r="D91" s="186"/>
      <c r="E91" s="186"/>
      <c r="F91" s="186"/>
      <c r="G91" s="186"/>
      <c r="H91" s="186"/>
      <c r="I91" s="186"/>
      <c r="S91" s="118"/>
      <c r="CU91" s="60"/>
    </row>
    <row r="92" spans="1:101" s="57" customFormat="1" x14ac:dyDescent="0.2">
      <c r="A92" s="186"/>
      <c r="B92" s="330"/>
      <c r="D92" s="186"/>
      <c r="E92" s="186"/>
      <c r="F92" s="186"/>
      <c r="G92" s="186"/>
      <c r="H92" s="186"/>
      <c r="I92" s="186"/>
      <c r="S92" s="118"/>
      <c r="CU92" s="60"/>
    </row>
    <row r="93" spans="1:101" s="57" customFormat="1" x14ac:dyDescent="0.2">
      <c r="A93" s="186"/>
      <c r="B93" s="330"/>
      <c r="D93" s="186"/>
      <c r="E93" s="186"/>
      <c r="F93" s="186"/>
      <c r="G93" s="186"/>
      <c r="H93" s="186"/>
      <c r="I93" s="186"/>
      <c r="S93" s="118"/>
      <c r="CU93" s="60"/>
    </row>
    <row r="94" spans="1:101" s="57" customFormat="1" x14ac:dyDescent="0.2">
      <c r="A94" s="186"/>
      <c r="B94" s="330"/>
      <c r="D94" s="186"/>
      <c r="E94" s="186"/>
      <c r="F94" s="186"/>
      <c r="G94" s="186"/>
      <c r="H94" s="186"/>
      <c r="I94" s="186"/>
      <c r="S94" s="118"/>
      <c r="CU94" s="60"/>
    </row>
    <row r="95" spans="1:101" s="57" customFormat="1" x14ac:dyDescent="0.2">
      <c r="A95" s="186"/>
      <c r="B95" s="330"/>
      <c r="D95" s="186"/>
      <c r="E95" s="186"/>
      <c r="F95" s="186"/>
      <c r="G95" s="186"/>
      <c r="H95" s="186"/>
      <c r="I95" s="186"/>
      <c r="S95" s="118"/>
      <c r="CU95" s="332"/>
      <c r="CV95" s="40"/>
      <c r="CW95" s="40"/>
    </row>
    <row r="96" spans="1:101" s="57" customFormat="1" ht="23.25" thickBot="1" x14ac:dyDescent="0.35">
      <c r="A96" s="186"/>
      <c r="B96" s="298" t="str">
        <f ca="1">IF($B$2="English",CW96,CV96)&amp;$C$4&amp;" - "&amp;$C$4+4</f>
        <v>1c  Privatentnahmen (in EUR) der aufgeführten GründerInnen für die Jahre 2019 - 2023</v>
      </c>
      <c r="D96" s="186"/>
      <c r="E96" s="186"/>
      <c r="F96" s="186"/>
      <c r="G96" s="186"/>
      <c r="H96" s="186"/>
      <c r="I96" s="186"/>
      <c r="J96" s="333"/>
      <c r="S96" s="118"/>
      <c r="CU96" s="332"/>
      <c r="CV96" s="323" t="s">
        <v>395</v>
      </c>
      <c r="CW96" s="323" t="s">
        <v>653</v>
      </c>
    </row>
    <row r="97" spans="1:103" s="57" customFormat="1" ht="15" thickBot="1" x14ac:dyDescent="0.25">
      <c r="A97" s="186"/>
      <c r="B97" s="322" t="str">
        <f>B50</f>
        <v>No.</v>
      </c>
      <c r="C97" s="334" t="str">
        <f>IF($B$2="English",CW97,CV97)</f>
        <v>Namen der GründerInnen</v>
      </c>
      <c r="D97" s="184">
        <f ca="1">C4</f>
        <v>2019</v>
      </c>
      <c r="E97" s="184">
        <f ca="1">D97+1</f>
        <v>2020</v>
      </c>
      <c r="F97" s="184">
        <f t="shared" ref="F97:H97" ca="1" si="17">E97+1</f>
        <v>2021</v>
      </c>
      <c r="G97" s="184">
        <f t="shared" ca="1" si="17"/>
        <v>2022</v>
      </c>
      <c r="H97" s="1386">
        <f t="shared" ca="1" si="17"/>
        <v>2023</v>
      </c>
      <c r="I97" s="213"/>
      <c r="J97" s="333"/>
      <c r="S97" s="118"/>
      <c r="CU97" s="332"/>
      <c r="CV97" s="323" t="s">
        <v>238</v>
      </c>
      <c r="CW97" s="323" t="s">
        <v>400</v>
      </c>
    </row>
    <row r="98" spans="1:103" s="60" customFormat="1" x14ac:dyDescent="0.2">
      <c r="A98" s="57"/>
      <c r="B98" s="335" t="s">
        <v>212</v>
      </c>
      <c r="C98" s="336"/>
      <c r="D98" s="337"/>
      <c r="E98" s="337"/>
      <c r="F98" s="337"/>
      <c r="G98" s="337"/>
      <c r="H98" s="337"/>
      <c r="I98" s="213"/>
      <c r="J98" s="57"/>
      <c r="K98" s="57"/>
      <c r="L98" s="57"/>
      <c r="M98" s="57"/>
      <c r="N98" s="57"/>
      <c r="O98" s="57"/>
      <c r="P98" s="57"/>
      <c r="Q98" s="57"/>
      <c r="R98" s="57"/>
      <c r="S98" s="1556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CU98" s="332"/>
      <c r="CV98" s="338" t="s">
        <v>251</v>
      </c>
      <c r="CW98" s="338" t="s">
        <v>399</v>
      </c>
    </row>
    <row r="99" spans="1:103" s="60" customFormat="1" x14ac:dyDescent="0.2">
      <c r="A99" s="57"/>
      <c r="B99" s="339" t="s">
        <v>213</v>
      </c>
      <c r="C99" s="336"/>
      <c r="D99" s="340"/>
      <c r="E99" s="340"/>
      <c r="F99" s="340"/>
      <c r="G99" s="340"/>
      <c r="H99" s="1387"/>
      <c r="I99" s="213"/>
      <c r="J99" s="57"/>
      <c r="K99" s="57"/>
      <c r="L99" s="57"/>
      <c r="M99" s="57"/>
      <c r="N99" s="57"/>
      <c r="O99" s="57"/>
      <c r="P99" s="57"/>
      <c r="Q99" s="57"/>
      <c r="R99" s="57"/>
      <c r="S99" s="1556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CU99" s="332"/>
      <c r="CV99" s="338"/>
      <c r="CW99" s="338"/>
    </row>
    <row r="100" spans="1:103" s="60" customFormat="1" x14ac:dyDescent="0.2">
      <c r="A100" s="57"/>
      <c r="B100" s="341" t="s">
        <v>214</v>
      </c>
      <c r="C100" s="342"/>
      <c r="D100" s="340"/>
      <c r="E100" s="340"/>
      <c r="F100" s="340"/>
      <c r="G100" s="340"/>
      <c r="H100" s="1387"/>
      <c r="I100" s="213"/>
      <c r="J100" s="57"/>
      <c r="K100" s="57"/>
      <c r="L100" s="57"/>
      <c r="M100" s="57"/>
      <c r="N100" s="57"/>
      <c r="O100" s="57"/>
      <c r="P100" s="57"/>
      <c r="Q100" s="57"/>
      <c r="R100" s="57"/>
      <c r="S100" s="1556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CU100" s="332"/>
      <c r="CV100" s="338"/>
      <c r="CW100" s="338"/>
    </row>
    <row r="101" spans="1:103" s="60" customFormat="1" x14ac:dyDescent="0.2">
      <c r="A101" s="57"/>
      <c r="B101" s="341" t="s">
        <v>215</v>
      </c>
      <c r="C101" s="342"/>
      <c r="D101" s="340"/>
      <c r="E101" s="340"/>
      <c r="F101" s="340"/>
      <c r="G101" s="340"/>
      <c r="H101" s="1387"/>
      <c r="I101" s="213"/>
      <c r="J101" s="57"/>
      <c r="K101" s="57"/>
      <c r="L101" s="57"/>
      <c r="M101" s="57"/>
      <c r="N101" s="57"/>
      <c r="O101" s="57"/>
      <c r="P101" s="57"/>
      <c r="Q101" s="57"/>
      <c r="R101" s="57"/>
      <c r="S101" s="1556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CU101" s="332"/>
      <c r="CV101" s="338"/>
      <c r="CW101" s="338"/>
    </row>
    <row r="102" spans="1:103" s="60" customFormat="1" x14ac:dyDescent="0.2">
      <c r="A102" s="57"/>
      <c r="B102" s="341" t="s">
        <v>216</v>
      </c>
      <c r="C102" s="342"/>
      <c r="D102" s="340"/>
      <c r="E102" s="340"/>
      <c r="F102" s="340"/>
      <c r="G102" s="340"/>
      <c r="H102" s="1387"/>
      <c r="I102" s="213"/>
      <c r="J102" s="57"/>
      <c r="K102" s="57"/>
      <c r="L102" s="57"/>
      <c r="M102" s="57"/>
      <c r="N102" s="57"/>
      <c r="O102" s="57"/>
      <c r="P102" s="57"/>
      <c r="Q102" s="57"/>
      <c r="R102" s="57"/>
      <c r="S102" s="1556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CU102" s="332"/>
      <c r="CV102" s="338"/>
      <c r="CW102" s="338"/>
    </row>
    <row r="103" spans="1:103" s="60" customFormat="1" ht="15" thickBot="1" x14ac:dyDescent="0.25">
      <c r="A103" s="57"/>
      <c r="B103" s="343" t="s">
        <v>217</v>
      </c>
      <c r="C103" s="344"/>
      <c r="D103" s="345"/>
      <c r="E103" s="345"/>
      <c r="F103" s="345"/>
      <c r="G103" s="345"/>
      <c r="H103" s="1388"/>
      <c r="I103" s="213"/>
      <c r="J103" s="57"/>
      <c r="K103" s="57"/>
      <c r="L103" s="57"/>
      <c r="M103" s="57"/>
      <c r="N103" s="57"/>
      <c r="O103" s="57"/>
      <c r="P103" s="57"/>
      <c r="Q103" s="57"/>
      <c r="R103" s="57"/>
      <c r="S103" s="1556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CU103" s="332"/>
      <c r="CV103" s="338"/>
      <c r="CW103" s="338"/>
    </row>
    <row r="104" spans="1:103" s="60" customFormat="1" ht="15.75" thickTop="1" thickBot="1" x14ac:dyDescent="0.25">
      <c r="A104" s="57"/>
      <c r="B104" s="346"/>
      <c r="C104" s="1275" t="str">
        <f>IF($B$2="English",CW104,CV104)</f>
        <v>Gesamtentnahmen aller GründerInnen</v>
      </c>
      <c r="D104" s="347">
        <f>SUM(D98:D103)</f>
        <v>0</v>
      </c>
      <c r="E104" s="347">
        <f t="shared" ref="E104:H104" si="18">SUM(E98:E103)</f>
        <v>0</v>
      </c>
      <c r="F104" s="347">
        <f t="shared" si="18"/>
        <v>0</v>
      </c>
      <c r="G104" s="347">
        <f t="shared" si="18"/>
        <v>0</v>
      </c>
      <c r="H104" s="347">
        <f t="shared" si="18"/>
        <v>0</v>
      </c>
      <c r="I104" s="213"/>
      <c r="J104" s="57"/>
      <c r="K104" s="57"/>
      <c r="L104" s="57"/>
      <c r="M104" s="57"/>
      <c r="N104" s="57"/>
      <c r="O104" s="57"/>
      <c r="P104" s="57"/>
      <c r="Q104" s="57"/>
      <c r="R104" s="57"/>
      <c r="S104" s="118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CU104" s="332"/>
      <c r="CV104" s="348" t="s">
        <v>239</v>
      </c>
      <c r="CW104" s="348" t="s">
        <v>654</v>
      </c>
    </row>
    <row r="105" spans="1:103" s="60" customFormat="1" x14ac:dyDescent="0.2">
      <c r="A105" s="57"/>
      <c r="B105" s="1483" t="str">
        <f>IF($B$2="English",CW105,CV105)</f>
        <v>3) bei EinzelunternehmerInnen werden üblicherweise die pers. Ausgaben als Entnahme aus dem Unternehmergewinn die Liquiditätsberechnung einbezogen.</v>
      </c>
      <c r="C105" s="1378"/>
      <c r="D105" s="1379"/>
      <c r="E105" s="1379"/>
      <c r="F105" s="1379"/>
      <c r="G105" s="1379"/>
      <c r="H105" s="1379"/>
      <c r="I105" s="1380"/>
      <c r="J105" s="57"/>
      <c r="K105" s="57"/>
      <c r="L105" s="57"/>
      <c r="M105" s="57"/>
      <c r="N105" s="57"/>
      <c r="O105" s="57"/>
      <c r="P105" s="57"/>
      <c r="Q105" s="57"/>
      <c r="R105" s="57"/>
      <c r="S105" s="118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CU105" s="332"/>
      <c r="CV105" s="331" t="s">
        <v>692</v>
      </c>
      <c r="CW105" s="331" t="s">
        <v>700</v>
      </c>
      <c r="CY105" s="57"/>
    </row>
    <row r="106" spans="1:103" s="60" customFormat="1" x14ac:dyDescent="0.2">
      <c r="A106" s="57"/>
      <c r="B106" s="1483" t="str">
        <f t="shared" ref="B106:B108" si="19">IF($B$2="English",CW106,CV106)</f>
        <v xml:space="preserve">    Dazu müssen Sie die in Zeile 88 stehenden Werte in die Tabelle 1c händisch übertragen. In die Liquiditätstabelle wird der Wert aus Zeile 101 übernommen.</v>
      </c>
      <c r="C106" s="1378"/>
      <c r="D106" s="1379"/>
      <c r="E106" s="1379"/>
      <c r="F106" s="1379"/>
      <c r="G106" s="1379"/>
      <c r="H106" s="1379"/>
      <c r="I106" s="1380"/>
      <c r="J106" s="57"/>
      <c r="K106" s="57"/>
      <c r="L106" s="57"/>
      <c r="M106" s="57"/>
      <c r="N106" s="57"/>
      <c r="O106" s="57"/>
      <c r="P106" s="57"/>
      <c r="Q106" s="57"/>
      <c r="R106" s="57"/>
      <c r="S106" s="118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CU106" s="332"/>
      <c r="CV106" s="331" t="s">
        <v>689</v>
      </c>
      <c r="CW106" s="331" t="s">
        <v>677</v>
      </c>
      <c r="CY106" s="57"/>
    </row>
    <row r="107" spans="1:103" s="60" customFormat="1" x14ac:dyDescent="0.2">
      <c r="A107" s="57"/>
      <c r="B107" s="1483" t="str">
        <f t="shared" si="19"/>
        <v xml:space="preserve">      - Bei mehreren Gründern kann über Tabelle 1c eine Gesamtschau entwickelt und daraus eine "Aufteilung der Privatentnahmen" erzeugt werden</v>
      </c>
      <c r="C107" s="1378"/>
      <c r="D107" s="1379"/>
      <c r="E107" s="1379"/>
      <c r="F107" s="1379"/>
      <c r="G107" s="1379"/>
      <c r="H107" s="1379"/>
      <c r="I107" s="1380"/>
      <c r="J107" s="57"/>
      <c r="K107" s="57"/>
      <c r="L107" s="57"/>
      <c r="M107" s="57"/>
      <c r="N107" s="57"/>
      <c r="O107" s="57"/>
      <c r="P107" s="57"/>
      <c r="Q107" s="57"/>
      <c r="R107" s="57"/>
      <c r="S107" s="118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CU107" s="332"/>
      <c r="CV107" s="331" t="s">
        <v>240</v>
      </c>
      <c r="CW107" s="331" t="s">
        <v>775</v>
      </c>
      <c r="CY107" s="57"/>
    </row>
    <row r="108" spans="1:103" s="60" customFormat="1" x14ac:dyDescent="0.2">
      <c r="A108" s="57"/>
      <c r="B108" s="1483" t="str">
        <f t="shared" si="19"/>
        <v xml:space="preserve">        Auch bei mehreren GründerInnen werden die Werte aus Zeile 101 in die Tab. "6 Liquidität| Liquidity" übenrnommen.</v>
      </c>
      <c r="C108" s="1382"/>
      <c r="D108" s="1381"/>
      <c r="E108" s="1381"/>
      <c r="F108" s="1381"/>
      <c r="G108" s="1381"/>
      <c r="H108" s="1381"/>
      <c r="I108" s="1381"/>
      <c r="J108" s="57"/>
      <c r="K108" s="57"/>
      <c r="L108" s="57"/>
      <c r="M108" s="57"/>
      <c r="N108" s="57"/>
      <c r="O108" s="57"/>
      <c r="P108" s="57"/>
      <c r="Q108" s="57"/>
      <c r="R108" s="57"/>
      <c r="S108" s="118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CU108" s="332"/>
      <c r="CV108" s="331" t="s">
        <v>778</v>
      </c>
      <c r="CW108" s="331" t="s">
        <v>774</v>
      </c>
      <c r="CY108" s="57"/>
    </row>
    <row r="109" spans="1:103" s="57" customFormat="1" x14ac:dyDescent="0.2">
      <c r="S109" s="118"/>
      <c r="CU109" s="349"/>
      <c r="CV109" s="358"/>
      <c r="CW109" s="1486"/>
    </row>
    <row r="110" spans="1:103" s="60" customFormat="1" ht="18.75" thickBot="1" x14ac:dyDescent="0.25">
      <c r="A110" s="57"/>
      <c r="B110" s="253" t="str">
        <f>IF($B$2="English",CW110,CV110)</f>
        <v>Anhang zu Tab 1b</v>
      </c>
      <c r="C110" s="350"/>
      <c r="D110" s="351"/>
      <c r="E110" s="351"/>
      <c r="F110" s="351"/>
      <c r="G110" s="351"/>
      <c r="H110" s="351"/>
      <c r="I110" s="130"/>
      <c r="J110" s="57"/>
      <c r="K110" s="57"/>
      <c r="L110" s="57"/>
      <c r="M110" s="57"/>
      <c r="N110" s="57"/>
      <c r="O110" s="57"/>
      <c r="P110" s="57"/>
      <c r="Q110" s="57"/>
      <c r="R110" s="57"/>
      <c r="S110" s="118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CV110" s="358" t="s">
        <v>241</v>
      </c>
      <c r="CW110" s="358" t="s">
        <v>396</v>
      </c>
    </row>
    <row r="111" spans="1:103" s="60" customFormat="1" ht="15" thickBot="1" x14ac:dyDescent="0.25">
      <c r="A111" s="57"/>
      <c r="B111" s="322"/>
      <c r="C111" s="1561" t="str">
        <f>IF($B$2="English",CW111,CV111)</f>
        <v>Abschätzung der Einkommensteuer  4)</v>
      </c>
      <c r="D111" s="184">
        <f ca="1">C4</f>
        <v>2019</v>
      </c>
      <c r="E111" s="184">
        <f ca="1">D111+1</f>
        <v>2020</v>
      </c>
      <c r="F111" s="184">
        <f ca="1">E111+1</f>
        <v>2021</v>
      </c>
      <c r="G111" s="184">
        <f ca="1">F111+1</f>
        <v>2022</v>
      </c>
      <c r="H111" s="185">
        <f ca="1">G111+1</f>
        <v>2023</v>
      </c>
      <c r="I111" s="130"/>
      <c r="J111" s="57"/>
      <c r="K111" s="57"/>
      <c r="L111" s="57"/>
      <c r="M111" s="57"/>
      <c r="N111" s="57"/>
      <c r="O111" s="57"/>
      <c r="P111" s="57"/>
      <c r="Q111" s="57"/>
      <c r="R111" s="57"/>
      <c r="S111" s="118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CU111" s="353"/>
      <c r="CV111" s="1484" t="s">
        <v>776</v>
      </c>
      <c r="CW111" s="1484" t="s">
        <v>777</v>
      </c>
    </row>
    <row r="112" spans="1:103" s="60" customFormat="1" ht="15" thickBot="1" x14ac:dyDescent="0.25">
      <c r="A112" s="57"/>
      <c r="B112" s="354"/>
      <c r="C112" s="355" t="str">
        <f>IF($B$2="English",CW112,CV112)</f>
        <v>Grundlage dafür sind Gesamtausgaben</v>
      </c>
      <c r="D112" s="356"/>
      <c r="E112" s="356"/>
      <c r="F112" s="356"/>
      <c r="G112" s="356"/>
      <c r="H112" s="356"/>
      <c r="I112" s="127"/>
      <c r="J112" s="57"/>
      <c r="K112" s="57"/>
      <c r="L112" s="57"/>
      <c r="M112" s="57"/>
      <c r="N112" s="57"/>
      <c r="O112" s="57"/>
      <c r="P112" s="57"/>
      <c r="Q112" s="57"/>
      <c r="R112" s="57"/>
      <c r="S112" s="1556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CU112" s="349"/>
      <c r="CV112" s="1485" t="s">
        <v>397</v>
      </c>
      <c r="CW112" s="1485" t="s">
        <v>398</v>
      </c>
    </row>
    <row r="113" spans="2:101" s="176" customFormat="1" x14ac:dyDescent="0.2">
      <c r="B113" s="1483" t="str">
        <f>IF($B$2="English",CW113,CV113)</f>
        <v>4)  Die EkSt. im Angestelltenverhältnis erhöht die Privatausgaben</v>
      </c>
      <c r="C113" s="357"/>
      <c r="R113" s="57"/>
      <c r="S113" s="177" t="s">
        <v>247</v>
      </c>
      <c r="CU113" s="179"/>
      <c r="CV113" s="358" t="s">
        <v>253</v>
      </c>
      <c r="CW113" s="358" t="s">
        <v>772</v>
      </c>
    </row>
    <row r="114" spans="2:101" s="176" customFormat="1" x14ac:dyDescent="0.2">
      <c r="B114" s="1483" t="str">
        <f>IF($B$2="English",CW114,CV114)</f>
        <v xml:space="preserve">     EkSt. auf die Privatentnahmen wird bei Unternehmensformen die keine Kapitalgesellschaft sind aus dem Gesamtgewinn ermittelt und in der Liquiditätsberechnung berücksichtigt.</v>
      </c>
      <c r="C114" s="357"/>
      <c r="R114" s="57"/>
      <c r="CU114" s="179"/>
      <c r="CV114" s="358" t="s">
        <v>771</v>
      </c>
      <c r="CW114" s="358" t="s">
        <v>773</v>
      </c>
    </row>
    <row r="115" spans="2:101" s="176" customFormat="1" x14ac:dyDescent="0.2">
      <c r="B115" s="359" t="s">
        <v>770</v>
      </c>
      <c r="D115" s="186"/>
      <c r="E115" s="186"/>
      <c r="F115" s="186"/>
      <c r="G115" s="186"/>
      <c r="H115" s="186"/>
      <c r="R115" s="57"/>
      <c r="CU115" s="297"/>
      <c r="CV115" s="360" t="s">
        <v>230</v>
      </c>
      <c r="CW115" s="360" t="s">
        <v>769</v>
      </c>
    </row>
    <row r="116" spans="2:101" s="176" customFormat="1" x14ac:dyDescent="0.2">
      <c r="B116" s="186"/>
      <c r="D116" s="186"/>
      <c r="E116" s="186"/>
      <c r="F116" s="186"/>
      <c r="G116" s="186"/>
      <c r="H116" s="186"/>
      <c r="R116" s="57"/>
      <c r="CU116" s="297"/>
      <c r="CV116" s="180"/>
      <c r="CW116" s="180"/>
    </row>
    <row r="117" spans="2:101" s="177" customFormat="1" x14ac:dyDescent="0.2">
      <c r="C117" s="361"/>
      <c r="E117" s="362">
        <v>0.5</v>
      </c>
      <c r="F117" s="362">
        <v>0.6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363"/>
      <c r="Q117" s="363"/>
      <c r="R117" s="95"/>
      <c r="CU117" s="297"/>
      <c r="CV117" s="305"/>
      <c r="CW117" s="305"/>
    </row>
    <row r="118" spans="2:101" s="176" customFormat="1" x14ac:dyDescent="0.2">
      <c r="C118" s="357"/>
      <c r="G118" s="362"/>
      <c r="P118" s="178"/>
      <c r="Q118" s="178"/>
      <c r="R118" s="57"/>
      <c r="CU118" s="297"/>
      <c r="CV118" s="305"/>
      <c r="CW118" s="305"/>
    </row>
    <row r="119" spans="2:101" s="176" customFormat="1" x14ac:dyDescent="0.2">
      <c r="C119" s="357"/>
      <c r="G119" s="362"/>
      <c r="P119" s="178"/>
      <c r="Q119" s="178"/>
      <c r="R119" s="57"/>
      <c r="CU119" s="297"/>
      <c r="CV119" s="305"/>
      <c r="CW119" s="305"/>
    </row>
    <row r="120" spans="2:101" s="176" customFormat="1" x14ac:dyDescent="0.2">
      <c r="C120" s="357"/>
      <c r="G120" s="362"/>
      <c r="P120" s="178"/>
      <c r="Q120" s="178"/>
      <c r="R120" s="57"/>
      <c r="CU120" s="297"/>
      <c r="CV120" s="305"/>
      <c r="CW120" s="305"/>
    </row>
    <row r="121" spans="2:101" s="176" customFormat="1" x14ac:dyDescent="0.2">
      <c r="C121" s="357"/>
      <c r="G121" s="362"/>
      <c r="P121" s="178"/>
      <c r="Q121" s="178"/>
      <c r="R121" s="57"/>
      <c r="CU121" s="297"/>
      <c r="CV121" s="305"/>
      <c r="CW121" s="305"/>
    </row>
    <row r="122" spans="2:101" s="176" customFormat="1" x14ac:dyDescent="0.2">
      <c r="C122" s="357"/>
      <c r="G122" s="362"/>
      <c r="P122" s="178"/>
      <c r="Q122" s="178"/>
      <c r="R122" s="57"/>
      <c r="CU122" s="297"/>
      <c r="CV122" s="305"/>
      <c r="CW122" s="305"/>
    </row>
    <row r="123" spans="2:101" s="176" customFormat="1" x14ac:dyDescent="0.2">
      <c r="C123" s="357"/>
      <c r="P123" s="178"/>
      <c r="Q123" s="178"/>
      <c r="R123" s="57"/>
      <c r="CU123" s="297"/>
      <c r="CV123" s="305"/>
      <c r="CW123" s="305"/>
    </row>
    <row r="124" spans="2:101" s="176" customFormat="1" x14ac:dyDescent="0.2">
      <c r="C124" s="357"/>
      <c r="P124" s="178"/>
      <c r="Q124" s="178"/>
      <c r="R124" s="57"/>
      <c r="CU124" s="297"/>
      <c r="CV124" s="305"/>
      <c r="CW124" s="305"/>
    </row>
    <row r="125" spans="2:101" s="176" customFormat="1" x14ac:dyDescent="0.2">
      <c r="C125" s="357"/>
      <c r="P125" s="178"/>
      <c r="Q125" s="178"/>
      <c r="R125" s="57"/>
      <c r="CU125" s="297"/>
      <c r="CV125" s="305"/>
      <c r="CW125" s="305"/>
    </row>
    <row r="126" spans="2:101" s="176" customFormat="1" x14ac:dyDescent="0.2">
      <c r="C126" s="357"/>
      <c r="P126" s="178"/>
      <c r="Q126" s="178"/>
      <c r="R126" s="57"/>
      <c r="CU126" s="297"/>
      <c r="CV126" s="305"/>
      <c r="CW126" s="305"/>
    </row>
    <row r="127" spans="2:101" s="176" customFormat="1" x14ac:dyDescent="0.2">
      <c r="C127" s="357"/>
      <c r="P127" s="178"/>
      <c r="Q127" s="178"/>
      <c r="R127" s="57"/>
      <c r="CU127" s="297"/>
      <c r="CV127" s="305"/>
      <c r="CW127" s="305"/>
    </row>
    <row r="128" spans="2:101" s="176" customFormat="1" x14ac:dyDescent="0.2">
      <c r="C128" s="357"/>
      <c r="P128" s="178"/>
      <c r="Q128" s="178"/>
      <c r="R128" s="57"/>
      <c r="CU128" s="297"/>
      <c r="CV128" s="305"/>
      <c r="CW128" s="305"/>
    </row>
    <row r="129" spans="3:101" s="176" customFormat="1" x14ac:dyDescent="0.2">
      <c r="C129" s="357"/>
      <c r="P129" s="178"/>
      <c r="Q129" s="178"/>
      <c r="R129" s="57"/>
      <c r="CU129" s="297"/>
      <c r="CV129" s="305"/>
      <c r="CW129" s="305"/>
    </row>
    <row r="130" spans="3:101" s="176" customFormat="1" x14ac:dyDescent="0.2">
      <c r="C130" s="357"/>
      <c r="P130" s="178"/>
      <c r="Q130" s="178"/>
      <c r="R130" s="57"/>
      <c r="CU130" s="297"/>
      <c r="CV130" s="305"/>
      <c r="CW130" s="305"/>
    </row>
    <row r="131" spans="3:101" s="176" customFormat="1" x14ac:dyDescent="0.2">
      <c r="C131" s="357"/>
      <c r="P131" s="178"/>
      <c r="Q131" s="178"/>
      <c r="R131" s="57"/>
      <c r="CU131" s="297"/>
      <c r="CV131" s="305"/>
      <c r="CW131" s="305"/>
    </row>
    <row r="132" spans="3:101" s="176" customFormat="1" x14ac:dyDescent="0.2">
      <c r="C132" s="357"/>
      <c r="P132" s="178"/>
      <c r="Q132" s="178"/>
      <c r="R132" s="57"/>
      <c r="CU132" s="297"/>
      <c r="CV132" s="305"/>
      <c r="CW132" s="305"/>
    </row>
    <row r="133" spans="3:101" s="176" customFormat="1" x14ac:dyDescent="0.2">
      <c r="C133" s="357"/>
      <c r="P133" s="178"/>
      <c r="Q133" s="178"/>
      <c r="R133" s="57"/>
      <c r="CU133" s="297"/>
      <c r="CV133" s="305"/>
      <c r="CW133" s="305"/>
    </row>
    <row r="134" spans="3:101" s="176" customFormat="1" x14ac:dyDescent="0.2">
      <c r="C134" s="357"/>
      <c r="P134" s="178"/>
      <c r="Q134" s="178"/>
      <c r="R134" s="57"/>
      <c r="CU134" s="297"/>
      <c r="CV134" s="305"/>
      <c r="CW134" s="305"/>
    </row>
    <row r="135" spans="3:101" s="176" customFormat="1" x14ac:dyDescent="0.2">
      <c r="C135" s="357"/>
      <c r="P135" s="178"/>
      <c r="Q135" s="178"/>
      <c r="R135" s="57"/>
      <c r="CU135" s="297"/>
      <c r="CV135" s="305"/>
      <c r="CW135" s="305"/>
    </row>
    <row r="136" spans="3:101" s="176" customFormat="1" x14ac:dyDescent="0.2">
      <c r="C136" s="357"/>
      <c r="P136" s="178"/>
      <c r="Q136" s="178"/>
      <c r="R136" s="57"/>
      <c r="CU136" s="297"/>
      <c r="CV136" s="305"/>
      <c r="CW136" s="305"/>
    </row>
    <row r="137" spans="3:101" s="176" customFormat="1" x14ac:dyDescent="0.2">
      <c r="C137" s="357"/>
      <c r="P137" s="178"/>
      <c r="Q137" s="178"/>
      <c r="R137" s="57"/>
      <c r="CU137" s="297"/>
      <c r="CV137" s="305"/>
      <c r="CW137" s="305"/>
    </row>
    <row r="138" spans="3:101" s="176" customFormat="1" x14ac:dyDescent="0.2">
      <c r="C138" s="357"/>
      <c r="P138" s="178"/>
      <c r="Q138" s="178"/>
      <c r="R138" s="57"/>
      <c r="CU138" s="297"/>
      <c r="CV138" s="305"/>
      <c r="CW138" s="305"/>
    </row>
    <row r="139" spans="3:101" s="176" customFormat="1" x14ac:dyDescent="0.2">
      <c r="C139" s="357"/>
      <c r="P139" s="178"/>
      <c r="Q139" s="178"/>
      <c r="R139" s="57"/>
      <c r="CU139" s="297"/>
      <c r="CV139" s="305"/>
      <c r="CW139" s="305"/>
    </row>
    <row r="140" spans="3:101" s="176" customFormat="1" x14ac:dyDescent="0.2">
      <c r="C140" s="357"/>
      <c r="P140" s="178"/>
      <c r="Q140" s="178"/>
      <c r="R140" s="57"/>
      <c r="CU140" s="297"/>
      <c r="CV140" s="305"/>
      <c r="CW140" s="305"/>
    </row>
    <row r="141" spans="3:101" s="176" customFormat="1" x14ac:dyDescent="0.2">
      <c r="C141" s="357"/>
      <c r="P141" s="178"/>
      <c r="Q141" s="178"/>
      <c r="R141" s="57"/>
      <c r="CU141" s="297"/>
      <c r="CV141" s="305"/>
      <c r="CW141" s="305"/>
    </row>
    <row r="142" spans="3:101" s="176" customFormat="1" x14ac:dyDescent="0.2">
      <c r="C142" s="357"/>
      <c r="P142" s="178"/>
      <c r="Q142" s="178"/>
      <c r="R142" s="57"/>
      <c r="CU142" s="297"/>
      <c r="CV142" s="305"/>
      <c r="CW142" s="305"/>
    </row>
    <row r="143" spans="3:101" s="176" customFormat="1" x14ac:dyDescent="0.2">
      <c r="C143" s="357"/>
      <c r="P143" s="178"/>
      <c r="Q143" s="178"/>
      <c r="R143" s="57"/>
      <c r="CU143" s="297"/>
      <c r="CV143" s="305"/>
      <c r="CW143" s="305"/>
    </row>
    <row r="144" spans="3:101" s="176" customFormat="1" x14ac:dyDescent="0.2">
      <c r="C144" s="357"/>
      <c r="P144" s="178"/>
      <c r="Q144" s="178"/>
      <c r="R144" s="57"/>
      <c r="CU144" s="297"/>
      <c r="CV144" s="305"/>
      <c r="CW144" s="305"/>
    </row>
    <row r="145" spans="3:101" s="176" customFormat="1" x14ac:dyDescent="0.2">
      <c r="C145" s="357"/>
      <c r="P145" s="178"/>
      <c r="Q145" s="178"/>
      <c r="R145" s="57"/>
      <c r="CU145" s="297"/>
      <c r="CV145" s="305"/>
      <c r="CW145" s="305"/>
    </row>
    <row r="146" spans="3:101" s="176" customFormat="1" x14ac:dyDescent="0.2">
      <c r="C146" s="357"/>
      <c r="P146" s="178"/>
      <c r="Q146" s="178"/>
      <c r="R146" s="57"/>
      <c r="CU146" s="297"/>
      <c r="CV146" s="305"/>
      <c r="CW146" s="305"/>
    </row>
    <row r="147" spans="3:101" s="176" customFormat="1" x14ac:dyDescent="0.2">
      <c r="C147" s="357"/>
      <c r="P147" s="178"/>
      <c r="Q147" s="178"/>
      <c r="R147" s="57"/>
      <c r="CU147" s="297"/>
      <c r="CV147" s="305"/>
      <c r="CW147" s="305"/>
    </row>
    <row r="148" spans="3:101" s="176" customFormat="1" x14ac:dyDescent="0.2">
      <c r="C148" s="357"/>
      <c r="P148" s="178"/>
      <c r="Q148" s="178"/>
      <c r="R148" s="57"/>
      <c r="CU148" s="297"/>
      <c r="CV148" s="305"/>
      <c r="CW148" s="305"/>
    </row>
    <row r="149" spans="3:101" s="176" customFormat="1" x14ac:dyDescent="0.2">
      <c r="C149" s="357"/>
      <c r="P149" s="178"/>
      <c r="Q149" s="178"/>
      <c r="R149" s="57"/>
      <c r="CU149" s="297"/>
      <c r="CV149" s="305"/>
      <c r="CW149" s="305"/>
    </row>
    <row r="150" spans="3:101" s="176" customFormat="1" x14ac:dyDescent="0.2">
      <c r="C150" s="357"/>
      <c r="P150" s="178"/>
      <c r="Q150" s="178"/>
      <c r="R150" s="57"/>
      <c r="CU150" s="297"/>
      <c r="CV150" s="305"/>
      <c r="CW150" s="305"/>
    </row>
    <row r="151" spans="3:101" s="176" customFormat="1" x14ac:dyDescent="0.2">
      <c r="C151" s="357"/>
      <c r="P151" s="178"/>
      <c r="Q151" s="178"/>
      <c r="R151" s="57"/>
      <c r="CU151" s="297"/>
      <c r="CV151" s="305"/>
      <c r="CW151" s="305"/>
    </row>
    <row r="152" spans="3:101" s="176" customFormat="1" x14ac:dyDescent="0.2">
      <c r="C152" s="357"/>
      <c r="P152" s="178"/>
      <c r="Q152" s="178"/>
      <c r="R152" s="57"/>
      <c r="CU152" s="297"/>
      <c r="CV152" s="305"/>
      <c r="CW152" s="305"/>
    </row>
    <row r="153" spans="3:101" s="176" customFormat="1" x14ac:dyDescent="0.2">
      <c r="C153" s="357"/>
      <c r="P153" s="178"/>
      <c r="Q153" s="178"/>
      <c r="R153" s="57"/>
      <c r="CU153" s="297"/>
      <c r="CV153" s="305"/>
      <c r="CW153" s="305"/>
    </row>
    <row r="154" spans="3:101" s="176" customFormat="1" x14ac:dyDescent="0.2">
      <c r="C154" s="357"/>
      <c r="P154" s="178"/>
      <c r="Q154" s="178"/>
      <c r="R154" s="57"/>
      <c r="CU154" s="297"/>
      <c r="CV154" s="305"/>
      <c r="CW154" s="305"/>
    </row>
    <row r="155" spans="3:101" s="176" customFormat="1" x14ac:dyDescent="0.2">
      <c r="C155" s="357"/>
      <c r="P155" s="178"/>
      <c r="Q155" s="178"/>
      <c r="R155" s="57"/>
      <c r="CU155" s="297"/>
      <c r="CV155" s="305"/>
      <c r="CW155" s="305"/>
    </row>
    <row r="156" spans="3:101" s="176" customFormat="1" x14ac:dyDescent="0.2">
      <c r="C156" s="357"/>
      <c r="P156" s="178"/>
      <c r="Q156" s="178"/>
      <c r="R156" s="57"/>
      <c r="CU156" s="297"/>
      <c r="CV156" s="305"/>
      <c r="CW156" s="305"/>
    </row>
    <row r="157" spans="3:101" s="176" customFormat="1" x14ac:dyDescent="0.2">
      <c r="C157" s="357"/>
      <c r="P157" s="178"/>
      <c r="Q157" s="178"/>
      <c r="R157" s="57"/>
      <c r="CU157" s="297"/>
      <c r="CV157" s="305"/>
      <c r="CW157" s="305"/>
    </row>
    <row r="158" spans="3:101" s="176" customFormat="1" x14ac:dyDescent="0.2">
      <c r="C158" s="357"/>
      <c r="P158" s="178"/>
      <c r="Q158" s="178"/>
      <c r="R158" s="57"/>
      <c r="CU158" s="297"/>
      <c r="CV158" s="305"/>
      <c r="CW158" s="305"/>
    </row>
    <row r="159" spans="3:101" s="176" customFormat="1" x14ac:dyDescent="0.2">
      <c r="C159" s="357"/>
      <c r="P159" s="178"/>
      <c r="Q159" s="178"/>
      <c r="R159" s="57"/>
      <c r="CU159" s="297"/>
      <c r="CV159" s="305"/>
      <c r="CW159" s="305"/>
    </row>
    <row r="160" spans="3:101" s="176" customFormat="1" x14ac:dyDescent="0.2">
      <c r="C160" s="357"/>
      <c r="P160" s="178"/>
      <c r="Q160" s="178"/>
      <c r="R160" s="57"/>
      <c r="CU160" s="297"/>
      <c r="CV160" s="305"/>
      <c r="CW160" s="305"/>
    </row>
    <row r="161" spans="3:101" s="176" customFormat="1" x14ac:dyDescent="0.2">
      <c r="C161" s="357"/>
      <c r="P161" s="178"/>
      <c r="Q161" s="178"/>
      <c r="R161" s="57"/>
      <c r="CU161" s="297"/>
      <c r="CV161" s="305"/>
      <c r="CW161" s="305"/>
    </row>
    <row r="162" spans="3:101" s="176" customFormat="1" x14ac:dyDescent="0.2">
      <c r="C162" s="357"/>
      <c r="P162" s="178"/>
      <c r="Q162" s="178"/>
      <c r="R162" s="57"/>
      <c r="CU162" s="297"/>
      <c r="CV162" s="305"/>
      <c r="CW162" s="305"/>
    </row>
    <row r="163" spans="3:101" s="176" customFormat="1" x14ac:dyDescent="0.2">
      <c r="C163" s="357"/>
      <c r="P163" s="178"/>
      <c r="Q163" s="178"/>
      <c r="R163" s="57"/>
      <c r="CU163" s="297"/>
      <c r="CV163" s="305"/>
      <c r="CW163" s="305"/>
    </row>
    <row r="164" spans="3:101" s="176" customFormat="1" x14ac:dyDescent="0.2">
      <c r="C164" s="357"/>
      <c r="P164" s="178"/>
      <c r="Q164" s="178"/>
      <c r="R164" s="57"/>
      <c r="CU164" s="297"/>
      <c r="CV164" s="305"/>
      <c r="CW164" s="305"/>
    </row>
    <row r="165" spans="3:101" s="176" customFormat="1" x14ac:dyDescent="0.2">
      <c r="C165" s="357"/>
      <c r="P165" s="178"/>
      <c r="Q165" s="178"/>
      <c r="R165" s="57"/>
      <c r="CU165" s="297"/>
      <c r="CV165" s="305"/>
      <c r="CW165" s="305"/>
    </row>
    <row r="166" spans="3:101" s="176" customFormat="1" x14ac:dyDescent="0.2">
      <c r="C166" s="357"/>
      <c r="P166" s="178"/>
      <c r="Q166" s="178"/>
      <c r="R166" s="57"/>
      <c r="CU166" s="297"/>
      <c r="CV166" s="305"/>
      <c r="CW166" s="305"/>
    </row>
    <row r="167" spans="3:101" s="176" customFormat="1" x14ac:dyDescent="0.2">
      <c r="C167" s="357"/>
      <c r="P167" s="178"/>
      <c r="Q167" s="178"/>
      <c r="R167" s="57"/>
      <c r="CU167" s="297"/>
      <c r="CV167" s="305"/>
      <c r="CW167" s="305"/>
    </row>
    <row r="168" spans="3:101" s="176" customFormat="1" x14ac:dyDescent="0.2">
      <c r="C168" s="357"/>
      <c r="P168" s="178"/>
      <c r="Q168" s="178"/>
      <c r="R168" s="57"/>
      <c r="CU168" s="297"/>
      <c r="CV168" s="305"/>
      <c r="CW168" s="305"/>
    </row>
    <row r="169" spans="3:101" s="176" customFormat="1" x14ac:dyDescent="0.2">
      <c r="C169" s="357"/>
      <c r="P169" s="178"/>
      <c r="Q169" s="178"/>
      <c r="R169" s="57"/>
      <c r="CU169" s="297"/>
      <c r="CV169" s="305"/>
      <c r="CW169" s="305"/>
    </row>
    <row r="170" spans="3:101" s="176" customFormat="1" x14ac:dyDescent="0.2">
      <c r="C170" s="357"/>
      <c r="P170" s="178"/>
      <c r="Q170" s="178"/>
      <c r="R170" s="57"/>
      <c r="CU170" s="297"/>
      <c r="CV170" s="305"/>
      <c r="CW170" s="305"/>
    </row>
    <row r="171" spans="3:101" s="176" customFormat="1" x14ac:dyDescent="0.2">
      <c r="C171" s="357"/>
      <c r="P171" s="178"/>
      <c r="Q171" s="178"/>
      <c r="R171" s="57"/>
      <c r="CU171" s="297"/>
      <c r="CV171" s="305"/>
      <c r="CW171" s="305"/>
    </row>
    <row r="172" spans="3:101" s="176" customFormat="1" x14ac:dyDescent="0.2">
      <c r="C172" s="357"/>
      <c r="P172" s="178"/>
      <c r="Q172" s="178"/>
      <c r="R172" s="57"/>
      <c r="CU172" s="297"/>
      <c r="CV172" s="305"/>
      <c r="CW172" s="305"/>
    </row>
    <row r="173" spans="3:101" s="176" customFormat="1" x14ac:dyDescent="0.2">
      <c r="C173" s="357"/>
      <c r="P173" s="178"/>
      <c r="Q173" s="178"/>
      <c r="R173" s="57"/>
      <c r="CU173" s="297"/>
      <c r="CV173" s="305"/>
      <c r="CW173" s="305"/>
    </row>
    <row r="174" spans="3:101" s="176" customFormat="1" x14ac:dyDescent="0.2">
      <c r="C174" s="357"/>
      <c r="P174" s="178"/>
      <c r="Q174" s="178"/>
      <c r="R174" s="57"/>
      <c r="CU174" s="297"/>
      <c r="CV174" s="305"/>
      <c r="CW174" s="305"/>
    </row>
    <row r="175" spans="3:101" s="176" customFormat="1" x14ac:dyDescent="0.2">
      <c r="C175" s="357"/>
      <c r="P175" s="178"/>
      <c r="Q175" s="178"/>
      <c r="R175" s="57"/>
      <c r="CU175" s="297"/>
      <c r="CV175" s="305"/>
      <c r="CW175" s="305"/>
    </row>
    <row r="176" spans="3:101" s="176" customFormat="1" x14ac:dyDescent="0.2">
      <c r="C176" s="357"/>
      <c r="P176" s="178"/>
      <c r="Q176" s="178"/>
      <c r="R176" s="57"/>
      <c r="CU176" s="297"/>
      <c r="CV176" s="305"/>
      <c r="CW176" s="305"/>
    </row>
    <row r="177" spans="3:101" s="176" customFormat="1" x14ac:dyDescent="0.2">
      <c r="C177" s="357"/>
      <c r="P177" s="178"/>
      <c r="Q177" s="178"/>
      <c r="R177" s="57"/>
      <c r="CU177" s="297"/>
      <c r="CV177" s="305"/>
      <c r="CW177" s="305"/>
    </row>
    <row r="178" spans="3:101" s="176" customFormat="1" x14ac:dyDescent="0.2">
      <c r="C178" s="357"/>
      <c r="P178" s="178"/>
      <c r="Q178" s="178"/>
      <c r="R178" s="57"/>
      <c r="CU178" s="297"/>
      <c r="CV178" s="305"/>
      <c r="CW178" s="305"/>
    </row>
    <row r="179" spans="3:101" s="176" customFormat="1" x14ac:dyDescent="0.2">
      <c r="C179" s="357"/>
      <c r="P179" s="178"/>
      <c r="Q179" s="178"/>
      <c r="R179" s="57"/>
      <c r="CU179" s="297"/>
      <c r="CV179" s="305"/>
      <c r="CW179" s="305"/>
    </row>
    <row r="180" spans="3:101" s="176" customFormat="1" x14ac:dyDescent="0.2">
      <c r="C180" s="357"/>
      <c r="P180" s="178"/>
      <c r="Q180" s="178"/>
      <c r="R180" s="57"/>
      <c r="CU180" s="297"/>
      <c r="CV180" s="305"/>
      <c r="CW180" s="305"/>
    </row>
    <row r="181" spans="3:101" s="176" customFormat="1" x14ac:dyDescent="0.2">
      <c r="C181" s="357"/>
      <c r="P181" s="178"/>
      <c r="Q181" s="178"/>
      <c r="R181" s="57"/>
      <c r="CU181" s="297"/>
      <c r="CV181" s="305"/>
      <c r="CW181" s="305"/>
    </row>
    <row r="182" spans="3:101" s="176" customFormat="1" x14ac:dyDescent="0.2">
      <c r="C182" s="357"/>
      <c r="P182" s="178"/>
      <c r="Q182" s="178"/>
      <c r="R182" s="57"/>
      <c r="CU182" s="297"/>
      <c r="CV182" s="305"/>
      <c r="CW182" s="305"/>
    </row>
    <row r="183" spans="3:101" s="176" customFormat="1" x14ac:dyDescent="0.2">
      <c r="C183" s="357"/>
      <c r="P183" s="178"/>
      <c r="Q183" s="178"/>
      <c r="R183" s="57"/>
      <c r="CU183" s="297"/>
      <c r="CV183" s="305"/>
      <c r="CW183" s="305"/>
    </row>
    <row r="184" spans="3:101" s="176" customFormat="1" x14ac:dyDescent="0.2">
      <c r="C184" s="357"/>
      <c r="P184" s="178"/>
      <c r="Q184" s="178"/>
      <c r="R184" s="57"/>
      <c r="CU184" s="297"/>
      <c r="CV184" s="305"/>
      <c r="CW184" s="305"/>
    </row>
    <row r="185" spans="3:101" s="176" customFormat="1" x14ac:dyDescent="0.2">
      <c r="C185" s="357"/>
      <c r="P185" s="178"/>
      <c r="Q185" s="178"/>
      <c r="R185" s="57"/>
      <c r="CU185" s="297"/>
      <c r="CV185" s="305"/>
      <c r="CW185" s="305"/>
    </row>
    <row r="186" spans="3:101" s="176" customFormat="1" x14ac:dyDescent="0.2">
      <c r="C186" s="357"/>
      <c r="P186" s="178"/>
      <c r="Q186" s="178"/>
      <c r="R186" s="57"/>
      <c r="CU186" s="297"/>
      <c r="CV186" s="305"/>
      <c r="CW186" s="305"/>
    </row>
    <row r="187" spans="3:101" s="176" customFormat="1" x14ac:dyDescent="0.2">
      <c r="C187" s="357"/>
      <c r="P187" s="178"/>
      <c r="Q187" s="178"/>
      <c r="R187" s="57"/>
      <c r="CU187" s="297"/>
      <c r="CV187" s="305"/>
      <c r="CW187" s="305"/>
    </row>
    <row r="188" spans="3:101" s="176" customFormat="1" x14ac:dyDescent="0.2">
      <c r="C188" s="357"/>
      <c r="P188" s="178"/>
      <c r="Q188" s="178"/>
      <c r="R188" s="57"/>
      <c r="CU188" s="297"/>
      <c r="CV188" s="305"/>
      <c r="CW188" s="305"/>
    </row>
    <row r="189" spans="3:101" s="176" customFormat="1" x14ac:dyDescent="0.2">
      <c r="C189" s="357"/>
      <c r="P189" s="178"/>
      <c r="Q189" s="178"/>
      <c r="R189" s="57"/>
      <c r="CU189" s="297"/>
      <c r="CV189" s="305"/>
      <c r="CW189" s="305"/>
    </row>
    <row r="190" spans="3:101" s="176" customFormat="1" x14ac:dyDescent="0.2">
      <c r="C190" s="357"/>
      <c r="P190" s="178"/>
      <c r="Q190" s="178"/>
      <c r="R190" s="57"/>
      <c r="CU190" s="297"/>
      <c r="CV190" s="305"/>
      <c r="CW190" s="305"/>
    </row>
    <row r="191" spans="3:101" s="176" customFormat="1" x14ac:dyDescent="0.2">
      <c r="C191" s="357"/>
      <c r="P191" s="178"/>
      <c r="Q191" s="178"/>
      <c r="R191" s="57"/>
      <c r="CU191" s="297"/>
      <c r="CV191" s="305"/>
      <c r="CW191" s="305"/>
    </row>
    <row r="192" spans="3:101" s="176" customFormat="1" x14ac:dyDescent="0.2">
      <c r="C192" s="357"/>
      <c r="P192" s="178"/>
      <c r="Q192" s="178"/>
      <c r="R192" s="57"/>
      <c r="CU192" s="297"/>
      <c r="CV192" s="305"/>
      <c r="CW192" s="305"/>
    </row>
    <row r="193" spans="3:101" s="176" customFormat="1" x14ac:dyDescent="0.2">
      <c r="C193" s="357"/>
      <c r="P193" s="178"/>
      <c r="Q193" s="178"/>
      <c r="R193" s="57"/>
      <c r="CU193" s="297"/>
      <c r="CV193" s="305"/>
      <c r="CW193" s="305"/>
    </row>
    <row r="194" spans="3:101" s="176" customFormat="1" x14ac:dyDescent="0.2">
      <c r="C194" s="357"/>
      <c r="P194" s="178"/>
      <c r="Q194" s="178"/>
      <c r="R194" s="57"/>
      <c r="CU194" s="297"/>
      <c r="CV194" s="305"/>
      <c r="CW194" s="305"/>
    </row>
    <row r="195" spans="3:101" s="176" customFormat="1" x14ac:dyDescent="0.2">
      <c r="C195" s="357"/>
      <c r="P195" s="178"/>
      <c r="Q195" s="178"/>
      <c r="R195" s="57"/>
      <c r="CU195" s="297"/>
      <c r="CV195" s="305"/>
      <c r="CW195" s="305"/>
    </row>
    <row r="196" spans="3:101" s="176" customFormat="1" x14ac:dyDescent="0.2">
      <c r="C196" s="357"/>
      <c r="P196" s="178"/>
      <c r="Q196" s="178"/>
      <c r="R196" s="57"/>
      <c r="CU196" s="297"/>
      <c r="CV196" s="305"/>
      <c r="CW196" s="305"/>
    </row>
    <row r="197" spans="3:101" s="176" customFormat="1" x14ac:dyDescent="0.2">
      <c r="C197" s="357"/>
      <c r="P197" s="178"/>
      <c r="Q197" s="178"/>
      <c r="R197" s="57"/>
      <c r="CU197" s="297"/>
      <c r="CV197" s="305"/>
      <c r="CW197" s="305"/>
    </row>
    <row r="198" spans="3:101" s="176" customFormat="1" x14ac:dyDescent="0.2">
      <c r="C198" s="357"/>
      <c r="P198" s="178"/>
      <c r="Q198" s="178"/>
      <c r="R198" s="57"/>
      <c r="CU198" s="297"/>
      <c r="CV198" s="305"/>
      <c r="CW198" s="305"/>
    </row>
    <row r="199" spans="3:101" s="176" customFormat="1" x14ac:dyDescent="0.2">
      <c r="C199" s="357"/>
      <c r="P199" s="178"/>
      <c r="Q199" s="178"/>
      <c r="R199" s="57"/>
      <c r="CU199" s="297"/>
      <c r="CV199" s="305"/>
      <c r="CW199" s="305"/>
    </row>
    <row r="200" spans="3:101" s="176" customFormat="1" x14ac:dyDescent="0.2">
      <c r="C200" s="357"/>
      <c r="P200" s="178"/>
      <c r="Q200" s="178"/>
      <c r="R200" s="57"/>
      <c r="CU200" s="297"/>
      <c r="CV200" s="305"/>
      <c r="CW200" s="305"/>
    </row>
    <row r="201" spans="3:101" s="176" customFormat="1" x14ac:dyDescent="0.2">
      <c r="C201" s="357"/>
      <c r="P201" s="178"/>
      <c r="Q201" s="178"/>
      <c r="R201" s="57"/>
      <c r="CU201" s="297"/>
      <c r="CV201" s="305"/>
      <c r="CW201" s="305"/>
    </row>
    <row r="202" spans="3:101" s="176" customFormat="1" x14ac:dyDescent="0.2">
      <c r="C202" s="357"/>
      <c r="P202" s="178"/>
      <c r="Q202" s="178"/>
      <c r="R202" s="57"/>
      <c r="CU202" s="297"/>
      <c r="CV202" s="305"/>
      <c r="CW202" s="305"/>
    </row>
    <row r="203" spans="3:101" s="176" customFormat="1" x14ac:dyDescent="0.2">
      <c r="C203" s="357"/>
      <c r="P203" s="178"/>
      <c r="Q203" s="178"/>
      <c r="R203" s="57"/>
      <c r="CU203" s="297"/>
      <c r="CV203" s="305"/>
      <c r="CW203" s="305"/>
    </row>
    <row r="204" spans="3:101" s="176" customFormat="1" x14ac:dyDescent="0.2">
      <c r="C204" s="357"/>
      <c r="P204" s="178"/>
      <c r="Q204" s="178"/>
      <c r="R204" s="57"/>
      <c r="CU204" s="297"/>
      <c r="CV204" s="305"/>
      <c r="CW204" s="305"/>
    </row>
    <row r="205" spans="3:101" s="176" customFormat="1" x14ac:dyDescent="0.2">
      <c r="C205" s="357"/>
      <c r="P205" s="178"/>
      <c r="Q205" s="178"/>
      <c r="R205" s="57"/>
      <c r="CU205" s="297"/>
      <c r="CV205" s="305"/>
      <c r="CW205" s="305"/>
    </row>
    <row r="206" spans="3:101" s="176" customFormat="1" x14ac:dyDescent="0.2">
      <c r="C206" s="357"/>
      <c r="P206" s="178"/>
      <c r="Q206" s="178"/>
      <c r="R206" s="57"/>
      <c r="CU206" s="297"/>
      <c r="CV206" s="305"/>
      <c r="CW206" s="305"/>
    </row>
    <row r="207" spans="3:101" s="176" customFormat="1" x14ac:dyDescent="0.2">
      <c r="C207" s="357"/>
      <c r="P207" s="178"/>
      <c r="Q207" s="178"/>
      <c r="R207" s="57"/>
      <c r="CU207" s="297"/>
      <c r="CV207" s="305"/>
      <c r="CW207" s="305"/>
    </row>
    <row r="208" spans="3:101" s="176" customFormat="1" x14ac:dyDescent="0.2">
      <c r="C208" s="357"/>
      <c r="P208" s="178"/>
      <c r="Q208" s="178"/>
      <c r="R208" s="57"/>
      <c r="CU208" s="297"/>
      <c r="CV208" s="305"/>
      <c r="CW208" s="305"/>
    </row>
    <row r="209" spans="3:101" s="176" customFormat="1" x14ac:dyDescent="0.2">
      <c r="C209" s="357"/>
      <c r="P209" s="178"/>
      <c r="Q209" s="178"/>
      <c r="R209" s="57"/>
      <c r="CU209" s="297"/>
      <c r="CV209" s="305"/>
      <c r="CW209" s="305"/>
    </row>
    <row r="210" spans="3:101" s="176" customFormat="1" x14ac:dyDescent="0.2">
      <c r="C210" s="357"/>
      <c r="P210" s="178"/>
      <c r="Q210" s="178"/>
      <c r="R210" s="57"/>
      <c r="CU210" s="297"/>
      <c r="CV210" s="305"/>
      <c r="CW210" s="305"/>
    </row>
    <row r="211" spans="3:101" s="176" customFormat="1" x14ac:dyDescent="0.2">
      <c r="C211" s="357"/>
      <c r="P211" s="178"/>
      <c r="Q211" s="178"/>
      <c r="R211" s="57"/>
      <c r="CU211" s="297"/>
      <c r="CV211" s="305"/>
      <c r="CW211" s="305"/>
    </row>
    <row r="212" spans="3:101" s="176" customFormat="1" x14ac:dyDescent="0.2">
      <c r="C212" s="357"/>
      <c r="P212" s="178"/>
      <c r="Q212" s="178"/>
      <c r="R212" s="57"/>
      <c r="CU212" s="297"/>
      <c r="CV212" s="305"/>
      <c r="CW212" s="305"/>
    </row>
    <row r="213" spans="3:101" s="176" customFormat="1" x14ac:dyDescent="0.2">
      <c r="C213" s="357"/>
      <c r="P213" s="178"/>
      <c r="Q213" s="178"/>
      <c r="R213" s="57"/>
      <c r="CU213" s="297"/>
      <c r="CV213" s="305"/>
      <c r="CW213" s="305"/>
    </row>
    <row r="214" spans="3:101" s="176" customFormat="1" x14ac:dyDescent="0.2">
      <c r="C214" s="357"/>
      <c r="P214" s="178"/>
      <c r="Q214" s="178"/>
      <c r="R214" s="57"/>
      <c r="CU214" s="297"/>
      <c r="CV214" s="305"/>
      <c r="CW214" s="305"/>
    </row>
    <row r="215" spans="3:101" s="176" customFormat="1" x14ac:dyDescent="0.2">
      <c r="C215" s="357"/>
      <c r="P215" s="178"/>
      <c r="Q215" s="178"/>
      <c r="R215" s="57"/>
      <c r="CU215" s="297"/>
      <c r="CV215" s="305"/>
      <c r="CW215" s="305"/>
    </row>
    <row r="216" spans="3:101" s="176" customFormat="1" x14ac:dyDescent="0.2">
      <c r="C216" s="357"/>
      <c r="P216" s="178"/>
      <c r="Q216" s="178"/>
      <c r="R216" s="57"/>
      <c r="CU216" s="297"/>
      <c r="CV216" s="305"/>
      <c r="CW216" s="305"/>
    </row>
    <row r="217" spans="3:101" s="176" customFormat="1" x14ac:dyDescent="0.2">
      <c r="C217" s="357"/>
      <c r="P217" s="178"/>
      <c r="Q217" s="178"/>
      <c r="R217" s="57"/>
      <c r="CU217" s="297"/>
      <c r="CV217" s="305"/>
      <c r="CW217" s="305"/>
    </row>
    <row r="218" spans="3:101" s="176" customFormat="1" x14ac:dyDescent="0.2">
      <c r="C218" s="357"/>
      <c r="P218" s="178"/>
      <c r="Q218" s="178"/>
      <c r="R218" s="57"/>
      <c r="CU218" s="297"/>
      <c r="CV218" s="305"/>
      <c r="CW218" s="305"/>
    </row>
    <row r="219" spans="3:101" x14ac:dyDescent="0.2">
      <c r="I219" s="176"/>
      <c r="J219" s="176"/>
      <c r="K219" s="176"/>
      <c r="L219" s="176"/>
      <c r="M219" s="176"/>
      <c r="N219" s="176"/>
      <c r="O219" s="176"/>
      <c r="P219" s="178"/>
      <c r="Q219" s="178"/>
      <c r="S219" s="176"/>
    </row>
    <row r="220" spans="3:101" x14ac:dyDescent="0.2">
      <c r="I220" s="176"/>
      <c r="J220" s="176"/>
      <c r="K220" s="176"/>
      <c r="L220" s="176"/>
      <c r="M220" s="176"/>
      <c r="N220" s="176"/>
      <c r="O220" s="176"/>
      <c r="P220" s="178"/>
      <c r="Q220" s="178"/>
      <c r="S220" s="176"/>
    </row>
    <row r="221" spans="3:101" x14ac:dyDescent="0.2">
      <c r="I221" s="176"/>
      <c r="J221" s="176"/>
      <c r="K221" s="176"/>
      <c r="L221" s="176"/>
      <c r="M221" s="176"/>
      <c r="N221" s="176"/>
      <c r="O221" s="176"/>
      <c r="P221" s="178"/>
      <c r="Q221" s="178"/>
      <c r="S221" s="176"/>
    </row>
    <row r="222" spans="3:101" x14ac:dyDescent="0.2">
      <c r="I222" s="176"/>
      <c r="J222" s="176"/>
      <c r="K222" s="176"/>
      <c r="L222" s="176"/>
      <c r="M222" s="176"/>
      <c r="N222" s="176"/>
      <c r="O222" s="176"/>
      <c r="P222" s="178"/>
      <c r="Q222" s="178"/>
      <c r="S222" s="176"/>
    </row>
    <row r="223" spans="3:101" x14ac:dyDescent="0.2">
      <c r="I223" s="176"/>
      <c r="J223" s="176"/>
      <c r="K223" s="176"/>
      <c r="L223" s="176"/>
      <c r="M223" s="176"/>
      <c r="N223" s="176"/>
      <c r="O223" s="176"/>
      <c r="P223" s="178"/>
      <c r="Q223" s="178"/>
      <c r="S223" s="176"/>
    </row>
    <row r="224" spans="3:101" x14ac:dyDescent="0.2">
      <c r="I224" s="176"/>
      <c r="J224" s="176"/>
      <c r="K224" s="176"/>
      <c r="L224" s="176"/>
      <c r="M224" s="176"/>
      <c r="N224" s="176"/>
      <c r="O224" s="176"/>
      <c r="P224" s="178"/>
      <c r="Q224" s="178"/>
      <c r="S224" s="176"/>
    </row>
    <row r="225" spans="9:19" x14ac:dyDescent="0.2">
      <c r="I225" s="176"/>
      <c r="J225" s="176"/>
      <c r="K225" s="176"/>
      <c r="L225" s="176"/>
      <c r="M225" s="176"/>
      <c r="N225" s="176"/>
      <c r="O225" s="176"/>
      <c r="P225" s="178"/>
      <c r="Q225" s="178"/>
      <c r="S225" s="176"/>
    </row>
    <row r="226" spans="9:19" x14ac:dyDescent="0.2">
      <c r="I226" s="176"/>
      <c r="J226" s="176"/>
      <c r="K226" s="176"/>
      <c r="L226" s="176"/>
      <c r="M226" s="176"/>
      <c r="N226" s="176"/>
      <c r="O226" s="176"/>
      <c r="P226" s="178"/>
      <c r="Q226" s="178"/>
      <c r="S226" s="176"/>
    </row>
    <row r="227" spans="9:19" x14ac:dyDescent="0.2">
      <c r="I227" s="176"/>
      <c r="J227" s="176"/>
      <c r="K227" s="176"/>
      <c r="L227" s="176"/>
      <c r="M227" s="176"/>
      <c r="N227" s="176"/>
      <c r="O227" s="176"/>
      <c r="P227" s="178"/>
      <c r="Q227" s="178"/>
      <c r="S227" s="176"/>
    </row>
    <row r="228" spans="9:19" x14ac:dyDescent="0.2">
      <c r="I228" s="176"/>
      <c r="J228" s="176"/>
      <c r="K228" s="176"/>
      <c r="L228" s="176"/>
      <c r="M228" s="176"/>
      <c r="N228" s="176"/>
      <c r="O228" s="176"/>
      <c r="P228" s="178"/>
      <c r="Q228" s="178"/>
      <c r="S228" s="176"/>
    </row>
    <row r="229" spans="9:19" x14ac:dyDescent="0.2">
      <c r="I229" s="176"/>
      <c r="J229" s="176"/>
      <c r="K229" s="176"/>
      <c r="L229" s="176"/>
      <c r="M229" s="176"/>
      <c r="N229" s="176"/>
      <c r="O229" s="176"/>
      <c r="P229" s="178"/>
      <c r="Q229" s="178"/>
      <c r="S229" s="176"/>
    </row>
    <row r="230" spans="9:19" x14ac:dyDescent="0.2">
      <c r="I230" s="176"/>
      <c r="J230" s="176"/>
      <c r="K230" s="176"/>
      <c r="L230" s="176"/>
      <c r="M230" s="176"/>
      <c r="N230" s="176"/>
      <c r="O230" s="176"/>
      <c r="P230" s="178"/>
      <c r="Q230" s="178"/>
      <c r="S230" s="176"/>
    </row>
    <row r="231" spans="9:19" x14ac:dyDescent="0.2">
      <c r="I231" s="176"/>
      <c r="J231" s="176"/>
      <c r="K231" s="176"/>
      <c r="L231" s="176"/>
      <c r="M231" s="176"/>
      <c r="N231" s="176"/>
      <c r="O231" s="176"/>
      <c r="P231" s="178"/>
      <c r="Q231" s="178"/>
      <c r="S231" s="176"/>
    </row>
    <row r="232" spans="9:19" x14ac:dyDescent="0.2">
      <c r="I232" s="176"/>
      <c r="J232" s="176"/>
      <c r="K232" s="176"/>
      <c r="L232" s="176"/>
      <c r="M232" s="176"/>
      <c r="N232" s="176"/>
      <c r="O232" s="176"/>
      <c r="P232" s="178"/>
      <c r="Q232" s="178"/>
      <c r="S232" s="176"/>
    </row>
    <row r="233" spans="9:19" x14ac:dyDescent="0.2">
      <c r="I233" s="176"/>
      <c r="J233" s="176"/>
      <c r="K233" s="176"/>
      <c r="L233" s="176"/>
      <c r="M233" s="176"/>
      <c r="N233" s="176"/>
      <c r="O233" s="176"/>
      <c r="P233" s="178"/>
      <c r="Q233" s="178"/>
      <c r="S233" s="176"/>
    </row>
    <row r="234" spans="9:19" x14ac:dyDescent="0.2">
      <c r="I234" s="176"/>
      <c r="J234" s="176"/>
      <c r="K234" s="176"/>
      <c r="L234" s="176"/>
      <c r="M234" s="176"/>
      <c r="N234" s="176"/>
      <c r="O234" s="176"/>
      <c r="P234" s="178"/>
      <c r="Q234" s="178"/>
      <c r="S234" s="176"/>
    </row>
    <row r="235" spans="9:19" x14ac:dyDescent="0.2">
      <c r="I235" s="176"/>
      <c r="J235" s="176"/>
      <c r="K235" s="176"/>
      <c r="L235" s="176"/>
      <c r="M235" s="176"/>
      <c r="N235" s="176"/>
      <c r="O235" s="176"/>
      <c r="P235" s="178"/>
      <c r="Q235" s="178"/>
      <c r="S235" s="176"/>
    </row>
    <row r="236" spans="9:19" x14ac:dyDescent="0.2">
      <c r="I236" s="176"/>
      <c r="J236" s="176"/>
      <c r="K236" s="176"/>
      <c r="L236" s="176"/>
      <c r="M236" s="176"/>
      <c r="N236" s="176"/>
      <c r="O236" s="176"/>
      <c r="P236" s="178"/>
      <c r="Q236" s="178"/>
      <c r="S236" s="176"/>
    </row>
    <row r="237" spans="9:19" x14ac:dyDescent="0.2">
      <c r="I237" s="176"/>
      <c r="J237" s="176"/>
      <c r="K237" s="176"/>
      <c r="L237" s="176"/>
      <c r="M237" s="176"/>
      <c r="N237" s="176"/>
      <c r="O237" s="176"/>
      <c r="P237" s="178"/>
      <c r="Q237" s="178"/>
      <c r="S237" s="176"/>
    </row>
    <row r="238" spans="9:19" x14ac:dyDescent="0.2">
      <c r="I238" s="176"/>
      <c r="J238" s="176"/>
      <c r="K238" s="176"/>
      <c r="L238" s="176"/>
      <c r="M238" s="176"/>
      <c r="N238" s="176"/>
      <c r="O238" s="176"/>
      <c r="P238" s="178"/>
      <c r="Q238" s="178"/>
      <c r="S238" s="176"/>
    </row>
    <row r="239" spans="9:19" x14ac:dyDescent="0.2">
      <c r="I239" s="176"/>
      <c r="J239" s="176"/>
      <c r="K239" s="176"/>
      <c r="L239" s="176"/>
      <c r="M239" s="176"/>
      <c r="N239" s="176"/>
      <c r="O239" s="176"/>
      <c r="P239" s="178"/>
      <c r="Q239" s="178"/>
      <c r="S239" s="176"/>
    </row>
    <row r="240" spans="9:19" x14ac:dyDescent="0.2">
      <c r="I240" s="176"/>
      <c r="J240" s="176"/>
      <c r="K240" s="176"/>
      <c r="L240" s="176"/>
      <c r="M240" s="176"/>
      <c r="N240" s="176"/>
      <c r="O240" s="176"/>
      <c r="P240" s="178"/>
      <c r="Q240" s="178"/>
      <c r="S240" s="176"/>
    </row>
    <row r="241" spans="9:19" x14ac:dyDescent="0.2">
      <c r="I241" s="176"/>
      <c r="J241" s="176"/>
      <c r="K241" s="176"/>
      <c r="L241" s="176"/>
      <c r="M241" s="176"/>
      <c r="N241" s="176"/>
      <c r="O241" s="176"/>
      <c r="P241" s="178"/>
      <c r="Q241" s="178"/>
      <c r="S241" s="176"/>
    </row>
    <row r="242" spans="9:19" x14ac:dyDescent="0.2">
      <c r="I242" s="176"/>
      <c r="J242" s="176"/>
      <c r="K242" s="176"/>
      <c r="L242" s="176"/>
      <c r="M242" s="176"/>
      <c r="N242" s="176"/>
      <c r="O242" s="176"/>
      <c r="P242" s="178"/>
      <c r="Q242" s="178"/>
      <c r="S242" s="176"/>
    </row>
    <row r="243" spans="9:19" x14ac:dyDescent="0.2">
      <c r="I243" s="176"/>
      <c r="J243" s="176"/>
      <c r="K243" s="176"/>
      <c r="L243" s="176"/>
      <c r="M243" s="176"/>
      <c r="N243" s="176"/>
      <c r="O243" s="176"/>
      <c r="P243" s="178"/>
      <c r="Q243" s="178"/>
      <c r="S243" s="176"/>
    </row>
    <row r="244" spans="9:19" x14ac:dyDescent="0.2">
      <c r="I244" s="176"/>
      <c r="J244" s="176"/>
      <c r="K244" s="176"/>
      <c r="L244" s="176"/>
      <c r="M244" s="176"/>
      <c r="N244" s="176"/>
      <c r="O244" s="176"/>
      <c r="P244" s="178"/>
      <c r="Q244" s="178"/>
      <c r="S244" s="176"/>
    </row>
    <row r="245" spans="9:19" x14ac:dyDescent="0.2">
      <c r="I245" s="176"/>
      <c r="J245" s="176"/>
      <c r="K245" s="176"/>
      <c r="L245" s="176"/>
      <c r="M245" s="176"/>
      <c r="N245" s="176"/>
      <c r="O245" s="176"/>
      <c r="P245" s="178"/>
      <c r="Q245" s="178"/>
      <c r="S245" s="176"/>
    </row>
    <row r="246" spans="9:19" x14ac:dyDescent="0.2">
      <c r="I246" s="176"/>
      <c r="J246" s="176"/>
      <c r="K246" s="176"/>
      <c r="L246" s="176"/>
      <c r="M246" s="176"/>
      <c r="N246" s="176"/>
      <c r="O246" s="176"/>
      <c r="P246" s="178"/>
      <c r="Q246" s="178"/>
      <c r="S246" s="176"/>
    </row>
    <row r="247" spans="9:19" x14ac:dyDescent="0.2">
      <c r="I247" s="176"/>
      <c r="J247" s="176"/>
      <c r="K247" s="176"/>
      <c r="L247" s="176"/>
      <c r="M247" s="176"/>
      <c r="N247" s="176"/>
      <c r="O247" s="176"/>
      <c r="P247" s="178"/>
      <c r="Q247" s="178"/>
      <c r="S247" s="176"/>
    </row>
    <row r="248" spans="9:19" x14ac:dyDescent="0.2">
      <c r="I248" s="176"/>
      <c r="J248" s="176"/>
      <c r="K248" s="176"/>
      <c r="L248" s="176"/>
      <c r="M248" s="176"/>
      <c r="N248" s="176"/>
      <c r="O248" s="176"/>
      <c r="P248" s="178"/>
      <c r="Q248" s="178"/>
      <c r="S248" s="176"/>
    </row>
    <row r="249" spans="9:19" x14ac:dyDescent="0.2">
      <c r="I249" s="176"/>
      <c r="J249" s="176"/>
      <c r="K249" s="176"/>
      <c r="L249" s="176"/>
      <c r="M249" s="176"/>
      <c r="N249" s="176"/>
      <c r="O249" s="176"/>
      <c r="P249" s="178"/>
      <c r="Q249" s="178"/>
      <c r="S249" s="176"/>
    </row>
    <row r="250" spans="9:19" x14ac:dyDescent="0.2">
      <c r="I250" s="176"/>
      <c r="J250" s="176"/>
      <c r="K250" s="176"/>
      <c r="L250" s="176"/>
      <c r="M250" s="176"/>
      <c r="N250" s="176"/>
      <c r="O250" s="176"/>
      <c r="P250" s="178"/>
      <c r="Q250" s="178"/>
      <c r="S250" s="176"/>
    </row>
    <row r="251" spans="9:19" x14ac:dyDescent="0.2">
      <c r="I251" s="176"/>
      <c r="J251" s="176"/>
      <c r="K251" s="176"/>
      <c r="L251" s="176"/>
      <c r="M251" s="176"/>
      <c r="N251" s="176"/>
      <c r="O251" s="176"/>
      <c r="P251" s="178"/>
      <c r="Q251" s="178"/>
      <c r="S251" s="176"/>
    </row>
    <row r="252" spans="9:19" x14ac:dyDescent="0.2">
      <c r="I252" s="176"/>
      <c r="J252" s="176"/>
      <c r="K252" s="176"/>
      <c r="L252" s="176"/>
      <c r="M252" s="176"/>
      <c r="N252" s="176"/>
      <c r="O252" s="176"/>
      <c r="P252" s="178"/>
      <c r="Q252" s="178"/>
      <c r="S252" s="176"/>
    </row>
    <row r="253" spans="9:19" x14ac:dyDescent="0.2">
      <c r="I253" s="176"/>
      <c r="J253" s="176"/>
      <c r="K253" s="176"/>
      <c r="L253" s="176"/>
      <c r="M253" s="176"/>
      <c r="N253" s="176"/>
      <c r="O253" s="176"/>
      <c r="P253" s="178"/>
      <c r="Q253" s="178"/>
      <c r="S253" s="176"/>
    </row>
    <row r="254" spans="9:19" x14ac:dyDescent="0.2">
      <c r="I254" s="176"/>
      <c r="J254" s="176"/>
      <c r="K254" s="176"/>
      <c r="L254" s="176"/>
      <c r="M254" s="176"/>
      <c r="N254" s="176"/>
      <c r="O254" s="176"/>
      <c r="P254" s="178"/>
      <c r="Q254" s="178"/>
      <c r="S254" s="176"/>
    </row>
    <row r="255" spans="9:19" x14ac:dyDescent="0.2">
      <c r="I255" s="176"/>
      <c r="J255" s="176"/>
      <c r="K255" s="176"/>
      <c r="L255" s="176"/>
      <c r="M255" s="176"/>
      <c r="N255" s="176"/>
      <c r="O255" s="176"/>
      <c r="P255" s="178"/>
      <c r="Q255" s="178"/>
      <c r="S255" s="176"/>
    </row>
    <row r="256" spans="9:19" x14ac:dyDescent="0.2">
      <c r="I256" s="176"/>
      <c r="J256" s="176"/>
      <c r="K256" s="176"/>
      <c r="L256" s="176"/>
      <c r="M256" s="176"/>
      <c r="N256" s="176"/>
      <c r="O256" s="176"/>
      <c r="P256" s="178"/>
      <c r="Q256" s="178"/>
      <c r="S256" s="176"/>
    </row>
    <row r="257" spans="9:19" x14ac:dyDescent="0.2">
      <c r="I257" s="176"/>
      <c r="J257" s="176"/>
      <c r="K257" s="176"/>
      <c r="L257" s="176"/>
      <c r="M257" s="176"/>
      <c r="N257" s="176"/>
      <c r="O257" s="176"/>
      <c r="P257" s="178"/>
      <c r="Q257" s="178"/>
      <c r="S257" s="176"/>
    </row>
    <row r="258" spans="9:19" x14ac:dyDescent="0.2">
      <c r="I258" s="176"/>
      <c r="J258" s="176"/>
      <c r="K258" s="176"/>
      <c r="L258" s="176"/>
      <c r="M258" s="176"/>
      <c r="N258" s="176"/>
      <c r="O258" s="176"/>
      <c r="P258" s="178"/>
      <c r="Q258" s="178"/>
      <c r="S258" s="176"/>
    </row>
    <row r="259" spans="9:19" x14ac:dyDescent="0.2">
      <c r="I259" s="176"/>
      <c r="J259" s="176"/>
      <c r="K259" s="176"/>
      <c r="L259" s="176"/>
      <c r="M259" s="176"/>
      <c r="N259" s="176"/>
      <c r="O259" s="176"/>
      <c r="P259" s="178"/>
      <c r="Q259" s="178"/>
      <c r="S259" s="176"/>
    </row>
    <row r="260" spans="9:19" x14ac:dyDescent="0.2">
      <c r="I260" s="176"/>
      <c r="J260" s="176"/>
      <c r="K260" s="176"/>
      <c r="L260" s="176"/>
      <c r="M260" s="176"/>
      <c r="N260" s="176"/>
      <c r="O260" s="176"/>
      <c r="P260" s="178"/>
      <c r="Q260" s="178"/>
      <c r="S260" s="176"/>
    </row>
    <row r="261" spans="9:19" x14ac:dyDescent="0.2">
      <c r="I261" s="176"/>
      <c r="J261" s="176"/>
      <c r="K261" s="176"/>
      <c r="L261" s="176"/>
      <c r="M261" s="176"/>
      <c r="N261" s="176"/>
      <c r="O261" s="176"/>
      <c r="P261" s="178"/>
      <c r="Q261" s="178"/>
      <c r="S261" s="176"/>
    </row>
    <row r="262" spans="9:19" x14ac:dyDescent="0.2">
      <c r="I262" s="176"/>
      <c r="J262" s="176"/>
      <c r="K262" s="176"/>
      <c r="L262" s="176"/>
      <c r="M262" s="176"/>
      <c r="N262" s="176"/>
      <c r="O262" s="176"/>
      <c r="P262" s="178"/>
      <c r="Q262" s="178"/>
      <c r="S262" s="176"/>
    </row>
    <row r="263" spans="9:19" x14ac:dyDescent="0.2">
      <c r="I263" s="176"/>
      <c r="J263" s="176"/>
      <c r="K263" s="176"/>
      <c r="L263" s="176"/>
      <c r="M263" s="176"/>
      <c r="N263" s="176"/>
      <c r="O263" s="176"/>
      <c r="P263" s="178"/>
      <c r="Q263" s="178"/>
      <c r="S263" s="176"/>
    </row>
    <row r="264" spans="9:19" x14ac:dyDescent="0.2">
      <c r="I264" s="176"/>
      <c r="J264" s="176"/>
      <c r="K264" s="176"/>
      <c r="L264" s="176"/>
      <c r="M264" s="176"/>
      <c r="N264" s="176"/>
      <c r="O264" s="176"/>
      <c r="P264" s="178"/>
      <c r="Q264" s="178"/>
      <c r="S264" s="176"/>
    </row>
    <row r="265" spans="9:19" x14ac:dyDescent="0.2">
      <c r="I265" s="176"/>
      <c r="J265" s="176"/>
      <c r="K265" s="176"/>
      <c r="L265" s="176"/>
      <c r="M265" s="176"/>
      <c r="N265" s="176"/>
      <c r="O265" s="176"/>
      <c r="P265" s="178"/>
      <c r="Q265" s="178"/>
      <c r="S265" s="176"/>
    </row>
    <row r="266" spans="9:19" x14ac:dyDescent="0.2">
      <c r="I266" s="176"/>
      <c r="J266" s="176"/>
      <c r="K266" s="176"/>
      <c r="L266" s="176"/>
      <c r="M266" s="176"/>
      <c r="N266" s="176"/>
      <c r="O266" s="176"/>
      <c r="P266" s="178"/>
      <c r="Q266" s="178"/>
      <c r="S266" s="176"/>
    </row>
    <row r="267" spans="9:19" x14ac:dyDescent="0.2">
      <c r="I267" s="176"/>
      <c r="J267" s="176"/>
      <c r="K267" s="176"/>
      <c r="L267" s="176"/>
      <c r="M267" s="176"/>
      <c r="N267" s="176"/>
      <c r="O267" s="176"/>
      <c r="P267" s="178"/>
      <c r="Q267" s="178"/>
      <c r="S267" s="176"/>
    </row>
    <row r="268" spans="9:19" x14ac:dyDescent="0.2">
      <c r="I268" s="176"/>
      <c r="J268" s="176"/>
      <c r="K268" s="176"/>
      <c r="L268" s="176"/>
      <c r="M268" s="176"/>
      <c r="N268" s="176"/>
      <c r="O268" s="176"/>
      <c r="P268" s="178"/>
      <c r="Q268" s="178"/>
      <c r="S268" s="176"/>
    </row>
    <row r="269" spans="9:19" x14ac:dyDescent="0.2">
      <c r="I269" s="176"/>
      <c r="J269" s="176"/>
      <c r="K269" s="176"/>
      <c r="L269" s="176"/>
      <c r="M269" s="176"/>
      <c r="N269" s="176"/>
      <c r="O269" s="176"/>
      <c r="P269" s="178"/>
      <c r="Q269" s="178"/>
      <c r="S269" s="176"/>
    </row>
    <row r="270" spans="9:19" x14ac:dyDescent="0.2">
      <c r="I270" s="176"/>
      <c r="J270" s="176"/>
      <c r="K270" s="176"/>
      <c r="L270" s="176"/>
      <c r="M270" s="176"/>
      <c r="N270" s="176"/>
      <c r="O270" s="176"/>
      <c r="P270" s="178"/>
      <c r="Q270" s="178"/>
      <c r="S270" s="176"/>
    </row>
    <row r="271" spans="9:19" x14ac:dyDescent="0.2">
      <c r="I271" s="176"/>
      <c r="J271" s="176"/>
      <c r="K271" s="176"/>
      <c r="L271" s="176"/>
      <c r="M271" s="176"/>
      <c r="N271" s="176"/>
      <c r="O271" s="176"/>
      <c r="P271" s="178"/>
      <c r="Q271" s="178"/>
      <c r="S271" s="176"/>
    </row>
    <row r="272" spans="9:19" x14ac:dyDescent="0.2">
      <c r="I272" s="176"/>
      <c r="J272" s="176"/>
      <c r="K272" s="176"/>
      <c r="L272" s="176"/>
      <c r="M272" s="176"/>
      <c r="N272" s="176"/>
      <c r="O272" s="176"/>
      <c r="P272" s="178"/>
      <c r="Q272" s="178"/>
      <c r="S272" s="176"/>
    </row>
    <row r="273" spans="9:19" x14ac:dyDescent="0.2">
      <c r="I273" s="176"/>
      <c r="J273" s="176"/>
      <c r="K273" s="176"/>
      <c r="L273" s="176"/>
      <c r="M273" s="176"/>
      <c r="N273" s="176"/>
      <c r="O273" s="176"/>
      <c r="P273" s="178"/>
      <c r="Q273" s="178"/>
      <c r="S273" s="176"/>
    </row>
    <row r="274" spans="9:19" x14ac:dyDescent="0.2">
      <c r="I274" s="176"/>
      <c r="J274" s="176"/>
      <c r="K274" s="176"/>
      <c r="L274" s="176"/>
      <c r="M274" s="176"/>
      <c r="N274" s="176"/>
      <c r="O274" s="176"/>
      <c r="P274" s="178"/>
      <c r="Q274" s="178"/>
      <c r="S274" s="176"/>
    </row>
    <row r="275" spans="9:19" x14ac:dyDescent="0.2">
      <c r="I275" s="176"/>
      <c r="J275" s="176"/>
      <c r="K275" s="176"/>
      <c r="L275" s="176"/>
      <c r="M275" s="176"/>
      <c r="N275" s="176"/>
      <c r="O275" s="176"/>
      <c r="P275" s="178"/>
      <c r="Q275" s="178"/>
      <c r="S275" s="176"/>
    </row>
    <row r="276" spans="9:19" x14ac:dyDescent="0.2">
      <c r="I276" s="176"/>
      <c r="J276" s="176"/>
      <c r="K276" s="176"/>
      <c r="L276" s="176"/>
      <c r="M276" s="176"/>
      <c r="N276" s="176"/>
      <c r="O276" s="176"/>
      <c r="P276" s="178"/>
      <c r="Q276" s="178"/>
      <c r="S276" s="176"/>
    </row>
    <row r="277" spans="9:19" x14ac:dyDescent="0.2">
      <c r="I277" s="176"/>
      <c r="J277" s="176"/>
      <c r="K277" s="176"/>
      <c r="L277" s="176"/>
      <c r="M277" s="176"/>
      <c r="N277" s="176"/>
      <c r="O277" s="176"/>
      <c r="P277" s="178"/>
      <c r="Q277" s="178"/>
      <c r="S277" s="176"/>
    </row>
    <row r="278" spans="9:19" x14ac:dyDescent="0.2">
      <c r="I278" s="176"/>
      <c r="J278" s="176"/>
      <c r="K278" s="176"/>
      <c r="L278" s="176"/>
      <c r="M278" s="176"/>
      <c r="N278" s="176"/>
      <c r="O278" s="176"/>
      <c r="P278" s="178"/>
      <c r="Q278" s="178"/>
      <c r="S278" s="176"/>
    </row>
    <row r="279" spans="9:19" x14ac:dyDescent="0.2">
      <c r="I279" s="176"/>
      <c r="J279" s="176"/>
      <c r="K279" s="176"/>
      <c r="L279" s="176"/>
      <c r="M279" s="176"/>
      <c r="N279" s="176"/>
      <c r="O279" s="176"/>
      <c r="P279" s="178"/>
      <c r="Q279" s="178"/>
      <c r="S279" s="176"/>
    </row>
    <row r="280" spans="9:19" x14ac:dyDescent="0.2">
      <c r="I280" s="176"/>
      <c r="J280" s="176"/>
      <c r="K280" s="176"/>
      <c r="L280" s="176"/>
      <c r="M280" s="176"/>
      <c r="N280" s="176"/>
      <c r="O280" s="176"/>
      <c r="P280" s="178"/>
      <c r="Q280" s="178"/>
      <c r="S280" s="176"/>
    </row>
    <row r="281" spans="9:19" x14ac:dyDescent="0.2">
      <c r="I281" s="176"/>
      <c r="J281" s="176"/>
      <c r="K281" s="176"/>
      <c r="L281" s="176"/>
      <c r="M281" s="176"/>
      <c r="N281" s="176"/>
      <c r="O281" s="176"/>
      <c r="P281" s="178"/>
      <c r="Q281" s="178"/>
      <c r="S281" s="176"/>
    </row>
    <row r="282" spans="9:19" x14ac:dyDescent="0.2">
      <c r="I282" s="176"/>
      <c r="J282" s="176"/>
      <c r="K282" s="176"/>
      <c r="L282" s="176"/>
      <c r="M282" s="176"/>
      <c r="N282" s="176"/>
      <c r="O282" s="176"/>
      <c r="P282" s="178"/>
      <c r="Q282" s="178"/>
      <c r="S282" s="176"/>
    </row>
    <row r="283" spans="9:19" x14ac:dyDescent="0.2">
      <c r="I283" s="176"/>
      <c r="J283" s="176"/>
      <c r="K283" s="176"/>
      <c r="L283" s="176"/>
      <c r="M283" s="176"/>
      <c r="N283" s="176"/>
      <c r="O283" s="176"/>
      <c r="P283" s="178"/>
      <c r="Q283" s="178"/>
      <c r="S283" s="176"/>
    </row>
    <row r="284" spans="9:19" x14ac:dyDescent="0.2">
      <c r="I284" s="176"/>
      <c r="J284" s="176"/>
      <c r="K284" s="176"/>
      <c r="L284" s="176"/>
      <c r="M284" s="176"/>
      <c r="N284" s="176"/>
      <c r="O284" s="176"/>
      <c r="P284" s="178"/>
      <c r="Q284" s="178"/>
      <c r="S284" s="176"/>
    </row>
    <row r="285" spans="9:19" x14ac:dyDescent="0.2">
      <c r="I285" s="176"/>
      <c r="J285" s="176"/>
      <c r="K285" s="176"/>
      <c r="L285" s="176"/>
      <c r="M285" s="176"/>
      <c r="N285" s="176"/>
      <c r="O285" s="176"/>
      <c r="P285" s="178"/>
      <c r="Q285" s="178"/>
      <c r="S285" s="176"/>
    </row>
    <row r="286" spans="9:19" x14ac:dyDescent="0.2">
      <c r="I286" s="176"/>
      <c r="J286" s="176"/>
      <c r="K286" s="176"/>
      <c r="L286" s="176"/>
      <c r="M286" s="176"/>
      <c r="N286" s="176"/>
      <c r="O286" s="176"/>
      <c r="P286" s="178"/>
      <c r="Q286" s="178"/>
      <c r="S286" s="176"/>
    </row>
    <row r="287" spans="9:19" x14ac:dyDescent="0.2">
      <c r="I287" s="176"/>
      <c r="J287" s="176"/>
      <c r="K287" s="176"/>
      <c r="L287" s="176"/>
      <c r="M287" s="176"/>
      <c r="N287" s="176"/>
      <c r="O287" s="176"/>
      <c r="P287" s="178"/>
      <c r="Q287" s="178"/>
      <c r="S287" s="176"/>
    </row>
    <row r="288" spans="9:19" x14ac:dyDescent="0.2">
      <c r="I288" s="176"/>
      <c r="J288" s="176"/>
      <c r="K288" s="176"/>
      <c r="L288" s="176"/>
      <c r="M288" s="176"/>
      <c r="N288" s="176"/>
      <c r="O288" s="176"/>
      <c r="P288" s="178"/>
      <c r="Q288" s="178"/>
      <c r="S288" s="176"/>
    </row>
    <row r="289" spans="9:19" x14ac:dyDescent="0.2">
      <c r="I289" s="176"/>
      <c r="J289" s="176"/>
      <c r="K289" s="176"/>
      <c r="L289" s="176"/>
      <c r="M289" s="176"/>
      <c r="N289" s="176"/>
      <c r="O289" s="176"/>
      <c r="P289" s="178"/>
      <c r="Q289" s="178"/>
      <c r="S289" s="176"/>
    </row>
    <row r="290" spans="9:19" x14ac:dyDescent="0.2">
      <c r="I290" s="176"/>
      <c r="J290" s="176"/>
      <c r="K290" s="176"/>
      <c r="L290" s="176"/>
      <c r="M290" s="176"/>
      <c r="N290" s="176"/>
      <c r="O290" s="176"/>
      <c r="P290" s="178"/>
      <c r="Q290" s="178"/>
      <c r="S290" s="176"/>
    </row>
    <row r="291" spans="9:19" x14ac:dyDescent="0.2">
      <c r="I291" s="176"/>
      <c r="J291" s="176"/>
      <c r="K291" s="176"/>
      <c r="L291" s="176"/>
      <c r="M291" s="176"/>
      <c r="N291" s="176"/>
      <c r="O291" s="176"/>
      <c r="P291" s="178"/>
      <c r="Q291" s="178"/>
      <c r="S291" s="176"/>
    </row>
    <row r="292" spans="9:19" x14ac:dyDescent="0.2">
      <c r="I292" s="176"/>
      <c r="J292" s="176"/>
      <c r="K292" s="176"/>
      <c r="L292" s="176"/>
      <c r="M292" s="176"/>
      <c r="N292" s="176"/>
      <c r="O292" s="176"/>
      <c r="P292" s="178"/>
      <c r="Q292" s="178"/>
      <c r="S292" s="176"/>
    </row>
    <row r="293" spans="9:19" x14ac:dyDescent="0.2">
      <c r="I293" s="176"/>
      <c r="J293" s="176"/>
      <c r="K293" s="176"/>
      <c r="L293" s="176"/>
      <c r="M293" s="176"/>
      <c r="N293" s="176"/>
      <c r="O293" s="176"/>
      <c r="P293" s="178"/>
      <c r="Q293" s="178"/>
      <c r="S293" s="176"/>
    </row>
    <row r="294" spans="9:19" x14ac:dyDescent="0.2">
      <c r="I294" s="176"/>
      <c r="J294" s="176"/>
      <c r="K294" s="176"/>
      <c r="L294" s="176"/>
      <c r="M294" s="176"/>
      <c r="N294" s="176"/>
      <c r="O294" s="176"/>
      <c r="P294" s="178"/>
      <c r="Q294" s="178"/>
      <c r="S294" s="176"/>
    </row>
    <row r="295" spans="9:19" x14ac:dyDescent="0.2">
      <c r="I295" s="176"/>
      <c r="J295" s="176"/>
      <c r="K295" s="176"/>
      <c r="L295" s="176"/>
      <c r="M295" s="176"/>
      <c r="N295" s="176"/>
      <c r="O295" s="176"/>
      <c r="P295" s="178"/>
      <c r="Q295" s="178"/>
      <c r="S295" s="176"/>
    </row>
    <row r="296" spans="9:19" x14ac:dyDescent="0.2">
      <c r="I296" s="176"/>
      <c r="J296" s="176"/>
      <c r="K296" s="176"/>
      <c r="L296" s="176"/>
      <c r="M296" s="176"/>
      <c r="N296" s="176"/>
      <c r="O296" s="176"/>
      <c r="P296" s="178"/>
      <c r="Q296" s="178"/>
      <c r="S296" s="176"/>
    </row>
    <row r="297" spans="9:19" x14ac:dyDescent="0.2">
      <c r="I297" s="176"/>
      <c r="J297" s="176"/>
      <c r="K297" s="176"/>
      <c r="L297" s="176"/>
      <c r="M297" s="176"/>
      <c r="N297" s="176"/>
      <c r="O297" s="176"/>
      <c r="P297" s="178"/>
      <c r="Q297" s="178"/>
      <c r="S297" s="176"/>
    </row>
    <row r="298" spans="9:19" x14ac:dyDescent="0.2">
      <c r="I298" s="176"/>
      <c r="J298" s="176"/>
      <c r="K298" s="176"/>
      <c r="L298" s="176"/>
      <c r="M298" s="176"/>
      <c r="N298" s="176"/>
      <c r="O298" s="176"/>
      <c r="P298" s="178"/>
      <c r="Q298" s="178"/>
      <c r="S298" s="176"/>
    </row>
    <row r="299" spans="9:19" x14ac:dyDescent="0.2">
      <c r="I299" s="176"/>
      <c r="J299" s="176"/>
      <c r="K299" s="176"/>
      <c r="L299" s="176"/>
      <c r="M299" s="176"/>
      <c r="N299" s="176"/>
      <c r="O299" s="176"/>
      <c r="P299" s="178"/>
      <c r="Q299" s="178"/>
      <c r="S299" s="176"/>
    </row>
    <row r="300" spans="9:19" x14ac:dyDescent="0.2">
      <c r="I300" s="176"/>
      <c r="J300" s="176"/>
      <c r="K300" s="176"/>
      <c r="L300" s="176"/>
      <c r="M300" s="176"/>
      <c r="N300" s="176"/>
      <c r="O300" s="176"/>
      <c r="P300" s="178"/>
      <c r="Q300" s="178"/>
      <c r="S300" s="176"/>
    </row>
    <row r="301" spans="9:19" x14ac:dyDescent="0.2">
      <c r="I301" s="176"/>
      <c r="J301" s="176"/>
      <c r="K301" s="176"/>
      <c r="L301" s="176"/>
      <c r="M301" s="176"/>
      <c r="N301" s="176"/>
      <c r="O301" s="176"/>
      <c r="P301" s="178"/>
      <c r="Q301" s="178"/>
      <c r="S301" s="176"/>
    </row>
    <row r="302" spans="9:19" x14ac:dyDescent="0.2">
      <c r="I302" s="176"/>
      <c r="J302" s="176"/>
      <c r="K302" s="176"/>
      <c r="L302" s="176"/>
      <c r="M302" s="176"/>
      <c r="N302" s="176"/>
      <c r="O302" s="176"/>
      <c r="P302" s="178"/>
      <c r="Q302" s="178"/>
      <c r="S302" s="176"/>
    </row>
    <row r="303" spans="9:19" x14ac:dyDescent="0.2">
      <c r="I303" s="176"/>
      <c r="J303" s="176"/>
      <c r="K303" s="176"/>
      <c r="L303" s="176"/>
      <c r="M303" s="176"/>
      <c r="N303" s="176"/>
      <c r="O303" s="176"/>
      <c r="P303" s="178"/>
      <c r="Q303" s="178"/>
      <c r="S303" s="176"/>
    </row>
    <row r="304" spans="9:19" x14ac:dyDescent="0.2">
      <c r="I304" s="176"/>
      <c r="J304" s="176"/>
      <c r="K304" s="176"/>
      <c r="L304" s="176"/>
      <c r="M304" s="176"/>
      <c r="N304" s="176"/>
      <c r="O304" s="176"/>
      <c r="P304" s="178"/>
      <c r="Q304" s="178"/>
      <c r="S304" s="176"/>
    </row>
    <row r="305" spans="9:19" x14ac:dyDescent="0.2">
      <c r="I305" s="176"/>
      <c r="J305" s="176"/>
      <c r="K305" s="176"/>
      <c r="L305" s="176"/>
      <c r="M305" s="176"/>
      <c r="N305" s="176"/>
      <c r="O305" s="176"/>
      <c r="P305" s="178"/>
      <c r="Q305" s="178"/>
      <c r="S305" s="176"/>
    </row>
    <row r="306" spans="9:19" x14ac:dyDescent="0.2">
      <c r="I306" s="176"/>
      <c r="J306" s="176"/>
      <c r="K306" s="176"/>
      <c r="L306" s="176"/>
      <c r="M306" s="176"/>
      <c r="N306" s="176"/>
      <c r="O306" s="176"/>
      <c r="P306" s="178"/>
      <c r="Q306" s="178"/>
      <c r="S306" s="176"/>
    </row>
    <row r="307" spans="9:19" x14ac:dyDescent="0.2">
      <c r="I307" s="176"/>
      <c r="J307" s="176"/>
      <c r="K307" s="176"/>
      <c r="L307" s="176"/>
      <c r="M307" s="176"/>
      <c r="N307" s="176"/>
      <c r="O307" s="176"/>
      <c r="P307" s="178"/>
      <c r="Q307" s="178"/>
      <c r="S307" s="176"/>
    </row>
    <row r="308" spans="9:19" x14ac:dyDescent="0.2">
      <c r="I308" s="176"/>
      <c r="J308" s="176"/>
      <c r="K308" s="176"/>
      <c r="L308" s="176"/>
      <c r="M308" s="176"/>
      <c r="N308" s="176"/>
      <c r="O308" s="176"/>
      <c r="P308" s="178"/>
      <c r="Q308" s="178"/>
      <c r="S308" s="176"/>
    </row>
    <row r="309" spans="9:19" x14ac:dyDescent="0.2">
      <c r="I309" s="176"/>
      <c r="J309" s="176"/>
      <c r="K309" s="176"/>
      <c r="L309" s="176"/>
      <c r="M309" s="176"/>
      <c r="N309" s="176"/>
      <c r="O309" s="176"/>
      <c r="P309" s="178"/>
      <c r="Q309" s="178"/>
      <c r="S309" s="176"/>
    </row>
    <row r="310" spans="9:19" x14ac:dyDescent="0.2">
      <c r="I310" s="176"/>
      <c r="J310" s="176"/>
      <c r="K310" s="176"/>
      <c r="L310" s="176"/>
      <c r="M310" s="176"/>
      <c r="N310" s="176"/>
      <c r="O310" s="176"/>
      <c r="P310" s="178"/>
      <c r="Q310" s="178"/>
      <c r="S310" s="176"/>
    </row>
    <row r="311" spans="9:19" x14ac:dyDescent="0.2">
      <c r="I311" s="176"/>
      <c r="J311" s="176"/>
      <c r="K311" s="176"/>
      <c r="L311" s="176"/>
      <c r="M311" s="176"/>
      <c r="N311" s="176"/>
      <c r="O311" s="176"/>
      <c r="P311" s="178"/>
      <c r="Q311" s="178"/>
      <c r="S311" s="176"/>
    </row>
    <row r="312" spans="9:19" x14ac:dyDescent="0.2">
      <c r="I312" s="176"/>
      <c r="J312" s="176"/>
      <c r="K312" s="176"/>
      <c r="L312" s="176"/>
      <c r="M312" s="176"/>
      <c r="N312" s="176"/>
      <c r="O312" s="176"/>
      <c r="P312" s="178"/>
      <c r="Q312" s="178"/>
      <c r="S312" s="176"/>
    </row>
    <row r="313" spans="9:19" x14ac:dyDescent="0.2">
      <c r="I313" s="176"/>
      <c r="J313" s="176"/>
      <c r="K313" s="176"/>
      <c r="L313" s="176"/>
      <c r="M313" s="176"/>
      <c r="N313" s="176"/>
      <c r="O313" s="176"/>
      <c r="P313" s="178"/>
      <c r="Q313" s="178"/>
      <c r="S313" s="176"/>
    </row>
    <row r="314" spans="9:19" x14ac:dyDescent="0.2">
      <c r="I314" s="176"/>
      <c r="J314" s="176"/>
      <c r="K314" s="176"/>
      <c r="L314" s="176"/>
      <c r="M314" s="176"/>
      <c r="N314" s="176"/>
      <c r="O314" s="176"/>
      <c r="P314" s="178"/>
      <c r="Q314" s="178"/>
      <c r="S314" s="176"/>
    </row>
    <row r="315" spans="9:19" x14ac:dyDescent="0.2">
      <c r="I315" s="176"/>
      <c r="J315" s="176"/>
      <c r="K315" s="176"/>
      <c r="L315" s="176"/>
      <c r="M315" s="176"/>
      <c r="N315" s="176"/>
      <c r="O315" s="176"/>
      <c r="P315" s="178"/>
      <c r="Q315" s="178"/>
      <c r="S315" s="176"/>
    </row>
    <row r="316" spans="9:19" x14ac:dyDescent="0.2">
      <c r="I316" s="176"/>
      <c r="J316" s="176"/>
      <c r="K316" s="176"/>
      <c r="L316" s="176"/>
      <c r="M316" s="176"/>
      <c r="N316" s="176"/>
      <c r="O316" s="176"/>
      <c r="P316" s="178"/>
      <c r="Q316" s="178"/>
      <c r="S316" s="176"/>
    </row>
    <row r="317" spans="9:19" x14ac:dyDescent="0.2">
      <c r="I317" s="176"/>
      <c r="J317" s="176"/>
      <c r="K317" s="176"/>
      <c r="L317" s="176"/>
      <c r="M317" s="176"/>
      <c r="N317" s="176"/>
      <c r="O317" s="176"/>
      <c r="P317" s="178"/>
      <c r="Q317" s="178"/>
      <c r="S317" s="176"/>
    </row>
    <row r="318" spans="9:19" x14ac:dyDescent="0.2">
      <c r="I318" s="176"/>
      <c r="J318" s="176"/>
      <c r="K318" s="176"/>
      <c r="L318" s="176"/>
      <c r="M318" s="176"/>
      <c r="N318" s="176"/>
      <c r="O318" s="176"/>
      <c r="P318" s="178"/>
      <c r="Q318" s="178"/>
      <c r="S318" s="176"/>
    </row>
    <row r="319" spans="9:19" x14ac:dyDescent="0.2">
      <c r="I319" s="176"/>
      <c r="J319" s="176"/>
      <c r="K319" s="176"/>
      <c r="L319" s="176"/>
      <c r="M319" s="176"/>
      <c r="N319" s="176"/>
      <c r="O319" s="176"/>
      <c r="P319" s="178"/>
      <c r="Q319" s="178"/>
    </row>
    <row r="320" spans="9:19" x14ac:dyDescent="0.2">
      <c r="I320" s="176"/>
      <c r="J320" s="176"/>
      <c r="K320" s="176"/>
      <c r="L320" s="176"/>
      <c r="M320" s="176"/>
      <c r="N320" s="176"/>
      <c r="O320" s="176"/>
      <c r="P320" s="178"/>
      <c r="Q320" s="178"/>
    </row>
    <row r="321" spans="9:17" x14ac:dyDescent="0.2">
      <c r="I321" s="176"/>
      <c r="J321" s="176"/>
      <c r="K321" s="176"/>
      <c r="L321" s="176"/>
      <c r="M321" s="176"/>
      <c r="N321" s="176"/>
      <c r="O321" s="176"/>
      <c r="P321" s="178"/>
      <c r="Q321" s="178"/>
    </row>
    <row r="322" spans="9:17" x14ac:dyDescent="0.2">
      <c r="I322" s="176"/>
      <c r="J322" s="176"/>
      <c r="K322" s="176"/>
      <c r="L322" s="176"/>
      <c r="M322" s="176"/>
      <c r="N322" s="176"/>
      <c r="O322" s="176"/>
      <c r="P322" s="178"/>
      <c r="Q322" s="178"/>
    </row>
    <row r="323" spans="9:17" x14ac:dyDescent="0.2">
      <c r="I323" s="176"/>
      <c r="J323" s="176"/>
      <c r="K323" s="176"/>
      <c r="L323" s="176"/>
      <c r="M323" s="176"/>
      <c r="N323" s="176"/>
      <c r="O323" s="176"/>
      <c r="P323" s="178"/>
      <c r="Q323" s="178"/>
    </row>
    <row r="324" spans="9:17" x14ac:dyDescent="0.2">
      <c r="I324" s="176"/>
      <c r="J324" s="176"/>
      <c r="K324" s="176"/>
      <c r="L324" s="176"/>
      <c r="M324" s="176"/>
      <c r="N324" s="176"/>
      <c r="O324" s="176"/>
      <c r="P324" s="178"/>
      <c r="Q324" s="178"/>
    </row>
    <row r="325" spans="9:17" x14ac:dyDescent="0.2">
      <c r="I325" s="176"/>
      <c r="J325" s="176"/>
      <c r="K325" s="176"/>
      <c r="L325" s="176"/>
      <c r="M325" s="176"/>
      <c r="N325" s="176"/>
      <c r="O325" s="176"/>
      <c r="P325" s="178"/>
      <c r="Q325" s="178"/>
    </row>
    <row r="326" spans="9:17" x14ac:dyDescent="0.2">
      <c r="I326" s="176"/>
      <c r="J326" s="176"/>
      <c r="K326" s="176"/>
      <c r="L326" s="176"/>
      <c r="M326" s="176"/>
      <c r="N326" s="176"/>
      <c r="O326" s="176"/>
      <c r="P326" s="178"/>
      <c r="Q326" s="178"/>
    </row>
    <row r="327" spans="9:17" x14ac:dyDescent="0.2">
      <c r="I327" s="176"/>
      <c r="J327" s="176"/>
      <c r="K327" s="176"/>
      <c r="L327" s="176"/>
      <c r="M327" s="176"/>
      <c r="N327" s="176"/>
      <c r="O327" s="176"/>
      <c r="P327" s="178"/>
      <c r="Q327" s="178"/>
    </row>
    <row r="328" spans="9:17" x14ac:dyDescent="0.2">
      <c r="I328" s="176"/>
      <c r="J328" s="176"/>
      <c r="K328" s="176"/>
      <c r="L328" s="176"/>
      <c r="M328" s="176"/>
      <c r="N328" s="176"/>
      <c r="O328" s="176"/>
      <c r="P328" s="178"/>
      <c r="Q328" s="178"/>
    </row>
    <row r="329" spans="9:17" x14ac:dyDescent="0.2">
      <c r="I329" s="176"/>
      <c r="J329" s="176"/>
      <c r="K329" s="176"/>
      <c r="L329" s="176"/>
      <c r="M329" s="176"/>
      <c r="N329" s="176"/>
      <c r="O329" s="176"/>
      <c r="P329" s="178"/>
      <c r="Q329" s="178"/>
    </row>
    <row r="330" spans="9:17" x14ac:dyDescent="0.2">
      <c r="I330" s="176"/>
      <c r="J330" s="176"/>
      <c r="K330" s="176"/>
      <c r="L330" s="176"/>
      <c r="M330" s="176"/>
      <c r="N330" s="176"/>
      <c r="O330" s="176"/>
      <c r="P330" s="178"/>
      <c r="Q330" s="178"/>
    </row>
    <row r="331" spans="9:17" x14ac:dyDescent="0.2">
      <c r="I331" s="176"/>
      <c r="J331" s="176"/>
      <c r="K331" s="176"/>
      <c r="L331" s="176"/>
      <c r="M331" s="176"/>
      <c r="N331" s="176"/>
      <c r="O331" s="176"/>
      <c r="P331" s="178"/>
      <c r="Q331" s="178"/>
    </row>
    <row r="332" spans="9:17" x14ac:dyDescent="0.2">
      <c r="I332" s="176"/>
      <c r="J332" s="176"/>
      <c r="K332" s="176"/>
      <c r="L332" s="176"/>
      <c r="M332" s="176"/>
      <c r="N332" s="176"/>
      <c r="O332" s="176"/>
      <c r="P332" s="178"/>
      <c r="Q332" s="178"/>
    </row>
    <row r="333" spans="9:17" x14ac:dyDescent="0.2">
      <c r="I333" s="176"/>
      <c r="J333" s="176"/>
      <c r="K333" s="176"/>
      <c r="L333" s="176"/>
      <c r="M333" s="176"/>
      <c r="N333" s="176"/>
      <c r="O333" s="176"/>
      <c r="P333" s="178"/>
      <c r="Q333" s="178"/>
    </row>
    <row r="334" spans="9:17" x14ac:dyDescent="0.2">
      <c r="I334" s="176"/>
      <c r="J334" s="176"/>
      <c r="K334" s="176"/>
      <c r="L334" s="176"/>
      <c r="M334" s="176"/>
      <c r="N334" s="176"/>
      <c r="O334" s="176"/>
      <c r="P334" s="178"/>
      <c r="Q334" s="178"/>
    </row>
    <row r="335" spans="9:17" x14ac:dyDescent="0.2">
      <c r="I335" s="176"/>
      <c r="J335" s="176"/>
      <c r="K335" s="176"/>
      <c r="L335" s="176"/>
      <c r="M335" s="176"/>
      <c r="N335" s="176"/>
      <c r="O335" s="176"/>
      <c r="P335" s="178"/>
      <c r="Q335" s="178"/>
    </row>
    <row r="336" spans="9:17" x14ac:dyDescent="0.2">
      <c r="I336" s="176"/>
      <c r="J336" s="176"/>
      <c r="K336" s="176"/>
      <c r="L336" s="176"/>
      <c r="M336" s="176"/>
      <c r="N336" s="176"/>
      <c r="O336" s="176"/>
      <c r="P336" s="178"/>
      <c r="Q336" s="178"/>
    </row>
    <row r="337" spans="9:17" x14ac:dyDescent="0.2">
      <c r="I337" s="176"/>
      <c r="J337" s="176"/>
      <c r="K337" s="176"/>
      <c r="L337" s="176"/>
      <c r="M337" s="176"/>
      <c r="N337" s="176"/>
      <c r="O337" s="176"/>
      <c r="P337" s="178"/>
      <c r="Q337" s="178"/>
    </row>
    <row r="338" spans="9:17" x14ac:dyDescent="0.2">
      <c r="I338" s="176"/>
      <c r="J338" s="176"/>
      <c r="K338" s="176"/>
      <c r="L338" s="176"/>
      <c r="M338" s="176"/>
      <c r="N338" s="176"/>
      <c r="O338" s="176"/>
      <c r="P338" s="178"/>
      <c r="Q338" s="178"/>
    </row>
    <row r="339" spans="9:17" x14ac:dyDescent="0.2">
      <c r="I339" s="176"/>
      <c r="J339" s="176"/>
      <c r="K339" s="176"/>
      <c r="L339" s="176"/>
      <c r="M339" s="176"/>
      <c r="N339" s="176"/>
      <c r="O339" s="176"/>
      <c r="P339" s="178"/>
      <c r="Q339" s="178"/>
    </row>
    <row r="340" spans="9:17" x14ac:dyDescent="0.2">
      <c r="I340" s="176"/>
      <c r="J340" s="176"/>
      <c r="K340" s="176"/>
      <c r="L340" s="176"/>
      <c r="M340" s="176"/>
      <c r="N340" s="176"/>
      <c r="O340" s="176"/>
      <c r="P340" s="178"/>
      <c r="Q340" s="178"/>
    </row>
    <row r="341" spans="9:17" x14ac:dyDescent="0.2">
      <c r="I341" s="176"/>
      <c r="J341" s="176"/>
      <c r="K341" s="176"/>
      <c r="L341" s="176"/>
      <c r="M341" s="176"/>
      <c r="N341" s="176"/>
      <c r="O341" s="176"/>
      <c r="P341" s="178"/>
      <c r="Q341" s="178"/>
    </row>
    <row r="342" spans="9:17" x14ac:dyDescent="0.2">
      <c r="I342" s="176"/>
      <c r="J342" s="176"/>
      <c r="K342" s="176"/>
      <c r="L342" s="176"/>
      <c r="M342" s="176"/>
      <c r="N342" s="176"/>
      <c r="O342" s="176"/>
      <c r="P342" s="178"/>
      <c r="Q342" s="178"/>
    </row>
    <row r="343" spans="9:17" x14ac:dyDescent="0.2">
      <c r="I343" s="176"/>
      <c r="J343" s="176"/>
      <c r="K343" s="176"/>
      <c r="L343" s="176"/>
      <c r="M343" s="176"/>
      <c r="N343" s="176"/>
      <c r="O343" s="176"/>
      <c r="P343" s="178"/>
      <c r="Q343" s="178"/>
    </row>
    <row r="344" spans="9:17" x14ac:dyDescent="0.2">
      <c r="I344" s="176"/>
      <c r="J344" s="176"/>
      <c r="K344" s="176"/>
      <c r="L344" s="176"/>
      <c r="M344" s="176"/>
      <c r="N344" s="176"/>
      <c r="O344" s="176"/>
      <c r="P344" s="178"/>
      <c r="Q344" s="178"/>
    </row>
    <row r="345" spans="9:17" x14ac:dyDescent="0.2">
      <c r="I345" s="176"/>
      <c r="J345" s="176"/>
      <c r="K345" s="176"/>
      <c r="L345" s="176"/>
      <c r="M345" s="176"/>
      <c r="N345" s="176"/>
      <c r="O345" s="176"/>
      <c r="P345" s="178"/>
      <c r="Q345" s="178"/>
    </row>
    <row r="346" spans="9:17" x14ac:dyDescent="0.2">
      <c r="I346" s="176"/>
      <c r="J346" s="176"/>
      <c r="K346" s="176"/>
      <c r="L346" s="176"/>
      <c r="M346" s="176"/>
      <c r="N346" s="176"/>
      <c r="O346" s="176"/>
      <c r="P346" s="178"/>
      <c r="Q346" s="178"/>
    </row>
    <row r="347" spans="9:17" x14ac:dyDescent="0.2">
      <c r="I347" s="176"/>
      <c r="J347" s="176"/>
      <c r="K347" s="176"/>
      <c r="L347" s="176"/>
      <c r="M347" s="176"/>
      <c r="N347" s="176"/>
      <c r="O347" s="176"/>
      <c r="P347" s="178"/>
      <c r="Q347" s="178"/>
    </row>
    <row r="348" spans="9:17" x14ac:dyDescent="0.2">
      <c r="I348" s="176"/>
      <c r="J348" s="176"/>
      <c r="K348" s="176"/>
      <c r="L348" s="176"/>
      <c r="M348" s="176"/>
      <c r="N348" s="176"/>
      <c r="O348" s="176"/>
      <c r="P348" s="178"/>
      <c r="Q348" s="178"/>
    </row>
    <row r="349" spans="9:17" x14ac:dyDescent="0.2">
      <c r="I349" s="176"/>
      <c r="J349" s="176"/>
      <c r="K349" s="176"/>
      <c r="L349" s="176"/>
      <c r="M349" s="176"/>
      <c r="N349" s="176"/>
      <c r="O349" s="176"/>
      <c r="P349" s="178"/>
      <c r="Q349" s="178"/>
    </row>
    <row r="350" spans="9:17" x14ac:dyDescent="0.2">
      <c r="I350" s="176"/>
      <c r="J350" s="176"/>
      <c r="K350" s="176"/>
      <c r="L350" s="176"/>
      <c r="M350" s="176"/>
      <c r="N350" s="176"/>
      <c r="O350" s="176"/>
      <c r="P350" s="178"/>
      <c r="Q350" s="178"/>
    </row>
    <row r="351" spans="9:17" x14ac:dyDescent="0.2">
      <c r="I351" s="176"/>
      <c r="J351" s="176"/>
      <c r="K351" s="176"/>
      <c r="L351" s="176"/>
      <c r="M351" s="176"/>
      <c r="N351" s="176"/>
      <c r="O351" s="176"/>
      <c r="P351" s="178"/>
      <c r="Q351" s="178"/>
    </row>
    <row r="352" spans="9:17" x14ac:dyDescent="0.2">
      <c r="I352" s="176"/>
      <c r="J352" s="176"/>
      <c r="K352" s="176"/>
      <c r="L352" s="176"/>
      <c r="M352" s="176"/>
      <c r="N352" s="176"/>
      <c r="O352" s="176"/>
      <c r="P352" s="178"/>
      <c r="Q352" s="178"/>
    </row>
    <row r="353" spans="9:17" x14ac:dyDescent="0.2">
      <c r="I353" s="176"/>
      <c r="J353" s="176"/>
      <c r="K353" s="176"/>
      <c r="L353" s="176"/>
      <c r="M353" s="176"/>
      <c r="N353" s="176"/>
      <c r="O353" s="176"/>
      <c r="P353" s="178"/>
      <c r="Q353" s="178"/>
    </row>
    <row r="354" spans="9:17" x14ac:dyDescent="0.2">
      <c r="I354" s="176"/>
      <c r="J354" s="176"/>
      <c r="K354" s="176"/>
      <c r="L354" s="176"/>
      <c r="M354" s="176"/>
      <c r="N354" s="176"/>
      <c r="O354" s="176"/>
      <c r="P354" s="178"/>
      <c r="Q354" s="178"/>
    </row>
    <row r="355" spans="9:17" x14ac:dyDescent="0.2">
      <c r="I355" s="176"/>
      <c r="J355" s="176"/>
      <c r="K355" s="176"/>
      <c r="L355" s="176"/>
      <c r="M355" s="176"/>
      <c r="N355" s="176"/>
      <c r="O355" s="176"/>
      <c r="P355" s="178"/>
      <c r="Q355" s="178"/>
    </row>
    <row r="356" spans="9:17" x14ac:dyDescent="0.2">
      <c r="I356" s="176"/>
      <c r="J356" s="176"/>
      <c r="K356" s="176"/>
      <c r="L356" s="176"/>
      <c r="M356" s="176"/>
      <c r="N356" s="176"/>
      <c r="O356" s="176"/>
      <c r="P356" s="178"/>
      <c r="Q356" s="178"/>
    </row>
    <row r="357" spans="9:17" x14ac:dyDescent="0.2">
      <c r="I357" s="176"/>
      <c r="J357" s="176"/>
      <c r="K357" s="176"/>
      <c r="L357" s="176"/>
      <c r="M357" s="176"/>
      <c r="N357" s="176"/>
      <c r="O357" s="176"/>
      <c r="P357" s="178"/>
      <c r="Q357" s="178"/>
    </row>
    <row r="358" spans="9:17" x14ac:dyDescent="0.2">
      <c r="I358" s="176"/>
      <c r="J358" s="176"/>
      <c r="K358" s="176"/>
      <c r="L358" s="176"/>
      <c r="M358" s="176"/>
      <c r="N358" s="176"/>
      <c r="O358" s="176"/>
      <c r="P358" s="178"/>
      <c r="Q358" s="178"/>
    </row>
    <row r="359" spans="9:17" x14ac:dyDescent="0.2">
      <c r="I359" s="176"/>
      <c r="J359" s="176"/>
      <c r="K359" s="176"/>
      <c r="L359" s="176"/>
      <c r="M359" s="176"/>
      <c r="N359" s="176"/>
      <c r="O359" s="176"/>
      <c r="P359" s="178"/>
      <c r="Q359" s="178"/>
    </row>
    <row r="360" spans="9:17" x14ac:dyDescent="0.2">
      <c r="I360" s="176"/>
      <c r="J360" s="176"/>
      <c r="K360" s="176"/>
      <c r="L360" s="176"/>
      <c r="M360" s="176"/>
      <c r="N360" s="176"/>
      <c r="O360" s="176"/>
      <c r="P360" s="178"/>
      <c r="Q360" s="178"/>
    </row>
    <row r="361" spans="9:17" x14ac:dyDescent="0.2">
      <c r="I361" s="176"/>
      <c r="J361" s="176"/>
      <c r="K361" s="176"/>
      <c r="L361" s="176"/>
      <c r="M361" s="176"/>
      <c r="N361" s="176"/>
      <c r="O361" s="176"/>
      <c r="P361" s="178"/>
      <c r="Q361" s="178"/>
    </row>
    <row r="362" spans="9:17" x14ac:dyDescent="0.2">
      <c r="I362" s="176"/>
      <c r="J362" s="176"/>
      <c r="K362" s="176"/>
      <c r="L362" s="176"/>
      <c r="M362" s="176"/>
      <c r="N362" s="176"/>
      <c r="O362" s="176"/>
      <c r="P362" s="178"/>
      <c r="Q362" s="178"/>
    </row>
    <row r="363" spans="9:17" x14ac:dyDescent="0.2">
      <c r="I363" s="176"/>
      <c r="J363" s="176"/>
      <c r="K363" s="176"/>
      <c r="L363" s="176"/>
      <c r="M363" s="176"/>
      <c r="N363" s="176"/>
      <c r="O363" s="176"/>
      <c r="P363" s="178"/>
      <c r="Q363" s="178"/>
    </row>
    <row r="364" spans="9:17" x14ac:dyDescent="0.2">
      <c r="I364" s="176"/>
      <c r="J364" s="176"/>
      <c r="K364" s="176"/>
      <c r="L364" s="176"/>
      <c r="M364" s="176"/>
      <c r="N364" s="176"/>
      <c r="O364" s="176"/>
      <c r="P364" s="178"/>
      <c r="Q364" s="178"/>
    </row>
    <row r="365" spans="9:17" x14ac:dyDescent="0.2">
      <c r="I365" s="176"/>
      <c r="J365" s="176"/>
      <c r="K365" s="176"/>
      <c r="L365" s="176"/>
      <c r="M365" s="176"/>
      <c r="N365" s="176"/>
      <c r="O365" s="176"/>
      <c r="P365" s="178"/>
      <c r="Q365" s="178"/>
    </row>
    <row r="366" spans="9:17" x14ac:dyDescent="0.2">
      <c r="I366" s="176"/>
      <c r="J366" s="176"/>
      <c r="K366" s="176"/>
      <c r="L366" s="176"/>
      <c r="M366" s="176"/>
      <c r="N366" s="176"/>
      <c r="O366" s="176"/>
      <c r="P366" s="178"/>
      <c r="Q366" s="178"/>
    </row>
    <row r="367" spans="9:17" x14ac:dyDescent="0.2">
      <c r="I367" s="176"/>
      <c r="J367" s="176"/>
      <c r="K367" s="176"/>
      <c r="L367" s="176"/>
      <c r="M367" s="176"/>
      <c r="N367" s="176"/>
      <c r="O367" s="176"/>
      <c r="P367" s="178"/>
      <c r="Q367" s="178"/>
    </row>
    <row r="368" spans="9:17" x14ac:dyDescent="0.2">
      <c r="I368" s="176"/>
      <c r="J368" s="176"/>
      <c r="K368" s="176"/>
      <c r="L368" s="176"/>
      <c r="M368" s="176"/>
      <c r="N368" s="176"/>
      <c r="O368" s="176"/>
      <c r="P368" s="178"/>
      <c r="Q368" s="178"/>
    </row>
    <row r="369" spans="9:17" x14ac:dyDescent="0.2">
      <c r="I369" s="176"/>
      <c r="J369" s="176"/>
      <c r="K369" s="176"/>
      <c r="L369" s="176"/>
      <c r="M369" s="176"/>
      <c r="N369" s="176"/>
      <c r="O369" s="176"/>
      <c r="P369" s="178"/>
      <c r="Q369" s="178"/>
    </row>
    <row r="370" spans="9:17" x14ac:dyDescent="0.2">
      <c r="I370" s="176"/>
      <c r="J370" s="176"/>
      <c r="K370" s="176"/>
      <c r="L370" s="176"/>
      <c r="M370" s="176"/>
      <c r="N370" s="176"/>
      <c r="O370" s="176"/>
      <c r="P370" s="178"/>
      <c r="Q370" s="178"/>
    </row>
    <row r="371" spans="9:17" x14ac:dyDescent="0.2">
      <c r="I371" s="176"/>
      <c r="J371" s="176"/>
      <c r="K371" s="176"/>
      <c r="L371" s="176"/>
      <c r="M371" s="176"/>
      <c r="N371" s="176"/>
      <c r="O371" s="176"/>
      <c r="P371" s="178"/>
      <c r="Q371" s="178"/>
    </row>
    <row r="372" spans="9:17" x14ac:dyDescent="0.2">
      <c r="I372" s="176"/>
      <c r="J372" s="176"/>
      <c r="K372" s="176"/>
      <c r="L372" s="176"/>
      <c r="M372" s="176"/>
      <c r="N372" s="176"/>
      <c r="O372" s="176"/>
      <c r="P372" s="178"/>
      <c r="Q372" s="178"/>
    </row>
    <row r="373" spans="9:17" x14ac:dyDescent="0.2">
      <c r="I373" s="176"/>
      <c r="J373" s="176"/>
      <c r="K373" s="176"/>
      <c r="L373" s="176"/>
      <c r="M373" s="176"/>
      <c r="N373" s="176"/>
      <c r="O373" s="176"/>
      <c r="P373" s="178"/>
      <c r="Q373" s="178"/>
    </row>
    <row r="374" spans="9:17" x14ac:dyDescent="0.2">
      <c r="I374" s="176"/>
      <c r="J374" s="176"/>
      <c r="K374" s="176"/>
      <c r="L374" s="176"/>
      <c r="M374" s="176"/>
      <c r="N374" s="176"/>
      <c r="O374" s="176"/>
      <c r="P374" s="178"/>
      <c r="Q374" s="178"/>
    </row>
    <row r="375" spans="9:17" x14ac:dyDescent="0.2">
      <c r="I375" s="176"/>
      <c r="J375" s="176"/>
      <c r="K375" s="176"/>
      <c r="L375" s="176"/>
      <c r="M375" s="176"/>
      <c r="N375" s="176"/>
      <c r="O375" s="176"/>
      <c r="P375" s="178"/>
      <c r="Q375" s="178"/>
    </row>
    <row r="376" spans="9:17" x14ac:dyDescent="0.2">
      <c r="I376" s="176"/>
      <c r="J376" s="176"/>
      <c r="K376" s="176"/>
      <c r="L376" s="176"/>
      <c r="M376" s="176"/>
      <c r="N376" s="176"/>
      <c r="O376" s="176"/>
      <c r="P376" s="178"/>
      <c r="Q376" s="178"/>
    </row>
    <row r="377" spans="9:17" x14ac:dyDescent="0.2">
      <c r="I377" s="176"/>
      <c r="J377" s="176"/>
      <c r="K377" s="176"/>
      <c r="L377" s="176"/>
      <c r="M377" s="176"/>
      <c r="N377" s="176"/>
      <c r="O377" s="176"/>
      <c r="P377" s="178"/>
      <c r="Q377" s="178"/>
    </row>
    <row r="378" spans="9:17" x14ac:dyDescent="0.2">
      <c r="I378" s="176"/>
      <c r="J378" s="176"/>
      <c r="K378" s="176"/>
      <c r="L378" s="176"/>
      <c r="M378" s="176"/>
      <c r="N378" s="176"/>
      <c r="O378" s="176"/>
      <c r="P378" s="178"/>
      <c r="Q378" s="178"/>
    </row>
    <row r="379" spans="9:17" x14ac:dyDescent="0.2">
      <c r="I379" s="176"/>
      <c r="J379" s="176"/>
      <c r="K379" s="176"/>
      <c r="L379" s="176"/>
      <c r="M379" s="176"/>
      <c r="N379" s="176"/>
      <c r="O379" s="176"/>
      <c r="P379" s="178"/>
      <c r="Q379" s="178"/>
    </row>
    <row r="380" spans="9:17" x14ac:dyDescent="0.2">
      <c r="I380" s="176"/>
      <c r="J380" s="176"/>
      <c r="K380" s="176"/>
      <c r="L380" s="176"/>
      <c r="M380" s="176"/>
      <c r="N380" s="176"/>
      <c r="O380" s="176"/>
      <c r="P380" s="178"/>
      <c r="Q380" s="178"/>
    </row>
    <row r="381" spans="9:17" x14ac:dyDescent="0.2">
      <c r="I381" s="176"/>
      <c r="J381" s="176"/>
      <c r="K381" s="176"/>
      <c r="L381" s="176"/>
      <c r="M381" s="176"/>
      <c r="N381" s="176"/>
      <c r="O381" s="176"/>
      <c r="P381" s="178"/>
      <c r="Q381" s="178"/>
    </row>
    <row r="382" spans="9:17" x14ac:dyDescent="0.2">
      <c r="I382" s="176"/>
      <c r="J382" s="176"/>
      <c r="K382" s="176"/>
      <c r="L382" s="176"/>
      <c r="M382" s="176"/>
      <c r="N382" s="176"/>
      <c r="O382" s="176"/>
      <c r="P382" s="178"/>
      <c r="Q382" s="178"/>
    </row>
    <row r="383" spans="9:17" x14ac:dyDescent="0.2">
      <c r="I383" s="176"/>
      <c r="J383" s="176"/>
      <c r="K383" s="176"/>
      <c r="L383" s="176"/>
      <c r="M383" s="176"/>
      <c r="N383" s="176"/>
      <c r="O383" s="176"/>
      <c r="P383" s="178"/>
      <c r="Q383" s="178"/>
    </row>
    <row r="384" spans="9:17" x14ac:dyDescent="0.2">
      <c r="I384" s="176"/>
      <c r="J384" s="176"/>
      <c r="K384" s="176"/>
      <c r="L384" s="176"/>
      <c r="M384" s="176"/>
      <c r="N384" s="176"/>
      <c r="O384" s="176"/>
      <c r="P384" s="178"/>
      <c r="Q384" s="178"/>
    </row>
    <row r="385" spans="9:17" x14ac:dyDescent="0.2">
      <c r="I385" s="176"/>
      <c r="J385" s="176"/>
      <c r="K385" s="176"/>
      <c r="L385" s="176"/>
      <c r="M385" s="176"/>
      <c r="N385" s="176"/>
      <c r="O385" s="176"/>
      <c r="P385" s="178"/>
      <c r="Q385" s="178"/>
    </row>
    <row r="386" spans="9:17" x14ac:dyDescent="0.2">
      <c r="I386" s="176"/>
      <c r="J386" s="176"/>
      <c r="K386" s="176"/>
      <c r="L386" s="176"/>
      <c r="M386" s="176"/>
      <c r="N386" s="176"/>
      <c r="O386" s="176"/>
      <c r="P386" s="178"/>
      <c r="Q386" s="178"/>
    </row>
    <row r="387" spans="9:17" x14ac:dyDescent="0.2">
      <c r="I387" s="176"/>
      <c r="J387" s="176"/>
      <c r="K387" s="176"/>
      <c r="L387" s="176"/>
      <c r="M387" s="176"/>
      <c r="N387" s="176"/>
      <c r="O387" s="176"/>
      <c r="P387" s="178"/>
      <c r="Q387" s="178"/>
    </row>
    <row r="388" spans="9:17" x14ac:dyDescent="0.2">
      <c r="I388" s="176"/>
      <c r="J388" s="176"/>
      <c r="K388" s="176"/>
      <c r="L388" s="176"/>
      <c r="M388" s="176"/>
      <c r="N388" s="176"/>
      <c r="O388" s="176"/>
      <c r="P388" s="178"/>
      <c r="Q388" s="178"/>
    </row>
    <row r="389" spans="9:17" x14ac:dyDescent="0.2">
      <c r="I389" s="176"/>
      <c r="J389" s="176"/>
      <c r="K389" s="176"/>
      <c r="L389" s="176"/>
      <c r="M389" s="176"/>
      <c r="N389" s="176"/>
      <c r="O389" s="176"/>
      <c r="P389" s="178"/>
      <c r="Q389" s="178"/>
    </row>
    <row r="390" spans="9:17" x14ac:dyDescent="0.2">
      <c r="I390" s="176"/>
      <c r="J390" s="176"/>
      <c r="K390" s="176"/>
      <c r="L390" s="176"/>
      <c r="M390" s="176"/>
      <c r="N390" s="176"/>
      <c r="O390" s="176"/>
      <c r="P390" s="178"/>
      <c r="Q390" s="178"/>
    </row>
    <row r="391" spans="9:17" x14ac:dyDescent="0.2">
      <c r="I391" s="176"/>
      <c r="J391" s="176"/>
      <c r="K391" s="176"/>
      <c r="L391" s="176"/>
      <c r="M391" s="176"/>
      <c r="N391" s="176"/>
      <c r="O391" s="176"/>
      <c r="P391" s="178"/>
      <c r="Q391" s="178"/>
    </row>
    <row r="392" spans="9:17" x14ac:dyDescent="0.2">
      <c r="I392" s="176"/>
      <c r="J392" s="176"/>
      <c r="K392" s="176"/>
      <c r="L392" s="176"/>
      <c r="M392" s="176"/>
      <c r="N392" s="176"/>
      <c r="O392" s="176"/>
      <c r="P392" s="178"/>
      <c r="Q392" s="178"/>
    </row>
    <row r="393" spans="9:17" x14ac:dyDescent="0.2">
      <c r="I393" s="176"/>
      <c r="J393" s="176"/>
      <c r="K393" s="176"/>
      <c r="L393" s="176"/>
      <c r="M393" s="176"/>
      <c r="N393" s="176"/>
      <c r="O393" s="176"/>
      <c r="P393" s="178"/>
      <c r="Q393" s="178"/>
    </row>
    <row r="394" spans="9:17" x14ac:dyDescent="0.2">
      <c r="I394" s="176"/>
      <c r="J394" s="176"/>
      <c r="K394" s="176"/>
      <c r="L394" s="176"/>
      <c r="M394" s="176"/>
      <c r="N394" s="176"/>
      <c r="O394" s="176"/>
      <c r="P394" s="178"/>
      <c r="Q394" s="178"/>
    </row>
    <row r="395" spans="9:17" x14ac:dyDescent="0.2">
      <c r="I395" s="176"/>
      <c r="J395" s="176"/>
      <c r="K395" s="176"/>
      <c r="L395" s="176"/>
      <c r="M395" s="176"/>
      <c r="N395" s="176"/>
      <c r="O395" s="176"/>
      <c r="P395" s="178"/>
      <c r="Q395" s="178"/>
    </row>
    <row r="396" spans="9:17" x14ac:dyDescent="0.2">
      <c r="I396" s="176"/>
      <c r="J396" s="176"/>
      <c r="K396" s="176"/>
      <c r="L396" s="176"/>
      <c r="M396" s="176"/>
      <c r="N396" s="176"/>
      <c r="O396" s="176"/>
      <c r="P396" s="178"/>
      <c r="Q396" s="178"/>
    </row>
    <row r="397" spans="9:17" x14ac:dyDescent="0.2">
      <c r="I397" s="176"/>
      <c r="J397" s="176"/>
      <c r="K397" s="176"/>
      <c r="L397" s="176"/>
      <c r="M397" s="176"/>
      <c r="N397" s="176"/>
      <c r="O397" s="176"/>
      <c r="P397" s="178"/>
      <c r="Q397" s="178"/>
    </row>
    <row r="398" spans="9:17" x14ac:dyDescent="0.2">
      <c r="I398" s="176"/>
      <c r="J398" s="176"/>
      <c r="K398" s="176"/>
      <c r="L398" s="176"/>
      <c r="M398" s="176"/>
      <c r="N398" s="176"/>
      <c r="O398" s="176"/>
      <c r="P398" s="178"/>
      <c r="Q398" s="178"/>
    </row>
    <row r="399" spans="9:17" x14ac:dyDescent="0.2">
      <c r="I399" s="176"/>
      <c r="J399" s="176"/>
      <c r="K399" s="176"/>
      <c r="L399" s="176"/>
      <c r="M399" s="176"/>
      <c r="N399" s="176"/>
      <c r="O399" s="176"/>
      <c r="P399" s="178"/>
      <c r="Q399" s="178"/>
    </row>
    <row r="400" spans="9:17" x14ac:dyDescent="0.2">
      <c r="I400" s="176"/>
      <c r="J400" s="176"/>
      <c r="K400" s="176"/>
      <c r="L400" s="176"/>
      <c r="M400" s="176"/>
      <c r="N400" s="176"/>
      <c r="O400" s="176"/>
      <c r="P400" s="178"/>
      <c r="Q400" s="178"/>
    </row>
    <row r="401" spans="9:17" x14ac:dyDescent="0.2">
      <c r="I401" s="176"/>
      <c r="J401" s="176"/>
      <c r="K401" s="176"/>
      <c r="L401" s="176"/>
      <c r="M401" s="176"/>
      <c r="N401" s="176"/>
      <c r="O401" s="176"/>
      <c r="P401" s="178"/>
      <c r="Q401" s="178"/>
    </row>
    <row r="402" spans="9:17" x14ac:dyDescent="0.2">
      <c r="I402" s="176"/>
      <c r="J402" s="176"/>
      <c r="K402" s="176"/>
      <c r="L402" s="176"/>
      <c r="M402" s="176"/>
      <c r="N402" s="176"/>
      <c r="O402" s="176"/>
      <c r="P402" s="178"/>
      <c r="Q402" s="178"/>
    </row>
    <row r="403" spans="9:17" x14ac:dyDescent="0.2">
      <c r="I403" s="176"/>
      <c r="J403" s="176"/>
      <c r="K403" s="176"/>
      <c r="L403" s="176"/>
      <c r="M403" s="176"/>
      <c r="N403" s="176"/>
      <c r="O403" s="176"/>
      <c r="P403" s="178"/>
      <c r="Q403" s="178"/>
    </row>
    <row r="404" spans="9:17" x14ac:dyDescent="0.2">
      <c r="I404" s="176"/>
      <c r="J404" s="176"/>
      <c r="K404" s="176"/>
      <c r="L404" s="176"/>
      <c r="M404" s="176"/>
      <c r="N404" s="176"/>
      <c r="O404" s="176"/>
      <c r="P404" s="178"/>
      <c r="Q404" s="178"/>
    </row>
    <row r="405" spans="9:17" x14ac:dyDescent="0.2">
      <c r="I405" s="176"/>
      <c r="J405" s="176"/>
      <c r="K405" s="176"/>
      <c r="L405" s="176"/>
      <c r="M405" s="176"/>
      <c r="N405" s="176"/>
      <c r="O405" s="176"/>
      <c r="P405" s="178"/>
      <c r="Q405" s="178"/>
    </row>
    <row r="406" spans="9:17" x14ac:dyDescent="0.2">
      <c r="I406" s="176"/>
      <c r="J406" s="176"/>
      <c r="K406" s="176"/>
      <c r="L406" s="176"/>
      <c r="M406" s="176"/>
      <c r="N406" s="176"/>
      <c r="O406" s="176"/>
      <c r="P406" s="178"/>
      <c r="Q406" s="178"/>
    </row>
    <row r="407" spans="9:17" x14ac:dyDescent="0.2">
      <c r="I407" s="176"/>
      <c r="J407" s="176"/>
      <c r="K407" s="176"/>
      <c r="L407" s="176"/>
      <c r="M407" s="176"/>
      <c r="N407" s="176"/>
      <c r="O407" s="176"/>
      <c r="P407" s="178"/>
      <c r="Q407" s="178"/>
    </row>
    <row r="408" spans="9:17" x14ac:dyDescent="0.2">
      <c r="I408" s="176"/>
      <c r="J408" s="176"/>
      <c r="K408" s="176"/>
      <c r="L408" s="176"/>
      <c r="M408" s="176"/>
      <c r="N408" s="176"/>
      <c r="O408" s="176"/>
      <c r="P408" s="178"/>
      <c r="Q408" s="178"/>
    </row>
    <row r="409" spans="9:17" x14ac:dyDescent="0.2">
      <c r="I409" s="176"/>
      <c r="J409" s="176"/>
      <c r="K409" s="176"/>
      <c r="L409" s="176"/>
      <c r="M409" s="176"/>
      <c r="N409" s="176"/>
      <c r="O409" s="176"/>
      <c r="P409" s="178"/>
      <c r="Q409" s="178"/>
    </row>
    <row r="410" spans="9:17" x14ac:dyDescent="0.2">
      <c r="I410" s="176"/>
      <c r="J410" s="176"/>
      <c r="K410" s="176"/>
      <c r="L410" s="176"/>
      <c r="M410" s="176"/>
      <c r="N410" s="176"/>
      <c r="O410" s="176"/>
      <c r="P410" s="178"/>
      <c r="Q410" s="178"/>
    </row>
    <row r="411" spans="9:17" x14ac:dyDescent="0.2">
      <c r="I411" s="176"/>
      <c r="J411" s="176"/>
      <c r="K411" s="176"/>
      <c r="L411" s="176"/>
      <c r="M411" s="176"/>
      <c r="N411" s="176"/>
      <c r="O411" s="176"/>
      <c r="P411" s="178"/>
      <c r="Q411" s="178"/>
    </row>
    <row r="412" spans="9:17" x14ac:dyDescent="0.2">
      <c r="I412" s="176"/>
      <c r="J412" s="176"/>
      <c r="K412" s="176"/>
      <c r="L412" s="176"/>
      <c r="M412" s="176"/>
      <c r="N412" s="176"/>
      <c r="O412" s="176"/>
      <c r="P412" s="178"/>
      <c r="Q412" s="178"/>
    </row>
    <row r="413" spans="9:17" x14ac:dyDescent="0.2">
      <c r="I413" s="176"/>
      <c r="J413" s="176"/>
      <c r="K413" s="176"/>
      <c r="L413" s="176"/>
      <c r="M413" s="176"/>
      <c r="N413" s="176"/>
      <c r="O413" s="176"/>
      <c r="P413" s="178"/>
      <c r="Q413" s="178"/>
    </row>
    <row r="414" spans="9:17" x14ac:dyDescent="0.2">
      <c r="I414" s="176"/>
      <c r="J414" s="176"/>
      <c r="K414" s="176"/>
      <c r="L414" s="176"/>
      <c r="M414" s="176"/>
      <c r="N414" s="176"/>
      <c r="O414" s="176"/>
      <c r="P414" s="178"/>
      <c r="Q414" s="178"/>
    </row>
    <row r="415" spans="9:17" x14ac:dyDescent="0.2">
      <c r="I415" s="176"/>
      <c r="J415" s="176"/>
      <c r="K415" s="176"/>
      <c r="L415" s="176"/>
      <c r="M415" s="176"/>
      <c r="N415" s="176"/>
      <c r="O415" s="176"/>
      <c r="P415" s="178"/>
      <c r="Q415" s="178"/>
    </row>
    <row r="416" spans="9:17" x14ac:dyDescent="0.2">
      <c r="I416" s="176"/>
      <c r="J416" s="176"/>
      <c r="K416" s="176"/>
      <c r="L416" s="176"/>
      <c r="M416" s="176"/>
      <c r="N416" s="176"/>
      <c r="O416" s="176"/>
      <c r="P416" s="178"/>
      <c r="Q416" s="178"/>
    </row>
    <row r="417" spans="9:17" x14ac:dyDescent="0.2">
      <c r="I417" s="176"/>
      <c r="J417" s="176"/>
      <c r="K417" s="176"/>
      <c r="L417" s="176"/>
      <c r="M417" s="176"/>
      <c r="N417" s="176"/>
      <c r="O417" s="176"/>
      <c r="P417" s="178"/>
      <c r="Q417" s="178"/>
    </row>
    <row r="418" spans="9:17" x14ac:dyDescent="0.2">
      <c r="I418" s="176"/>
      <c r="J418" s="176"/>
      <c r="K418" s="176"/>
      <c r="L418" s="176"/>
      <c r="M418" s="176"/>
      <c r="N418" s="176"/>
      <c r="O418" s="176"/>
      <c r="P418" s="178"/>
      <c r="Q418" s="178"/>
    </row>
    <row r="419" spans="9:17" x14ac:dyDescent="0.2">
      <c r="I419" s="176"/>
      <c r="J419" s="176"/>
      <c r="K419" s="176"/>
      <c r="L419" s="176"/>
      <c r="M419" s="176"/>
      <c r="N419" s="176"/>
      <c r="O419" s="176"/>
      <c r="P419" s="178"/>
      <c r="Q419" s="178"/>
    </row>
    <row r="420" spans="9:17" x14ac:dyDescent="0.2">
      <c r="I420" s="176"/>
      <c r="J420" s="176"/>
      <c r="K420" s="176"/>
      <c r="L420" s="176"/>
      <c r="M420" s="176"/>
      <c r="N420" s="176"/>
      <c r="O420" s="176"/>
      <c r="P420" s="178"/>
      <c r="Q420" s="178"/>
    </row>
    <row r="421" spans="9:17" x14ac:dyDescent="0.2">
      <c r="I421" s="176"/>
      <c r="J421" s="176"/>
      <c r="K421" s="176"/>
      <c r="L421" s="176"/>
      <c r="M421" s="176"/>
      <c r="N421" s="176"/>
      <c r="O421" s="176"/>
      <c r="P421" s="178"/>
      <c r="Q421" s="178"/>
    </row>
    <row r="422" spans="9:17" x14ac:dyDescent="0.2">
      <c r="I422" s="176"/>
      <c r="J422" s="176"/>
      <c r="K422" s="176"/>
      <c r="L422" s="176"/>
      <c r="M422" s="176"/>
      <c r="N422" s="176"/>
      <c r="O422" s="176"/>
      <c r="P422" s="178"/>
      <c r="Q422" s="178"/>
    </row>
    <row r="423" spans="9:17" x14ac:dyDescent="0.2">
      <c r="I423" s="176"/>
      <c r="J423" s="176"/>
      <c r="K423" s="176"/>
      <c r="L423" s="176"/>
      <c r="M423" s="176"/>
      <c r="N423" s="176"/>
      <c r="O423" s="176"/>
      <c r="P423" s="178"/>
      <c r="Q423" s="178"/>
    </row>
    <row r="424" spans="9:17" x14ac:dyDescent="0.2">
      <c r="I424" s="176"/>
      <c r="J424" s="176"/>
      <c r="K424" s="176"/>
      <c r="L424" s="176"/>
      <c r="M424" s="176"/>
      <c r="N424" s="176"/>
      <c r="O424" s="176"/>
      <c r="P424" s="178"/>
      <c r="Q424" s="178"/>
    </row>
    <row r="425" spans="9:17" x14ac:dyDescent="0.2">
      <c r="I425" s="176"/>
      <c r="J425" s="176"/>
      <c r="K425" s="176"/>
      <c r="L425" s="176"/>
      <c r="M425" s="176"/>
      <c r="N425" s="176"/>
      <c r="O425" s="176"/>
      <c r="P425" s="178"/>
      <c r="Q425" s="178"/>
    </row>
    <row r="426" spans="9:17" x14ac:dyDescent="0.2">
      <c r="I426" s="176"/>
      <c r="J426" s="176"/>
      <c r="K426" s="176"/>
      <c r="L426" s="176"/>
      <c r="M426" s="176"/>
      <c r="N426" s="176"/>
      <c r="O426" s="176"/>
      <c r="P426" s="178"/>
      <c r="Q426" s="178"/>
    </row>
    <row r="427" spans="9:17" x14ac:dyDescent="0.2">
      <c r="I427" s="176"/>
      <c r="J427" s="176"/>
      <c r="K427" s="176"/>
      <c r="L427" s="176"/>
      <c r="M427" s="176"/>
      <c r="N427" s="176"/>
      <c r="O427" s="176"/>
      <c r="P427" s="178"/>
      <c r="Q427" s="178"/>
    </row>
    <row r="428" spans="9:17" x14ac:dyDescent="0.2">
      <c r="I428" s="176"/>
      <c r="J428" s="176"/>
      <c r="K428" s="176"/>
      <c r="L428" s="176"/>
      <c r="M428" s="176"/>
      <c r="N428" s="176"/>
      <c r="O428" s="176"/>
      <c r="P428" s="178"/>
      <c r="Q428" s="178"/>
    </row>
    <row r="429" spans="9:17" x14ac:dyDescent="0.2">
      <c r="I429" s="176"/>
      <c r="J429" s="176"/>
      <c r="K429" s="176"/>
      <c r="L429" s="176"/>
      <c r="M429" s="176"/>
      <c r="N429" s="176"/>
      <c r="O429" s="176"/>
      <c r="P429" s="178"/>
      <c r="Q429" s="178"/>
    </row>
    <row r="430" spans="9:17" x14ac:dyDescent="0.2">
      <c r="I430" s="176"/>
      <c r="J430" s="176"/>
      <c r="K430" s="176"/>
      <c r="L430" s="176"/>
      <c r="M430" s="176"/>
      <c r="N430" s="176"/>
      <c r="O430" s="176"/>
      <c r="P430" s="178"/>
      <c r="Q430" s="178"/>
    </row>
    <row r="431" spans="9:17" x14ac:dyDescent="0.2">
      <c r="I431" s="176"/>
      <c r="J431" s="176"/>
      <c r="K431" s="176"/>
      <c r="L431" s="176"/>
      <c r="M431" s="176"/>
      <c r="N431" s="176"/>
      <c r="O431" s="176"/>
      <c r="P431" s="178"/>
      <c r="Q431" s="178"/>
    </row>
    <row r="432" spans="9:17" x14ac:dyDescent="0.2">
      <c r="I432" s="176"/>
      <c r="J432" s="176"/>
      <c r="K432" s="176"/>
      <c r="L432" s="176"/>
      <c r="M432" s="176"/>
      <c r="N432" s="176"/>
      <c r="O432" s="176"/>
      <c r="P432" s="178"/>
      <c r="Q432" s="178"/>
    </row>
    <row r="433" spans="9:17" x14ac:dyDescent="0.2">
      <c r="I433" s="176"/>
      <c r="J433" s="176"/>
      <c r="K433" s="176"/>
      <c r="L433" s="176"/>
      <c r="M433" s="176"/>
      <c r="N433" s="176"/>
      <c r="O433" s="176"/>
      <c r="P433" s="178"/>
      <c r="Q433" s="178"/>
    </row>
    <row r="434" spans="9:17" x14ac:dyDescent="0.2">
      <c r="I434" s="176"/>
      <c r="J434" s="176"/>
      <c r="K434" s="176"/>
      <c r="L434" s="176"/>
      <c r="M434" s="176"/>
      <c r="N434" s="176"/>
      <c r="O434" s="176"/>
      <c r="P434" s="178"/>
      <c r="Q434" s="178"/>
    </row>
    <row r="435" spans="9:17" x14ac:dyDescent="0.2">
      <c r="I435" s="176"/>
      <c r="J435" s="176"/>
      <c r="K435" s="176"/>
      <c r="L435" s="176"/>
      <c r="M435" s="176"/>
      <c r="N435" s="176"/>
      <c r="O435" s="176"/>
      <c r="P435" s="178"/>
      <c r="Q435" s="178"/>
    </row>
    <row r="436" spans="9:17" x14ac:dyDescent="0.2">
      <c r="I436" s="176"/>
      <c r="J436" s="176"/>
      <c r="K436" s="176"/>
      <c r="L436" s="176"/>
      <c r="M436" s="176"/>
      <c r="N436" s="176"/>
      <c r="O436" s="176"/>
      <c r="P436" s="178"/>
      <c r="Q436" s="178"/>
    </row>
    <row r="437" spans="9:17" x14ac:dyDescent="0.2">
      <c r="I437" s="176"/>
      <c r="J437" s="176"/>
      <c r="K437" s="176"/>
      <c r="L437" s="176"/>
      <c r="M437" s="176"/>
      <c r="N437" s="176"/>
      <c r="O437" s="176"/>
      <c r="P437" s="178"/>
      <c r="Q437" s="178"/>
    </row>
    <row r="438" spans="9:17" x14ac:dyDescent="0.2">
      <c r="I438" s="176"/>
      <c r="J438" s="176"/>
      <c r="K438" s="176"/>
      <c r="L438" s="176"/>
      <c r="M438" s="176"/>
      <c r="N438" s="176"/>
      <c r="O438" s="176"/>
      <c r="P438" s="178"/>
      <c r="Q438" s="178"/>
    </row>
    <row r="439" spans="9:17" x14ac:dyDescent="0.2">
      <c r="I439" s="176"/>
      <c r="J439" s="176"/>
      <c r="K439" s="176"/>
      <c r="L439" s="176"/>
      <c r="M439" s="176"/>
      <c r="N439" s="176"/>
      <c r="O439" s="176"/>
      <c r="P439" s="178"/>
      <c r="Q439" s="178"/>
    </row>
    <row r="440" spans="9:17" x14ac:dyDescent="0.2">
      <c r="I440" s="176"/>
      <c r="J440" s="176"/>
      <c r="K440" s="176"/>
      <c r="L440" s="176"/>
      <c r="M440" s="176"/>
      <c r="N440" s="176"/>
      <c r="O440" s="176"/>
      <c r="P440" s="178"/>
      <c r="Q440" s="178"/>
    </row>
    <row r="441" spans="9:17" x14ac:dyDescent="0.2">
      <c r="I441" s="176"/>
      <c r="J441" s="176"/>
      <c r="K441" s="176"/>
      <c r="L441" s="176"/>
      <c r="M441" s="176"/>
      <c r="N441" s="176"/>
      <c r="O441" s="176"/>
      <c r="P441" s="178"/>
      <c r="Q441" s="178"/>
    </row>
    <row r="442" spans="9:17" x14ac:dyDescent="0.2">
      <c r="I442" s="176"/>
      <c r="J442" s="176"/>
      <c r="K442" s="176"/>
      <c r="L442" s="176"/>
      <c r="M442" s="176"/>
      <c r="N442" s="176"/>
      <c r="O442" s="176"/>
      <c r="P442" s="178"/>
      <c r="Q442" s="178"/>
    </row>
    <row r="443" spans="9:17" x14ac:dyDescent="0.2">
      <c r="I443" s="176"/>
      <c r="J443" s="176"/>
      <c r="K443" s="176"/>
      <c r="L443" s="176"/>
      <c r="M443" s="176"/>
      <c r="N443" s="176"/>
      <c r="O443" s="176"/>
      <c r="P443" s="178"/>
      <c r="Q443" s="178"/>
    </row>
    <row r="444" spans="9:17" x14ac:dyDescent="0.2">
      <c r="I444" s="176"/>
      <c r="J444" s="176"/>
      <c r="K444" s="176"/>
      <c r="L444" s="176"/>
      <c r="M444" s="176"/>
      <c r="N444" s="176"/>
      <c r="O444" s="176"/>
      <c r="P444" s="178"/>
      <c r="Q444" s="178"/>
    </row>
    <row r="445" spans="9:17" x14ac:dyDescent="0.2">
      <c r="I445" s="176"/>
      <c r="J445" s="176"/>
      <c r="K445" s="176"/>
      <c r="L445" s="176"/>
      <c r="M445" s="176"/>
      <c r="N445" s="176"/>
      <c r="O445" s="176"/>
      <c r="P445" s="178"/>
      <c r="Q445" s="178"/>
    </row>
    <row r="446" spans="9:17" x14ac:dyDescent="0.2">
      <c r="I446" s="176"/>
      <c r="J446" s="176"/>
      <c r="K446" s="176"/>
      <c r="L446" s="176"/>
      <c r="M446" s="176"/>
      <c r="N446" s="176"/>
      <c r="O446" s="176"/>
      <c r="P446" s="178"/>
      <c r="Q446" s="178"/>
    </row>
    <row r="447" spans="9:17" x14ac:dyDescent="0.2">
      <c r="I447" s="176"/>
      <c r="J447" s="176"/>
      <c r="K447" s="176"/>
      <c r="L447" s="176"/>
      <c r="M447" s="176"/>
      <c r="N447" s="176"/>
      <c r="O447" s="176"/>
      <c r="P447" s="178"/>
      <c r="Q447" s="178"/>
    </row>
    <row r="448" spans="9:17" x14ac:dyDescent="0.2">
      <c r="I448" s="176"/>
      <c r="J448" s="176"/>
      <c r="K448" s="176"/>
      <c r="L448" s="176"/>
      <c r="M448" s="176"/>
      <c r="N448" s="176"/>
      <c r="O448" s="176"/>
      <c r="P448" s="178"/>
      <c r="Q448" s="178"/>
    </row>
    <row r="449" spans="9:17" x14ac:dyDescent="0.2">
      <c r="I449" s="176"/>
      <c r="J449" s="176"/>
      <c r="K449" s="176"/>
      <c r="L449" s="176"/>
      <c r="M449" s="176"/>
      <c r="N449" s="176"/>
      <c r="O449" s="176"/>
      <c r="P449" s="178"/>
      <c r="Q449" s="178"/>
    </row>
    <row r="450" spans="9:17" x14ac:dyDescent="0.2">
      <c r="I450" s="176"/>
      <c r="J450" s="176"/>
      <c r="K450" s="176"/>
      <c r="L450" s="176"/>
      <c r="M450" s="176"/>
      <c r="N450" s="176"/>
      <c r="O450" s="176"/>
      <c r="P450" s="178"/>
      <c r="Q450" s="178"/>
    </row>
    <row r="451" spans="9:17" x14ac:dyDescent="0.2">
      <c r="I451" s="176"/>
      <c r="J451" s="176"/>
      <c r="K451" s="176"/>
      <c r="L451" s="176"/>
      <c r="M451" s="176"/>
      <c r="N451" s="176"/>
      <c r="O451" s="176"/>
      <c r="P451" s="178"/>
      <c r="Q451" s="178"/>
    </row>
    <row r="452" spans="9:17" x14ac:dyDescent="0.2">
      <c r="I452" s="176"/>
      <c r="J452" s="176"/>
      <c r="K452" s="176"/>
      <c r="L452" s="176"/>
      <c r="M452" s="176"/>
      <c r="N452" s="176"/>
      <c r="O452" s="176"/>
      <c r="P452" s="178"/>
      <c r="Q452" s="178"/>
    </row>
    <row r="453" spans="9:17" x14ac:dyDescent="0.2">
      <c r="I453" s="176"/>
      <c r="J453" s="176"/>
      <c r="K453" s="176"/>
      <c r="L453" s="176"/>
      <c r="M453" s="176"/>
      <c r="N453" s="176"/>
      <c r="O453" s="176"/>
      <c r="P453" s="178"/>
      <c r="Q453" s="178"/>
    </row>
    <row r="454" spans="9:17" x14ac:dyDescent="0.2">
      <c r="I454" s="176"/>
      <c r="J454" s="176"/>
      <c r="K454" s="176"/>
      <c r="L454" s="176"/>
      <c r="M454" s="176"/>
      <c r="N454" s="176"/>
      <c r="O454" s="176"/>
      <c r="P454" s="178"/>
      <c r="Q454" s="178"/>
    </row>
    <row r="455" spans="9:17" x14ac:dyDescent="0.2">
      <c r="I455" s="176"/>
      <c r="J455" s="176"/>
      <c r="K455" s="176"/>
      <c r="L455" s="176"/>
      <c r="M455" s="176"/>
      <c r="N455" s="176"/>
      <c r="O455" s="176"/>
      <c r="P455" s="178"/>
      <c r="Q455" s="178"/>
    </row>
    <row r="456" spans="9:17" x14ac:dyDescent="0.2">
      <c r="I456" s="176"/>
      <c r="J456" s="176"/>
      <c r="K456" s="176"/>
      <c r="L456" s="176"/>
      <c r="M456" s="176"/>
      <c r="N456" s="176"/>
      <c r="O456" s="176"/>
      <c r="P456" s="178"/>
      <c r="Q456" s="178"/>
    </row>
    <row r="457" spans="9:17" x14ac:dyDescent="0.2">
      <c r="I457" s="176"/>
      <c r="J457" s="176"/>
      <c r="K457" s="176"/>
      <c r="L457" s="176"/>
      <c r="M457" s="176"/>
      <c r="N457" s="176"/>
      <c r="O457" s="176"/>
      <c r="P457" s="178"/>
      <c r="Q457" s="178"/>
    </row>
    <row r="458" spans="9:17" x14ac:dyDescent="0.2">
      <c r="I458" s="176"/>
      <c r="J458" s="176"/>
      <c r="K458" s="176"/>
      <c r="L458" s="176"/>
      <c r="M458" s="176"/>
      <c r="N458" s="176"/>
      <c r="O458" s="176"/>
      <c r="P458" s="178"/>
      <c r="Q458" s="178"/>
    </row>
    <row r="459" spans="9:17" x14ac:dyDescent="0.2">
      <c r="I459" s="176"/>
      <c r="J459" s="176"/>
      <c r="K459" s="176"/>
      <c r="L459" s="176"/>
      <c r="M459" s="176"/>
      <c r="N459" s="176"/>
      <c r="O459" s="176"/>
      <c r="P459" s="178"/>
      <c r="Q459" s="178"/>
    </row>
    <row r="460" spans="9:17" x14ac:dyDescent="0.2">
      <c r="I460" s="176"/>
      <c r="J460" s="176"/>
      <c r="K460" s="176"/>
      <c r="L460" s="176"/>
      <c r="M460" s="176"/>
      <c r="N460" s="176"/>
      <c r="O460" s="176"/>
      <c r="P460" s="178"/>
      <c r="Q460" s="178"/>
    </row>
    <row r="461" spans="9:17" x14ac:dyDescent="0.2">
      <c r="I461" s="176"/>
      <c r="J461" s="176"/>
      <c r="K461" s="176"/>
      <c r="L461" s="176"/>
      <c r="M461" s="176"/>
      <c r="N461" s="176"/>
      <c r="O461" s="176"/>
      <c r="P461" s="178"/>
      <c r="Q461" s="178"/>
    </row>
    <row r="462" spans="9:17" x14ac:dyDescent="0.2">
      <c r="I462" s="176"/>
      <c r="J462" s="176"/>
      <c r="K462" s="176"/>
      <c r="L462" s="176"/>
      <c r="M462" s="176"/>
      <c r="N462" s="176"/>
      <c r="O462" s="176"/>
      <c r="P462" s="178"/>
      <c r="Q462" s="178"/>
    </row>
    <row r="463" spans="9:17" x14ac:dyDescent="0.2">
      <c r="I463" s="176"/>
      <c r="J463" s="176"/>
      <c r="K463" s="176"/>
      <c r="L463" s="176"/>
      <c r="M463" s="176"/>
      <c r="N463" s="176"/>
      <c r="O463" s="176"/>
      <c r="P463" s="178"/>
      <c r="Q463" s="178"/>
    </row>
    <row r="464" spans="9:17" x14ac:dyDescent="0.2">
      <c r="I464" s="176"/>
      <c r="J464" s="176"/>
      <c r="K464" s="176"/>
      <c r="L464" s="176"/>
      <c r="M464" s="176"/>
      <c r="N464" s="176"/>
      <c r="O464" s="176"/>
      <c r="P464" s="178"/>
      <c r="Q464" s="178"/>
    </row>
    <row r="465" spans="9:17" x14ac:dyDescent="0.2">
      <c r="I465" s="176"/>
      <c r="J465" s="176"/>
      <c r="K465" s="176"/>
      <c r="L465" s="176"/>
      <c r="M465" s="176"/>
      <c r="N465" s="176"/>
      <c r="O465" s="176"/>
      <c r="P465" s="178"/>
      <c r="Q465" s="178"/>
    </row>
    <row r="466" spans="9:17" x14ac:dyDescent="0.2">
      <c r="I466" s="176"/>
      <c r="J466" s="176"/>
      <c r="K466" s="176"/>
      <c r="L466" s="176"/>
      <c r="M466" s="176"/>
      <c r="N466" s="176"/>
      <c r="O466" s="176"/>
      <c r="P466" s="178"/>
      <c r="Q466" s="178"/>
    </row>
    <row r="467" spans="9:17" x14ac:dyDescent="0.2">
      <c r="I467" s="176"/>
      <c r="J467" s="176"/>
      <c r="K467" s="176"/>
      <c r="L467" s="176"/>
      <c r="M467" s="176"/>
      <c r="N467" s="176"/>
      <c r="O467" s="176"/>
      <c r="P467" s="178"/>
      <c r="Q467" s="178"/>
    </row>
    <row r="468" spans="9:17" x14ac:dyDescent="0.2">
      <c r="I468" s="176"/>
      <c r="J468" s="176"/>
      <c r="K468" s="176"/>
      <c r="L468" s="176"/>
      <c r="M468" s="176"/>
      <c r="N468" s="176"/>
      <c r="O468" s="176"/>
      <c r="P468" s="178"/>
      <c r="Q468" s="178"/>
    </row>
    <row r="469" spans="9:17" x14ac:dyDescent="0.2">
      <c r="I469" s="176"/>
      <c r="J469" s="176"/>
      <c r="K469" s="176"/>
      <c r="L469" s="176"/>
      <c r="M469" s="176"/>
      <c r="N469" s="176"/>
      <c r="O469" s="176"/>
      <c r="P469" s="178"/>
      <c r="Q469" s="178"/>
    </row>
    <row r="470" spans="9:17" x14ac:dyDescent="0.2">
      <c r="I470" s="176"/>
      <c r="J470" s="176"/>
      <c r="K470" s="176"/>
      <c r="L470" s="176"/>
      <c r="M470" s="176"/>
      <c r="N470" s="176"/>
      <c r="O470" s="176"/>
      <c r="P470" s="178"/>
      <c r="Q470" s="178"/>
    </row>
    <row r="471" spans="9:17" x14ac:dyDescent="0.2">
      <c r="I471" s="176"/>
      <c r="J471" s="176"/>
      <c r="K471" s="176"/>
      <c r="L471" s="176"/>
      <c r="M471" s="176"/>
      <c r="N471" s="176"/>
      <c r="O471" s="176"/>
      <c r="P471" s="178"/>
      <c r="Q471" s="178"/>
    </row>
    <row r="472" spans="9:17" x14ac:dyDescent="0.2">
      <c r="I472" s="176"/>
      <c r="J472" s="176"/>
      <c r="K472" s="176"/>
      <c r="L472" s="176"/>
      <c r="M472" s="176"/>
      <c r="N472" s="176"/>
      <c r="O472" s="176"/>
      <c r="P472" s="178"/>
      <c r="Q472" s="178"/>
    </row>
    <row r="473" spans="9:17" x14ac:dyDescent="0.2">
      <c r="I473" s="176"/>
      <c r="J473" s="176"/>
      <c r="K473" s="176"/>
      <c r="L473" s="176"/>
      <c r="M473" s="176"/>
      <c r="N473" s="176"/>
      <c r="O473" s="176"/>
      <c r="P473" s="178"/>
      <c r="Q473" s="178"/>
    </row>
    <row r="474" spans="9:17" x14ac:dyDescent="0.2">
      <c r="I474" s="176"/>
      <c r="J474" s="176"/>
      <c r="K474" s="176"/>
      <c r="L474" s="176"/>
      <c r="M474" s="176"/>
      <c r="N474" s="176"/>
      <c r="O474" s="176"/>
      <c r="P474" s="178"/>
      <c r="Q474" s="178"/>
    </row>
    <row r="475" spans="9:17" x14ac:dyDescent="0.2">
      <c r="I475" s="176"/>
      <c r="J475" s="176"/>
      <c r="K475" s="176"/>
      <c r="L475" s="176"/>
      <c r="M475" s="176"/>
      <c r="N475" s="176"/>
      <c r="O475" s="176"/>
      <c r="P475" s="178"/>
      <c r="Q475" s="178"/>
    </row>
    <row r="476" spans="9:17" x14ac:dyDescent="0.2">
      <c r="I476" s="176"/>
      <c r="J476" s="176"/>
      <c r="K476" s="176"/>
      <c r="L476" s="176"/>
      <c r="M476" s="176"/>
      <c r="N476" s="176"/>
      <c r="O476" s="176"/>
      <c r="P476" s="178"/>
      <c r="Q476" s="178"/>
    </row>
    <row r="477" spans="9:17" x14ac:dyDescent="0.2">
      <c r="I477" s="176"/>
      <c r="J477" s="176"/>
      <c r="K477" s="176"/>
      <c r="L477" s="176"/>
      <c r="M477" s="176"/>
      <c r="N477" s="176"/>
      <c r="O477" s="176"/>
      <c r="P477" s="178"/>
      <c r="Q477" s="178"/>
    </row>
    <row r="478" spans="9:17" x14ac:dyDescent="0.2">
      <c r="I478" s="176"/>
      <c r="J478" s="176"/>
      <c r="K478" s="176"/>
      <c r="L478" s="176"/>
      <c r="M478" s="176"/>
      <c r="N478" s="176"/>
      <c r="O478" s="176"/>
      <c r="P478" s="178"/>
      <c r="Q478" s="178"/>
    </row>
  </sheetData>
  <sheetProtection algorithmName="SHA-512" hashValue="9S3B8tRtUNMKfev5vtiB8g7xi0nCPMF+pMEznIDfjvfCrDO5oCH+rLBns43hQkUeIMwQVRPqnKUQ8+4QyULmyQ==" saltValue="Quc4L2Pox0ON7Yp0agGuoA==" spinCount="100000" sheet="1" objects="1" scenarios="1"/>
  <phoneticPr fontId="0" type="noConversion"/>
  <conditionalFormatting sqref="D112:H112">
    <cfRule type="cellIs" dxfId="695" priority="186" stopIfTrue="1" operator="greaterThan">
      <formula>0</formula>
    </cfRule>
  </conditionalFormatting>
  <conditionalFormatting sqref="C99">
    <cfRule type="expression" dxfId="694" priority="184" stopIfTrue="1">
      <formula>IF(C99&lt;&gt;"",1,0)=1</formula>
    </cfRule>
  </conditionalFormatting>
  <conditionalFormatting sqref="D21:O23">
    <cfRule type="expression" dxfId="693" priority="181" stopIfTrue="1">
      <formula>IF(D21&lt;&gt;"",1,0)=1</formula>
    </cfRule>
  </conditionalFormatting>
  <conditionalFormatting sqref="D37:O38">
    <cfRule type="expression" dxfId="692" priority="176" stopIfTrue="1">
      <formula>IF(D37&lt;&gt;"",1,0)=1</formula>
    </cfRule>
  </conditionalFormatting>
  <conditionalFormatting sqref="E82:H83">
    <cfRule type="expression" dxfId="691" priority="145" stopIfTrue="1">
      <formula>IF(E82&lt;&gt;"",1,0)=1</formula>
    </cfRule>
  </conditionalFormatting>
  <conditionalFormatting sqref="D104:H107">
    <cfRule type="cellIs" dxfId="690" priority="108" stopIfTrue="1" operator="greaterThan">
      <formula>0</formula>
    </cfRule>
  </conditionalFormatting>
  <conditionalFormatting sqref="C100">
    <cfRule type="expression" dxfId="689" priority="106" stopIfTrue="1">
      <formula>IF(C100&lt;&gt;"",1,0)=1</formula>
    </cfRule>
  </conditionalFormatting>
  <conditionalFormatting sqref="C101">
    <cfRule type="expression" dxfId="688" priority="105" stopIfTrue="1">
      <formula>IF(C101&lt;&gt;"",1,0)=1</formula>
    </cfRule>
  </conditionalFormatting>
  <conditionalFormatting sqref="C102">
    <cfRule type="expression" dxfId="687" priority="104" stopIfTrue="1">
      <formula>IF(C102&lt;&gt;"",1,0)=1</formula>
    </cfRule>
  </conditionalFormatting>
  <conditionalFormatting sqref="C103">
    <cfRule type="expression" dxfId="686" priority="103" stopIfTrue="1">
      <formula>IF(C103&lt;&gt;"",1,0)=1</formula>
    </cfRule>
  </conditionalFormatting>
  <conditionalFormatting sqref="D99:H103">
    <cfRule type="expression" dxfId="685" priority="90" stopIfTrue="1">
      <formula>IF(D99&lt;&gt;"",1,0)=1</formula>
    </cfRule>
  </conditionalFormatting>
  <conditionalFormatting sqref="D7:O14">
    <cfRule type="expression" dxfId="684" priority="87" stopIfTrue="1">
      <formula>IF(D7&lt;&gt;"",1,0)=1</formula>
    </cfRule>
  </conditionalFormatting>
  <conditionalFormatting sqref="D17:O18">
    <cfRule type="expression" dxfId="683" priority="85" stopIfTrue="1">
      <formula>IF(D17&lt;&gt;"",1,0)=1</formula>
    </cfRule>
  </conditionalFormatting>
  <conditionalFormatting sqref="D26:O30">
    <cfRule type="expression" dxfId="682" priority="83" stopIfTrue="1">
      <formula>IF(D26&lt;&gt;"",1,0)=1</formula>
    </cfRule>
  </conditionalFormatting>
  <conditionalFormatting sqref="D33:O34">
    <cfRule type="expression" dxfId="681" priority="82" stopIfTrue="1">
      <formula>IF(D33&lt;&gt;"",1,0)=1</formula>
    </cfRule>
  </conditionalFormatting>
  <conditionalFormatting sqref="D41:O43">
    <cfRule type="expression" dxfId="680" priority="81" stopIfTrue="1">
      <formula>IF(D41&lt;&gt;"",1,0)=1</formula>
    </cfRule>
  </conditionalFormatting>
  <conditionalFormatting sqref="CV99">
    <cfRule type="expression" dxfId="679" priority="69" stopIfTrue="1">
      <formula>IF(CV99&lt;&gt;"",1,0)=1</formula>
    </cfRule>
  </conditionalFormatting>
  <conditionalFormatting sqref="CV100">
    <cfRule type="expression" dxfId="678" priority="68" stopIfTrue="1">
      <formula>IF(CV100&lt;&gt;"",1,0)=1</formula>
    </cfRule>
  </conditionalFormatting>
  <conditionalFormatting sqref="CV101">
    <cfRule type="expression" dxfId="677" priority="67" stopIfTrue="1">
      <formula>IF(CV101&lt;&gt;"",1,0)=1</formula>
    </cfRule>
  </conditionalFormatting>
  <conditionalFormatting sqref="CV102">
    <cfRule type="expression" dxfId="676" priority="66" stopIfTrue="1">
      <formula>IF(CV102&lt;&gt;"",1,0)=1</formula>
    </cfRule>
  </conditionalFormatting>
  <conditionalFormatting sqref="CV103">
    <cfRule type="expression" dxfId="675" priority="65" stopIfTrue="1">
      <formula>IF(CV103&lt;&gt;"",1,0)=1</formula>
    </cfRule>
  </conditionalFormatting>
  <conditionalFormatting sqref="CW99">
    <cfRule type="expression" dxfId="674" priority="63" stopIfTrue="1">
      <formula>IF(CW99&lt;&gt;"",1,0)=1</formula>
    </cfRule>
  </conditionalFormatting>
  <conditionalFormatting sqref="CW100">
    <cfRule type="expression" dxfId="673" priority="62" stopIfTrue="1">
      <formula>IF(CW100&lt;&gt;"",1,0)=1</formula>
    </cfRule>
  </conditionalFormatting>
  <conditionalFormatting sqref="CW101">
    <cfRule type="expression" dxfId="672" priority="61" stopIfTrue="1">
      <formula>IF(CW101&lt;&gt;"",1,0)=1</formula>
    </cfRule>
  </conditionalFormatting>
  <conditionalFormatting sqref="CW102">
    <cfRule type="expression" dxfId="671" priority="60" stopIfTrue="1">
      <formula>IF(CW102&lt;&gt;"",1,0)=1</formula>
    </cfRule>
  </conditionalFormatting>
  <conditionalFormatting sqref="CW103">
    <cfRule type="expression" dxfId="670" priority="59" stopIfTrue="1">
      <formula>IF(CW103&lt;&gt;"",1,0)=1</formula>
    </cfRule>
  </conditionalFormatting>
  <conditionalFormatting sqref="E52:H58">
    <cfRule type="expression" dxfId="669" priority="57" stopIfTrue="1">
      <formula>IF(E52&lt;&gt;"",1,0)=1</formula>
    </cfRule>
  </conditionalFormatting>
  <conditionalFormatting sqref="E59:H59">
    <cfRule type="expression" dxfId="668" priority="55" stopIfTrue="1">
      <formula>IF(E59&lt;&gt;"",1,0)=1</formula>
    </cfRule>
  </conditionalFormatting>
  <conditionalFormatting sqref="E62:H63">
    <cfRule type="expression" dxfId="667" priority="54" stopIfTrue="1">
      <formula>IF(E62&lt;&gt;"",1,0)=1</formula>
    </cfRule>
  </conditionalFormatting>
  <conditionalFormatting sqref="E66:H68">
    <cfRule type="expression" dxfId="666" priority="53" stopIfTrue="1">
      <formula>IF(E66&lt;&gt;"",1,0)=1</formula>
    </cfRule>
  </conditionalFormatting>
  <conditionalFormatting sqref="E71:H75">
    <cfRule type="expression" dxfId="665" priority="52" stopIfTrue="1">
      <formula>IF(E71&lt;&gt;"",1,0)=1</formula>
    </cfRule>
  </conditionalFormatting>
  <conditionalFormatting sqref="E78:H79">
    <cfRule type="expression" dxfId="664" priority="51" stopIfTrue="1">
      <formula>IF(E78&lt;&gt;"",1,0)=1</formula>
    </cfRule>
  </conditionalFormatting>
  <conditionalFormatting sqref="E86:H88">
    <cfRule type="expression" dxfId="663" priority="50" stopIfTrue="1">
      <formula>IF(E86&lt;&gt;"",1,0)=1</formula>
    </cfRule>
  </conditionalFormatting>
  <conditionalFormatting sqref="D98:H98">
    <cfRule type="expression" dxfId="662" priority="48" stopIfTrue="1">
      <formula>IF(D98&lt;&gt;"",1,0)=1</formula>
    </cfRule>
  </conditionalFormatting>
  <conditionalFormatting sqref="C98">
    <cfRule type="expression" dxfId="661" priority="47" stopIfTrue="1">
      <formula>IF(C98&lt;&gt;"",1,0)=1</formula>
    </cfRule>
  </conditionalFormatting>
  <conditionalFormatting sqref="N26:O30">
    <cfRule type="expression" dxfId="660" priority="41" stopIfTrue="1">
      <formula>IF(N26&lt;&gt;"",1,0)=1</formula>
    </cfRule>
  </conditionalFormatting>
  <conditionalFormatting sqref="C99">
    <cfRule type="expression" dxfId="659" priority="39" stopIfTrue="1">
      <formula>IF(C99&lt;&gt;"",1,0)=1</formula>
    </cfRule>
  </conditionalFormatting>
  <conditionalFormatting sqref="C14">
    <cfRule type="expression" dxfId="658" priority="36" stopIfTrue="1">
      <formula>IF(C14&lt;&gt;"",1,0)=1</formula>
    </cfRule>
  </conditionalFormatting>
  <conditionalFormatting sqref="C43">
    <cfRule type="expression" dxfId="657" priority="35" stopIfTrue="1">
      <formula>IF(C43&lt;&gt;"",1,0)=1</formula>
    </cfRule>
  </conditionalFormatting>
  <conditionalFormatting sqref="S7:S11">
    <cfRule type="notContainsBlanks" dxfId="656" priority="34" stopIfTrue="1">
      <formula>LEN(TRIM(S7))&gt;0</formula>
    </cfRule>
  </conditionalFormatting>
  <conditionalFormatting sqref="S12">
    <cfRule type="notContainsBlanks" dxfId="655" priority="33" stopIfTrue="1">
      <formula>LEN(TRIM(S12))&gt;0</formula>
    </cfRule>
  </conditionalFormatting>
  <conditionalFormatting sqref="S13:S14">
    <cfRule type="notContainsBlanks" dxfId="654" priority="32" stopIfTrue="1">
      <formula>LEN(TRIM(S13))&gt;0</formula>
    </cfRule>
  </conditionalFormatting>
  <conditionalFormatting sqref="S17:S18">
    <cfRule type="notContainsBlanks" dxfId="653" priority="31" stopIfTrue="1">
      <formula>LEN(TRIM(S17))&gt;0</formula>
    </cfRule>
  </conditionalFormatting>
  <conditionalFormatting sqref="S21">
    <cfRule type="notContainsBlanks" dxfId="652" priority="30" stopIfTrue="1">
      <formula>LEN(TRIM(S21))&gt;0</formula>
    </cfRule>
  </conditionalFormatting>
  <conditionalFormatting sqref="S22:S23">
    <cfRule type="notContainsBlanks" dxfId="651" priority="29" stopIfTrue="1">
      <formula>LEN(TRIM(S22))&gt;0</formula>
    </cfRule>
  </conditionalFormatting>
  <conditionalFormatting sqref="S26:S27">
    <cfRule type="notContainsBlanks" dxfId="650" priority="28" stopIfTrue="1">
      <formula>LEN(TRIM(S26))&gt;0</formula>
    </cfRule>
  </conditionalFormatting>
  <conditionalFormatting sqref="S28">
    <cfRule type="notContainsBlanks" dxfId="649" priority="27" stopIfTrue="1">
      <formula>LEN(TRIM(S28))&gt;0</formula>
    </cfRule>
  </conditionalFormatting>
  <conditionalFormatting sqref="S29:S30">
    <cfRule type="notContainsBlanks" dxfId="648" priority="26" stopIfTrue="1">
      <formula>LEN(TRIM(S29))&gt;0</formula>
    </cfRule>
  </conditionalFormatting>
  <conditionalFormatting sqref="S33:S34">
    <cfRule type="notContainsBlanks" dxfId="647" priority="25" stopIfTrue="1">
      <formula>LEN(TRIM(S33))&gt;0</formula>
    </cfRule>
  </conditionalFormatting>
  <conditionalFormatting sqref="S37:S38">
    <cfRule type="notContainsBlanks" dxfId="646" priority="24" stopIfTrue="1">
      <formula>LEN(TRIM(S37))&gt;0</formula>
    </cfRule>
  </conditionalFormatting>
  <conditionalFormatting sqref="S41">
    <cfRule type="notContainsBlanks" dxfId="645" priority="23" stopIfTrue="1">
      <formula>LEN(TRIM(S41))&gt;0</formula>
    </cfRule>
  </conditionalFormatting>
  <conditionalFormatting sqref="S42:S43">
    <cfRule type="notContainsBlanks" dxfId="644" priority="22" stopIfTrue="1">
      <formula>LEN(TRIM(S42))&gt;0</formula>
    </cfRule>
  </conditionalFormatting>
  <conditionalFormatting sqref="S52:S53">
    <cfRule type="notContainsBlanks" dxfId="643" priority="21" stopIfTrue="1">
      <formula>LEN(TRIM(S52))&gt;0</formula>
    </cfRule>
  </conditionalFormatting>
  <conditionalFormatting sqref="S54:S55">
    <cfRule type="notContainsBlanks" dxfId="642" priority="20" stopIfTrue="1">
      <formula>LEN(TRIM(S54))&gt;0</formula>
    </cfRule>
  </conditionalFormatting>
  <conditionalFormatting sqref="S56:S57">
    <cfRule type="notContainsBlanks" dxfId="641" priority="19" stopIfTrue="1">
      <formula>LEN(TRIM(S56))&gt;0</formula>
    </cfRule>
  </conditionalFormatting>
  <conditionalFormatting sqref="S58:S59">
    <cfRule type="notContainsBlanks" dxfId="640" priority="18" stopIfTrue="1">
      <formula>LEN(TRIM(S58))&gt;0</formula>
    </cfRule>
  </conditionalFormatting>
  <conditionalFormatting sqref="S62:S63">
    <cfRule type="notContainsBlanks" dxfId="639" priority="17" stopIfTrue="1">
      <formula>LEN(TRIM(S62))&gt;0</formula>
    </cfRule>
  </conditionalFormatting>
  <conditionalFormatting sqref="S66">
    <cfRule type="notContainsBlanks" dxfId="638" priority="16" stopIfTrue="1">
      <formula>LEN(TRIM(S66))&gt;0</formula>
    </cfRule>
  </conditionalFormatting>
  <conditionalFormatting sqref="S67:S68">
    <cfRule type="notContainsBlanks" dxfId="637" priority="15" stopIfTrue="1">
      <formula>LEN(TRIM(S67))&gt;0</formula>
    </cfRule>
  </conditionalFormatting>
  <conditionalFormatting sqref="S71:S72">
    <cfRule type="notContainsBlanks" dxfId="636" priority="14" stopIfTrue="1">
      <formula>LEN(TRIM(S71))&gt;0</formula>
    </cfRule>
  </conditionalFormatting>
  <conditionalFormatting sqref="S73">
    <cfRule type="notContainsBlanks" dxfId="635" priority="13" stopIfTrue="1">
      <formula>LEN(TRIM(S73))&gt;0</formula>
    </cfRule>
  </conditionalFormatting>
  <conditionalFormatting sqref="S74:S75">
    <cfRule type="notContainsBlanks" dxfId="634" priority="12" stopIfTrue="1">
      <formula>LEN(TRIM(S74))&gt;0</formula>
    </cfRule>
  </conditionalFormatting>
  <conditionalFormatting sqref="S78:S79">
    <cfRule type="notContainsBlanks" dxfId="633" priority="11" stopIfTrue="1">
      <formula>LEN(TRIM(S78))&gt;0</formula>
    </cfRule>
  </conditionalFormatting>
  <conditionalFormatting sqref="S82:S83">
    <cfRule type="notContainsBlanks" dxfId="632" priority="10" stopIfTrue="1">
      <formula>LEN(TRIM(S82))&gt;0</formula>
    </cfRule>
  </conditionalFormatting>
  <conditionalFormatting sqref="S86">
    <cfRule type="notContainsBlanks" dxfId="631" priority="9" stopIfTrue="1">
      <formula>LEN(TRIM(S86))&gt;0</formula>
    </cfRule>
  </conditionalFormatting>
  <conditionalFormatting sqref="S87:S88">
    <cfRule type="notContainsBlanks" dxfId="630" priority="8" stopIfTrue="1">
      <formula>LEN(TRIM(S87))&gt;0</formula>
    </cfRule>
  </conditionalFormatting>
  <conditionalFormatting sqref="S100">
    <cfRule type="notContainsBlanks" dxfId="629" priority="7" stopIfTrue="1">
      <formula>LEN(TRIM(S100))&gt;0</formula>
    </cfRule>
  </conditionalFormatting>
  <conditionalFormatting sqref="S98:S99">
    <cfRule type="notContainsBlanks" dxfId="628" priority="6" stopIfTrue="1">
      <formula>LEN(TRIM(S98))&gt;0</formula>
    </cfRule>
  </conditionalFormatting>
  <conditionalFormatting sqref="S101">
    <cfRule type="notContainsBlanks" dxfId="627" priority="5" stopIfTrue="1">
      <formula>LEN(TRIM(S101))&gt;0</formula>
    </cfRule>
  </conditionalFormatting>
  <conditionalFormatting sqref="S102:S103">
    <cfRule type="notContainsBlanks" dxfId="626" priority="3" stopIfTrue="1">
      <formula>LEN(TRIM(S102))&gt;0</formula>
    </cfRule>
  </conditionalFormatting>
  <conditionalFormatting sqref="S112">
    <cfRule type="notContainsBlanks" dxfId="625" priority="2" stopIfTrue="1">
      <formula>LEN(TRIM(S112))&gt;0</formula>
    </cfRule>
  </conditionalFormatting>
  <hyperlinks>
    <hyperlink ref="B115" r:id="rId1" display="*)  und **)  AOK-Gehaltsrechner"/>
    <hyperlink ref="CV115" r:id="rId2"/>
  </hyperlinks>
  <printOptions horizontalCentered="1"/>
  <pageMargins left="0.59055118110236227" right="0.59055118110236227" top="0.78740157480314965" bottom="0.74803149606299213" header="0.31496062992125984" footer="0.31496062992125984"/>
  <pageSetup paperSize="9" scale="53" fitToHeight="2" orientation="landscape" horizontalDpi="300" verticalDpi="300" r:id="rId3"/>
  <headerFooter>
    <oddFooter>&amp;L&amp;"Verdana,Standard"&amp;9&amp;A&amp;C&amp;"Verdana,Standard"&amp;9&amp;F&amp;R&amp;9© 2017 www.Kindermanns.de
Jürgen Erlewein</oddFooter>
  </headerFooter>
  <rowBreaks count="1" manualBreakCount="1">
    <brk id="47" min="1" max="15" man="1"/>
  </rowBreaks>
  <ignoredErrors>
    <ignoredError sqref="C15 C19 C24 C35 C39 C44" formula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607"/>
  <sheetViews>
    <sheetView showGridLines="0" topLeftCell="A2" zoomScale="80" zoomScaleNormal="80" zoomScaleSheetLayoutView="53" workbookViewId="0">
      <selection activeCell="I1" sqref="I1"/>
    </sheetView>
  </sheetViews>
  <sheetFormatPr baseColWidth="10" defaultColWidth="11.42578125" defaultRowHeight="14.25" x14ac:dyDescent="0.2"/>
  <cols>
    <col min="1" max="1" width="2.42578125" style="176" customWidth="1"/>
    <col min="2" max="2" width="9" style="179" customWidth="1"/>
    <col min="3" max="3" width="47.85546875" style="179" customWidth="1"/>
    <col min="4" max="4" width="10.5703125" style="179" customWidth="1"/>
    <col min="5" max="17" width="14.7109375" style="219" customWidth="1"/>
    <col min="18" max="18" width="4.7109375" style="57" customWidth="1"/>
    <col min="19" max="19" width="60.7109375" style="1094" customWidth="1"/>
    <col min="20" max="21" width="11.42578125" style="176" customWidth="1"/>
    <col min="22" max="22" width="45.5703125" style="176" customWidth="1"/>
    <col min="23" max="23" width="8.5703125" style="176" customWidth="1"/>
    <col min="24" max="36" width="14.7109375" style="176" customWidth="1"/>
    <col min="37" max="99" width="11.42578125" style="176" hidden="1" customWidth="1"/>
    <col min="100" max="100" width="103.7109375" style="297" hidden="1" customWidth="1"/>
    <col min="101" max="101" width="100.42578125" style="297" hidden="1" customWidth="1"/>
    <col min="102" max="102" width="35.85546875" style="297" hidden="1" customWidth="1"/>
    <col min="103" max="115" width="11.42578125" style="852" hidden="1" customWidth="1"/>
    <col min="116" max="117" width="11.42578125" style="836" hidden="1" customWidth="1"/>
    <col min="118" max="130" width="11.42578125" style="179" hidden="1" customWidth="1"/>
    <col min="131" max="168" width="11.42578125" style="179" customWidth="1"/>
    <col min="169" max="16384" width="11.42578125" style="179"/>
  </cols>
  <sheetData>
    <row r="1" spans="1:117" ht="66" customHeight="1" x14ac:dyDescent="0.2"/>
    <row r="2" spans="1:117" s="1255" customFormat="1" ht="21.95" customHeight="1" x14ac:dyDescent="0.3">
      <c r="A2" s="1251"/>
      <c r="B2" s="1252" t="str">
        <f>'Deckblatt Gruender|Data Founder'!D8</f>
        <v>Deutsch</v>
      </c>
      <c r="C2" s="1252"/>
      <c r="D2" s="177" t="str">
        <f>IF(OR('Deckblatt Gruender|Data Founder'!M1=1,'Deckblatt Gruender|Data Founder'!M1=2),"mit MwSt","ohne MwSt")</f>
        <v>ohne MwSt</v>
      </c>
      <c r="E2" s="1253">
        <v>0</v>
      </c>
      <c r="F2" s="1254">
        <v>7.0000000000000007E-2</v>
      </c>
      <c r="G2" s="1254">
        <v>0.19</v>
      </c>
      <c r="P2" s="1256"/>
      <c r="Q2" s="1257"/>
      <c r="R2" s="125"/>
      <c r="S2" s="1258"/>
      <c r="T2" s="1259" t="s">
        <v>225</v>
      </c>
      <c r="U2" s="298" t="str">
        <f ca="1">IF($B$2="English",CW2,CV2)</f>
        <v>Nebenrechnung Umsätze/sonstige Einnahmen 2019</v>
      </c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CV2" s="1260" t="str">
        <f ca="1">"Nebenrechnung Umsätze/sonstige Einnahmen "&amp;'1 Pers.Ausgaben|Pers Expenses'!$C$4</f>
        <v>Nebenrechnung Umsätze/sonstige Einnahmen 2019</v>
      </c>
      <c r="CW2" s="1260" t="str">
        <f ca="1">"Ancillary account for sales/other Income "&amp;'1 Pers.Ausgaben|Pers Expenses'!$C$4</f>
        <v>Ancillary account for sales/other Income 2019</v>
      </c>
      <c r="CX2" s="1261"/>
      <c r="CY2" s="935" t="s">
        <v>1</v>
      </c>
      <c r="CZ2" s="935" t="s">
        <v>2</v>
      </c>
      <c r="DA2" s="935" t="s">
        <v>3</v>
      </c>
      <c r="DB2" s="935" t="s">
        <v>4</v>
      </c>
      <c r="DC2" s="935" t="s">
        <v>5</v>
      </c>
      <c r="DD2" s="935" t="s">
        <v>6</v>
      </c>
      <c r="DE2" s="935" t="s">
        <v>7</v>
      </c>
      <c r="DF2" s="935" t="s">
        <v>8</v>
      </c>
      <c r="DG2" s="935" t="s">
        <v>9</v>
      </c>
      <c r="DH2" s="935" t="s">
        <v>10</v>
      </c>
      <c r="DI2" s="935" t="s">
        <v>11</v>
      </c>
      <c r="DJ2" s="935" t="s">
        <v>12</v>
      </c>
      <c r="DK2" s="935" t="str">
        <f ca="1">"Jahr "&amp;'1 Pers.Ausgaben|Pers Expenses'!C4</f>
        <v>Jahr 2019</v>
      </c>
      <c r="DL2" s="1255" t="str">
        <f ca="1">"Jahr "&amp;'1 Pers.Ausgaben|Pers Expenses'!C4+1</f>
        <v>Jahr 2020</v>
      </c>
    </row>
    <row r="3" spans="1:117" s="183" customFormat="1" ht="30" thickBot="1" x14ac:dyDescent="0.4">
      <c r="A3" s="1084"/>
      <c r="B3" s="1293" t="str">
        <f ca="1">IF($C$4="English",CW3,CV3)</f>
        <v>2a-1 Umsätze, Honorare, Sonstige Einnahmen (ohne MwSt) für die Monate des Jahres 2019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53"/>
      <c r="S3" s="1090"/>
      <c r="T3" s="37" t="s">
        <v>317</v>
      </c>
      <c r="U3" s="178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CV3" s="404" t="str">
        <f ca="1">"2a-1 Umsätze, Honorare, Sonstige Einnahmen (" &amp; 'Deckblatt Gruender|Data Founder'!$J$1 &amp; ") für die Monate des Jahres " &amp; '1 Pers.Ausgaben|Pers Expenses'!$C$4</f>
        <v>2a-1 Umsätze, Honorare, Sonstige Einnahmen (ohne MwSt) für die Monate des Jahres 2019</v>
      </c>
      <c r="CW3" s="404" t="str">
        <f ca="1">"2a-1 Sales, Fees, other Income (" &amp; 'Deckblatt Gruender|Data Founder'!$K$1 &amp; ") for the Months of the Year " &amp; '1 Pers.Ausgaben|Pers Expenses'!$C$4</f>
        <v>2a-1 Sales, Fees, other Income (w/o VAT) for the Months of the Year 2019</v>
      </c>
      <c r="CX3" s="297"/>
      <c r="CY3" s="40" t="s">
        <v>73</v>
      </c>
      <c r="CZ3" s="40" t="s">
        <v>74</v>
      </c>
      <c r="DA3" s="40" t="s">
        <v>313</v>
      </c>
      <c r="DB3" s="40" t="s">
        <v>76</v>
      </c>
      <c r="DC3" s="40" t="s">
        <v>310</v>
      </c>
      <c r="DD3" s="40" t="s">
        <v>311</v>
      </c>
      <c r="DE3" s="40" t="s">
        <v>312</v>
      </c>
      <c r="DF3" s="40" t="s">
        <v>79</v>
      </c>
      <c r="DG3" s="40" t="s">
        <v>314</v>
      </c>
      <c r="DH3" s="40" t="s">
        <v>315</v>
      </c>
      <c r="DI3" s="40" t="s">
        <v>82</v>
      </c>
      <c r="DJ3" s="40" t="s">
        <v>316</v>
      </c>
      <c r="DK3" s="40" t="str">
        <f ca="1">"Year "&amp;'1 Pers.Ausgaben|Pers Expenses'!C4</f>
        <v>Year 2019</v>
      </c>
      <c r="DL3" s="40" t="str">
        <f ca="1">"Year "&amp;'1 Pers.Ausgaben|Pers Expenses'!C4+1</f>
        <v>Year 2020</v>
      </c>
      <c r="DM3" s="176"/>
    </row>
    <row r="4" spans="1:117" s="176" customFormat="1" ht="15" thickBot="1" x14ac:dyDescent="0.25">
      <c r="A4" s="1084"/>
      <c r="C4" s="363" t="str">
        <f>'Deckblatt Gruender|Data Founder'!$D$8</f>
        <v>Deutsch</v>
      </c>
      <c r="D4" s="933"/>
      <c r="Q4" s="178"/>
      <c r="R4" s="55"/>
      <c r="S4" s="1090"/>
      <c r="T4" s="48"/>
      <c r="U4" s="58" t="s">
        <v>309</v>
      </c>
      <c r="V4" s="167" t="str">
        <f>C5</f>
        <v>Einnahmeart</v>
      </c>
      <c r="W4" s="167" t="str">
        <f>IF($C$4="English","VAT","MwSt")</f>
        <v>MwSt</v>
      </c>
      <c r="X4" s="365" t="str">
        <f t="shared" ref="X4:AJ4" si="0">E5</f>
        <v>Jan.</v>
      </c>
      <c r="Y4" s="365" t="str">
        <f t="shared" si="0"/>
        <v>Febr.</v>
      </c>
      <c r="Z4" s="365" t="str">
        <f t="shared" si="0"/>
        <v>März</v>
      </c>
      <c r="AA4" s="365" t="str">
        <f t="shared" si="0"/>
        <v>April</v>
      </c>
      <c r="AB4" s="365" t="str">
        <f t="shared" si="0"/>
        <v>Mai</v>
      </c>
      <c r="AC4" s="365" t="str">
        <f t="shared" si="0"/>
        <v>Juni</v>
      </c>
      <c r="AD4" s="365" t="str">
        <f t="shared" si="0"/>
        <v>Juli</v>
      </c>
      <c r="AE4" s="365" t="str">
        <f t="shared" si="0"/>
        <v>Aug.</v>
      </c>
      <c r="AF4" s="365" t="str">
        <f t="shared" si="0"/>
        <v>Sept.</v>
      </c>
      <c r="AG4" s="365" t="str">
        <f t="shared" si="0"/>
        <v>Okt.</v>
      </c>
      <c r="AH4" s="365" t="str">
        <f t="shared" si="0"/>
        <v>Nov.</v>
      </c>
      <c r="AI4" s="365" t="str">
        <f t="shared" si="0"/>
        <v>Dez.</v>
      </c>
      <c r="AJ4" s="366" t="str">
        <f t="shared" ca="1" si="0"/>
        <v>Jahr 2019</v>
      </c>
      <c r="AK4" s="57"/>
      <c r="CV4" s="180" t="s">
        <v>519</v>
      </c>
      <c r="CW4" s="180" t="s">
        <v>524</v>
      </c>
      <c r="CX4" s="863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177"/>
      <c r="DM4" s="177"/>
    </row>
    <row r="5" spans="1:117" s="60" customFormat="1" ht="15" thickBot="1" x14ac:dyDescent="0.25">
      <c r="A5" s="57"/>
      <c r="B5" s="58" t="s">
        <v>309</v>
      </c>
      <c r="C5" s="167" t="str">
        <f>IF(C4="English","Type of Income","Einnahmeart")</f>
        <v>Einnahmeart</v>
      </c>
      <c r="D5" s="167" t="str">
        <f>IF($C$4="English","VAT","MwSt")</f>
        <v>MwSt</v>
      </c>
      <c r="E5" s="365" t="str">
        <f>IF($C$4="English",CY3,CY2)</f>
        <v>Jan.</v>
      </c>
      <c r="F5" s="365" t="str">
        <f t="shared" ref="F5:Q5" si="1">IF($C$4="English",CZ3,CZ2)</f>
        <v>Febr.</v>
      </c>
      <c r="G5" s="365" t="str">
        <f t="shared" si="1"/>
        <v>März</v>
      </c>
      <c r="H5" s="365" t="str">
        <f t="shared" si="1"/>
        <v>April</v>
      </c>
      <c r="I5" s="365" t="str">
        <f t="shared" si="1"/>
        <v>Mai</v>
      </c>
      <c r="J5" s="365" t="str">
        <f t="shared" si="1"/>
        <v>Juni</v>
      </c>
      <c r="K5" s="365" t="str">
        <f t="shared" si="1"/>
        <v>Juli</v>
      </c>
      <c r="L5" s="365" t="str">
        <f t="shared" si="1"/>
        <v>Aug.</v>
      </c>
      <c r="M5" s="365" t="str">
        <f t="shared" si="1"/>
        <v>Sept.</v>
      </c>
      <c r="N5" s="365" t="str">
        <f t="shared" si="1"/>
        <v>Okt.</v>
      </c>
      <c r="O5" s="365" t="str">
        <f t="shared" si="1"/>
        <v>Nov.</v>
      </c>
      <c r="P5" s="365" t="str">
        <f t="shared" si="1"/>
        <v>Dez.</v>
      </c>
      <c r="Q5" s="366" t="str">
        <f t="shared" ca="1" si="1"/>
        <v>Jahr 2019</v>
      </c>
      <c r="R5" s="66"/>
      <c r="S5" s="1091" t="str">
        <f>IF(C4="English",T3,T2)</f>
        <v>Aufgaben und/oder Kommentar</v>
      </c>
      <c r="T5" s="57"/>
      <c r="U5" s="947" t="s">
        <v>509</v>
      </c>
      <c r="V5" s="954" t="str">
        <f>C11</f>
        <v>Umsätze aus Nebenrechnung Gruppe 1</v>
      </c>
      <c r="W5" s="912">
        <f>D6</f>
        <v>0.19</v>
      </c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8"/>
      <c r="AK5" s="186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61" t="s">
        <v>51</v>
      </c>
      <c r="CW5" s="60" t="s">
        <v>408</v>
      </c>
      <c r="CX5" s="857"/>
      <c r="CY5" s="625"/>
      <c r="CZ5" s="625"/>
      <c r="DA5" s="625"/>
      <c r="DB5" s="625"/>
      <c r="DC5" s="625"/>
      <c r="DD5" s="625"/>
      <c r="DE5" s="625"/>
      <c r="DF5" s="625"/>
      <c r="DG5" s="625"/>
      <c r="DH5" s="625"/>
      <c r="DI5" s="625"/>
      <c r="DJ5" s="625"/>
      <c r="DK5" s="625"/>
      <c r="DL5" s="287"/>
      <c r="DM5" s="287"/>
    </row>
    <row r="6" spans="1:117" s="180" customFormat="1" ht="14.25" customHeight="1" x14ac:dyDescent="0.2">
      <c r="A6" s="186"/>
      <c r="B6" s="369">
        <v>1</v>
      </c>
      <c r="C6" s="1280" t="s">
        <v>538</v>
      </c>
      <c r="D6" s="1389">
        <v>0.19</v>
      </c>
      <c r="E6" s="1166"/>
      <c r="F6" s="1166"/>
      <c r="G6" s="1166"/>
      <c r="H6" s="1166"/>
      <c r="I6" s="1166"/>
      <c r="J6" s="1166"/>
      <c r="K6" s="1166"/>
      <c r="L6" s="1166"/>
      <c r="M6" s="1166"/>
      <c r="N6" s="1166"/>
      <c r="O6" s="1166"/>
      <c r="P6" s="1166"/>
      <c r="Q6" s="1167"/>
      <c r="R6" s="57"/>
      <c r="S6" s="1092"/>
      <c r="T6" s="186"/>
      <c r="U6" s="982" t="s">
        <v>543</v>
      </c>
      <c r="V6" s="871"/>
      <c r="W6" s="1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685">
        <f t="shared" ref="AJ6:AJ11" si="2">SUM(X6:AI6)</f>
        <v>0</v>
      </c>
      <c r="AK6" s="17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915" t="s">
        <v>165</v>
      </c>
      <c r="CW6" s="194" t="s">
        <v>616</v>
      </c>
      <c r="CX6" s="297"/>
      <c r="CY6" s="297"/>
      <c r="CZ6" s="297"/>
      <c r="DA6" s="297"/>
      <c r="DB6" s="297"/>
      <c r="DC6" s="297"/>
      <c r="DD6" s="297"/>
      <c r="DE6" s="297"/>
      <c r="DF6" s="297"/>
      <c r="DG6" s="297"/>
      <c r="DH6" s="297"/>
      <c r="DI6" s="297"/>
      <c r="DJ6" s="297"/>
      <c r="DK6" s="297"/>
      <c r="DL6" s="387"/>
      <c r="DM6" s="387"/>
    </row>
    <row r="7" spans="1:117" ht="15" x14ac:dyDescent="0.2">
      <c r="B7" s="913" t="s">
        <v>505</v>
      </c>
      <c r="C7" s="386"/>
      <c r="D7" s="1284" t="s">
        <v>728</v>
      </c>
      <c r="E7" s="1430"/>
      <c r="F7" s="1430"/>
      <c r="G7" s="1430"/>
      <c r="H7" s="1430"/>
      <c r="I7" s="1430"/>
      <c r="J7" s="1430"/>
      <c r="K7" s="1430"/>
      <c r="L7" s="1430"/>
      <c r="M7" s="1430"/>
      <c r="N7" s="1430"/>
      <c r="O7" s="1430"/>
      <c r="P7" s="1430"/>
      <c r="Q7" s="1416">
        <f>SUM(E7:P7)</f>
        <v>0</v>
      </c>
      <c r="S7" s="1556"/>
      <c r="U7" s="982" t="s">
        <v>544</v>
      </c>
      <c r="V7" s="871"/>
      <c r="W7" s="1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685">
        <f t="shared" si="2"/>
        <v>0</v>
      </c>
      <c r="CV7" s="323" t="s">
        <v>538</v>
      </c>
      <c r="CW7" s="916" t="s">
        <v>539</v>
      </c>
      <c r="CX7" s="855"/>
    </row>
    <row r="8" spans="1:117" x14ac:dyDescent="0.2">
      <c r="B8" s="913" t="s">
        <v>506</v>
      </c>
      <c r="C8" s="385"/>
      <c r="D8" s="1283" t="str">
        <f>IF($C$4="English",CW6,CV6)</f>
        <v>Auswahl</v>
      </c>
      <c r="E8" s="1393"/>
      <c r="F8" s="1393"/>
      <c r="G8" s="1393"/>
      <c r="H8" s="1393"/>
      <c r="I8" s="1393"/>
      <c r="J8" s="1393"/>
      <c r="K8" s="1393"/>
      <c r="L8" s="1393"/>
      <c r="M8" s="1393"/>
      <c r="N8" s="1393"/>
      <c r="O8" s="1393"/>
      <c r="P8" s="1393"/>
      <c r="Q8" s="1416">
        <f>SUM(E8:P8)</f>
        <v>0</v>
      </c>
      <c r="S8" s="1556"/>
      <c r="U8" s="982" t="s">
        <v>545</v>
      </c>
      <c r="V8" s="871"/>
      <c r="W8" s="1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685">
        <f t="shared" si="2"/>
        <v>0</v>
      </c>
      <c r="CV8" s="323" t="s">
        <v>542</v>
      </c>
      <c r="CW8" s="916" t="s">
        <v>555</v>
      </c>
      <c r="CX8" s="855"/>
    </row>
    <row r="9" spans="1:117" x14ac:dyDescent="0.2">
      <c r="B9" s="913" t="s">
        <v>507</v>
      </c>
      <c r="C9" s="385"/>
      <c r="E9" s="1430"/>
      <c r="F9" s="1430"/>
      <c r="G9" s="1430"/>
      <c r="H9" s="1430"/>
      <c r="I9" s="1430"/>
      <c r="J9" s="1430"/>
      <c r="K9" s="1430"/>
      <c r="L9" s="1430"/>
      <c r="M9" s="1430"/>
      <c r="N9" s="1430"/>
      <c r="O9" s="1430"/>
      <c r="P9" s="1430"/>
      <c r="Q9" s="1416">
        <f>SUM(E9:P9)</f>
        <v>0</v>
      </c>
      <c r="S9" s="1556"/>
      <c r="U9" s="982" t="s">
        <v>546</v>
      </c>
      <c r="V9" s="871"/>
      <c r="W9" s="1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685">
        <f t="shared" si="2"/>
        <v>0</v>
      </c>
      <c r="CV9" s="323" t="s">
        <v>553</v>
      </c>
      <c r="CW9" s="916" t="s">
        <v>556</v>
      </c>
      <c r="CX9" s="855"/>
    </row>
    <row r="10" spans="1:117" x14ac:dyDescent="0.2">
      <c r="B10" s="913" t="s">
        <v>508</v>
      </c>
      <c r="C10" s="1392"/>
      <c r="D10" s="1281"/>
      <c r="E10" s="1430"/>
      <c r="F10" s="1430"/>
      <c r="G10" s="1430"/>
      <c r="H10" s="1430"/>
      <c r="I10" s="1430"/>
      <c r="J10" s="1430"/>
      <c r="K10" s="1430"/>
      <c r="L10" s="1430"/>
      <c r="M10" s="1430"/>
      <c r="N10" s="1430"/>
      <c r="O10" s="1430"/>
      <c r="P10" s="1430"/>
      <c r="Q10" s="1416">
        <f>SUM(E10:P10)</f>
        <v>0</v>
      </c>
      <c r="S10" s="1556"/>
      <c r="U10" s="982" t="s">
        <v>547</v>
      </c>
      <c r="V10" s="871"/>
      <c r="W10" s="1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685">
        <f t="shared" si="2"/>
        <v>0</v>
      </c>
      <c r="CV10" s="323"/>
      <c r="CW10" s="916"/>
      <c r="CX10" s="855"/>
    </row>
    <row r="11" spans="1:117" x14ac:dyDescent="0.2">
      <c r="B11" s="913" t="s">
        <v>509</v>
      </c>
      <c r="C11" s="946" t="str">
        <f>IF($B$2="English",CW8,CV8)</f>
        <v>Umsätze aus Nebenrechnung Gruppe 1</v>
      </c>
      <c r="D11" s="1279"/>
      <c r="E11" s="1169" t="str">
        <f t="shared" ref="E11:P11" si="3">X11</f>
        <v/>
      </c>
      <c r="F11" s="1169" t="str">
        <f t="shared" si="3"/>
        <v/>
      </c>
      <c r="G11" s="1169" t="str">
        <f t="shared" si="3"/>
        <v/>
      </c>
      <c r="H11" s="1169" t="str">
        <f t="shared" si="3"/>
        <v/>
      </c>
      <c r="I11" s="1169" t="str">
        <f t="shared" si="3"/>
        <v/>
      </c>
      <c r="J11" s="1169" t="str">
        <f t="shared" si="3"/>
        <v/>
      </c>
      <c r="K11" s="1169" t="str">
        <f t="shared" si="3"/>
        <v/>
      </c>
      <c r="L11" s="1169" t="str">
        <f t="shared" si="3"/>
        <v/>
      </c>
      <c r="M11" s="1169" t="str">
        <f t="shared" si="3"/>
        <v/>
      </c>
      <c r="N11" s="1169" t="str">
        <f t="shared" si="3"/>
        <v/>
      </c>
      <c r="O11" s="1169" t="str">
        <f t="shared" si="3"/>
        <v/>
      </c>
      <c r="P11" s="1169" t="str">
        <f t="shared" si="3"/>
        <v/>
      </c>
      <c r="Q11" s="1168">
        <f>SUM(E11:P11)</f>
        <v>0</v>
      </c>
      <c r="S11" s="1556"/>
      <c r="U11" s="966"/>
      <c r="V11" s="956" t="str">
        <f>IF($B$2="English",CW31,CV31)</f>
        <v>Summe Nebenrechnung Gruppe1</v>
      </c>
      <c r="W11" s="957"/>
      <c r="X11" s="958" t="str">
        <f t="shared" ref="X11:AI11" si="4">IF(SUM(X6:X10)=0,"",SUM(X6:X10))</f>
        <v/>
      </c>
      <c r="Y11" s="958" t="str">
        <f t="shared" si="4"/>
        <v/>
      </c>
      <c r="Z11" s="958" t="str">
        <f t="shared" si="4"/>
        <v/>
      </c>
      <c r="AA11" s="958" t="str">
        <f t="shared" si="4"/>
        <v/>
      </c>
      <c r="AB11" s="958" t="str">
        <f t="shared" si="4"/>
        <v/>
      </c>
      <c r="AC11" s="958" t="str">
        <f t="shared" si="4"/>
        <v/>
      </c>
      <c r="AD11" s="958" t="str">
        <f t="shared" si="4"/>
        <v/>
      </c>
      <c r="AE11" s="958" t="str">
        <f t="shared" si="4"/>
        <v/>
      </c>
      <c r="AF11" s="958" t="str">
        <f t="shared" si="4"/>
        <v/>
      </c>
      <c r="AG11" s="958" t="str">
        <f t="shared" si="4"/>
        <v/>
      </c>
      <c r="AH11" s="958" t="str">
        <f t="shared" si="4"/>
        <v/>
      </c>
      <c r="AI11" s="958" t="str">
        <f t="shared" si="4"/>
        <v/>
      </c>
      <c r="AJ11" s="959">
        <f t="shared" si="2"/>
        <v>0</v>
      </c>
      <c r="AK11" s="288"/>
      <c r="CV11" s="323"/>
      <c r="CW11" s="916"/>
      <c r="CX11" s="855"/>
    </row>
    <row r="12" spans="1:117" hidden="1" x14ac:dyDescent="0.2">
      <c r="A12" s="288"/>
      <c r="B12" s="964"/>
      <c r="C12" s="1391" t="str">
        <f>IF($B$2="English",CW12,CV12)</f>
        <v>auf Rechnung ausgewiesener MwSt-Betrag</v>
      </c>
      <c r="E12" s="1170" t="str">
        <f>IF(OR(SUM(E7:E11)=0,'Deckblatt Gruender|Data Founder'!$M$1=1),"",IF('Deckblatt Gruender|Data Founder'!$M$1=2,SUM(E7:E11)-SUM(E7:E11)/(1+$D6),SUM(E7:E11)*($D6)))</f>
        <v/>
      </c>
      <c r="F12" s="1170" t="str">
        <f>IF(OR(SUM(F7:F11)=0,'Deckblatt Gruender|Data Founder'!$M$1=1),"",IF('Deckblatt Gruender|Data Founder'!$M$1=2,SUM(F7:F11)-SUM(F7:F11)/(1+$D6),SUM(F7:F11)*($D6)))</f>
        <v/>
      </c>
      <c r="G12" s="1170" t="str">
        <f>IF(OR(SUM(G7:G11)=0,'Deckblatt Gruender|Data Founder'!$M$1=1),"",IF('Deckblatt Gruender|Data Founder'!$M$1=2,SUM(G7:G11)-SUM(G7:G11)/(1+$D6),SUM(G7:G11)*($D6)))</f>
        <v/>
      </c>
      <c r="H12" s="1170" t="str">
        <f>IF(OR(SUM(H7:H11)=0,'Deckblatt Gruender|Data Founder'!$M$1=1),"",IF('Deckblatt Gruender|Data Founder'!$M$1=2,SUM(H7:H11)-SUM(H7:H11)/(1+$D6),SUM(H7:H11)*($D6)))</f>
        <v/>
      </c>
      <c r="I12" s="1170" t="str">
        <f>IF(OR(SUM(I7:I11)=0,'Deckblatt Gruender|Data Founder'!$M$1=1),"",IF('Deckblatt Gruender|Data Founder'!$M$1=2,SUM(I7:I11)-SUM(I7:I11)/(1+$D6),SUM(I7:I11)*($D6)))</f>
        <v/>
      </c>
      <c r="J12" s="1170" t="str">
        <f>IF(OR(SUM(J7:J11)=0,'Deckblatt Gruender|Data Founder'!$M$1=1),"",IF('Deckblatt Gruender|Data Founder'!$M$1=2,SUM(J7:J11)-SUM(J7:J11)/(1+$D6),SUM(J7:J11)*($D6)))</f>
        <v/>
      </c>
      <c r="K12" s="1170" t="str">
        <f>IF(OR(SUM(K7:K11)=0,'Deckblatt Gruender|Data Founder'!$M$1=1),"",IF('Deckblatt Gruender|Data Founder'!$M$1=2,SUM(K7:K11)-SUM(K7:K11)/(1+$D6),SUM(K7:K11)*($D6)))</f>
        <v/>
      </c>
      <c r="L12" s="1170" t="str">
        <f>IF(OR(SUM(L7:L11)=0,'Deckblatt Gruender|Data Founder'!$M$1=1),"",IF('Deckblatt Gruender|Data Founder'!$M$1=2,SUM(L7:L11)-SUM(L7:L11)/(1+$D6),SUM(L7:L11)*($D6)))</f>
        <v/>
      </c>
      <c r="M12" s="1170" t="str">
        <f>IF(OR(SUM(M7:M11)=0,'Deckblatt Gruender|Data Founder'!$M$1=1),"",IF('Deckblatt Gruender|Data Founder'!$M$1=2,SUM(M7:M11)-SUM(M7:M11)/(1+$D6),SUM(M7:M11)*($D6)))</f>
        <v/>
      </c>
      <c r="N12" s="1170" t="str">
        <f>IF(OR(SUM(N7:N11)=0,'Deckblatt Gruender|Data Founder'!$M$1=1),"",IF('Deckblatt Gruender|Data Founder'!$M$1=2,SUM(N7:N11)-SUM(N7:N11)/(1+$D6),SUM(N7:N11)*($D6)))</f>
        <v/>
      </c>
      <c r="O12" s="1170" t="str">
        <f>IF(OR(SUM(O7:O11)=0,'Deckblatt Gruender|Data Founder'!$M$1=1),"",IF('Deckblatt Gruender|Data Founder'!$M$1=2,SUM(O7:O11)-SUM(O7:O11)/(1+$D6),SUM(O7:O11)*($D6)))</f>
        <v/>
      </c>
      <c r="P12" s="1170" t="str">
        <f>IF(OR(SUM(P7:P11)=0,'Deckblatt Gruender|Data Founder'!$M$1=1),"",IF('Deckblatt Gruender|Data Founder'!$M$1=2,SUM(P7:P11)-SUM(P7:P11)/(1+$D6),SUM(P7:P11)*($D6)))</f>
        <v/>
      </c>
      <c r="Q12" s="1171" t="str">
        <f>IF(SUM(E12:P12)=0,"",SUM(E12:P12))</f>
        <v/>
      </c>
      <c r="S12" s="1093"/>
      <c r="T12" s="288"/>
      <c r="AL12" s="288"/>
      <c r="AM12" s="288"/>
      <c r="CV12" s="323" t="str">
        <f>IF($D$2="mit MwSt","im Umsatz enthaltener MwSt-Betrag", "auf Rechnung ausgewiesener MwSt-Betrag")</f>
        <v>auf Rechnung ausgewiesener MwSt-Betrag</v>
      </c>
      <c r="CW12" s="323" t="str">
        <f>IF($D$2="mit MwSt","VAT amount included in sales","VAT amount denoted on bill")</f>
        <v>VAT amount denoted on bill</v>
      </c>
      <c r="CX12" s="855"/>
    </row>
    <row r="13" spans="1:117" ht="15" thickBot="1" x14ac:dyDescent="0.25">
      <c r="A13" s="288"/>
      <c r="B13" s="1495"/>
      <c r="C13" s="1496" t="str">
        <f>IF($B$2="English",CW15,CV15)&amp;" "&amp;C6</f>
        <v>Summe Umsatz Produktgruppe 1</v>
      </c>
      <c r="D13" s="1497"/>
      <c r="E13" s="1498">
        <f t="shared" ref="E13:Q13" si="5">SUM(E7:E11)</f>
        <v>0</v>
      </c>
      <c r="F13" s="1498">
        <f t="shared" si="5"/>
        <v>0</v>
      </c>
      <c r="G13" s="1498">
        <f t="shared" si="5"/>
        <v>0</v>
      </c>
      <c r="H13" s="1498">
        <f t="shared" si="5"/>
        <v>0</v>
      </c>
      <c r="I13" s="1498">
        <f t="shared" si="5"/>
        <v>0</v>
      </c>
      <c r="J13" s="1498">
        <f t="shared" si="5"/>
        <v>0</v>
      </c>
      <c r="K13" s="1498">
        <f t="shared" si="5"/>
        <v>0</v>
      </c>
      <c r="L13" s="1498">
        <f t="shared" si="5"/>
        <v>0</v>
      </c>
      <c r="M13" s="1498">
        <f t="shared" si="5"/>
        <v>0</v>
      </c>
      <c r="N13" s="1498">
        <f t="shared" si="5"/>
        <v>0</v>
      </c>
      <c r="O13" s="1498">
        <f t="shared" si="5"/>
        <v>0</v>
      </c>
      <c r="P13" s="1498">
        <f t="shared" si="5"/>
        <v>0</v>
      </c>
      <c r="Q13" s="1499">
        <f t="shared" si="5"/>
        <v>0</v>
      </c>
      <c r="S13" s="1093"/>
      <c r="T13" s="288"/>
      <c r="U13" s="967" t="s">
        <v>514</v>
      </c>
      <c r="V13" s="955" t="str">
        <f>C19</f>
        <v>Umsätze aus Nebenrechnung Gruppe 2</v>
      </c>
      <c r="W13" s="912">
        <f>D14</f>
        <v>0.19</v>
      </c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8"/>
      <c r="AK13" s="288"/>
      <c r="AL13" s="288"/>
      <c r="AM13" s="288"/>
      <c r="CV13" s="323"/>
      <c r="CW13" s="323"/>
      <c r="CX13" s="855"/>
    </row>
    <row r="14" spans="1:117" x14ac:dyDescent="0.2">
      <c r="B14" s="314">
        <v>2</v>
      </c>
      <c r="C14" s="1493" t="s">
        <v>540</v>
      </c>
      <c r="D14" s="1494">
        <v>0.19</v>
      </c>
      <c r="E14" s="1169"/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68"/>
      <c r="S14" s="1093"/>
      <c r="U14" s="970" t="s">
        <v>548</v>
      </c>
      <c r="V14" s="871"/>
      <c r="W14" s="330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685">
        <f t="shared" ref="AJ14:AJ19" si="6">SUM(X14:AI14)</f>
        <v>0</v>
      </c>
      <c r="CV14" s="323" t="s">
        <v>540</v>
      </c>
      <c r="CW14" s="323" t="s">
        <v>541</v>
      </c>
      <c r="CX14" s="855"/>
    </row>
    <row r="15" spans="1:117" ht="15" x14ac:dyDescent="0.2">
      <c r="B15" s="913" t="s">
        <v>510</v>
      </c>
      <c r="C15" s="386"/>
      <c r="D15" s="1284" t="s">
        <v>728</v>
      </c>
      <c r="E15" s="1430"/>
      <c r="F15" s="1430"/>
      <c r="G15" s="1430"/>
      <c r="H15" s="1430"/>
      <c r="I15" s="1430"/>
      <c r="J15" s="1430"/>
      <c r="K15" s="1430"/>
      <c r="L15" s="1430"/>
      <c r="M15" s="1430"/>
      <c r="N15" s="1430"/>
      <c r="O15" s="1430"/>
      <c r="P15" s="1430"/>
      <c r="Q15" s="1416">
        <f>SUM(E15:P15)</f>
        <v>0</v>
      </c>
      <c r="S15" s="1556"/>
      <c r="U15" s="970" t="s">
        <v>549</v>
      </c>
      <c r="V15" s="871"/>
      <c r="W15" s="1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685">
        <f t="shared" si="6"/>
        <v>0</v>
      </c>
      <c r="CV15" s="323" t="s">
        <v>42</v>
      </c>
      <c r="CW15" s="323" t="s">
        <v>258</v>
      </c>
      <c r="CX15" s="855"/>
    </row>
    <row r="16" spans="1:117" x14ac:dyDescent="0.2">
      <c r="B16" s="913" t="s">
        <v>511</v>
      </c>
      <c r="C16" s="385"/>
      <c r="D16" s="1283" t="str">
        <f>D8</f>
        <v>Auswahl</v>
      </c>
      <c r="E16" s="1430"/>
      <c r="F16" s="1430"/>
      <c r="G16" s="1430"/>
      <c r="H16" s="1430"/>
      <c r="I16" s="1430"/>
      <c r="J16" s="1430"/>
      <c r="K16" s="1430"/>
      <c r="L16" s="1430"/>
      <c r="M16" s="1430"/>
      <c r="N16" s="1430"/>
      <c r="O16" s="1430"/>
      <c r="P16" s="1430"/>
      <c r="Q16" s="1416">
        <f>SUM(E16:P16)</f>
        <v>0</v>
      </c>
      <c r="S16" s="1556"/>
      <c r="U16" s="970" t="s">
        <v>550</v>
      </c>
      <c r="V16" s="871"/>
      <c r="W16" s="1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685">
        <f t="shared" si="6"/>
        <v>0</v>
      </c>
      <c r="CV16" s="323"/>
      <c r="CW16" s="323"/>
      <c r="CX16" s="855"/>
    </row>
    <row r="17" spans="1:117" x14ac:dyDescent="0.2">
      <c r="B17" s="913" t="s">
        <v>512</v>
      </c>
      <c r="C17" s="385"/>
      <c r="D17" s="1279"/>
      <c r="E17" s="1430"/>
      <c r="F17" s="1430"/>
      <c r="G17" s="1430"/>
      <c r="H17" s="1430"/>
      <c r="I17" s="1430"/>
      <c r="J17" s="1430"/>
      <c r="K17" s="1430"/>
      <c r="L17" s="1430"/>
      <c r="M17" s="1430"/>
      <c r="N17" s="1430"/>
      <c r="O17" s="1430"/>
      <c r="P17" s="1430"/>
      <c r="Q17" s="1416">
        <f>SUM(E17:P17)</f>
        <v>0</v>
      </c>
      <c r="S17" s="1556"/>
      <c r="U17" s="970" t="s">
        <v>551</v>
      </c>
      <c r="V17" s="871"/>
      <c r="W17" s="1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685">
        <f t="shared" si="6"/>
        <v>0</v>
      </c>
      <c r="CV17" s="323"/>
      <c r="CW17" s="323"/>
      <c r="CX17" s="855"/>
    </row>
    <row r="18" spans="1:117" x14ac:dyDescent="0.2">
      <c r="B18" s="913" t="s">
        <v>513</v>
      </c>
      <c r="C18" s="1392"/>
      <c r="E18" s="1430"/>
      <c r="F18" s="1430"/>
      <c r="G18" s="1430"/>
      <c r="H18" s="1430"/>
      <c r="I18" s="1430"/>
      <c r="J18" s="1430"/>
      <c r="K18" s="1430"/>
      <c r="L18" s="1430"/>
      <c r="M18" s="1430"/>
      <c r="N18" s="1430"/>
      <c r="O18" s="1430"/>
      <c r="P18" s="1430"/>
      <c r="Q18" s="1416">
        <f>SUM(E18:P18)</f>
        <v>0</v>
      </c>
      <c r="S18" s="1556"/>
      <c r="U18" s="970" t="s">
        <v>552</v>
      </c>
      <c r="V18" s="871"/>
      <c r="W18" s="1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685">
        <f t="shared" si="6"/>
        <v>0</v>
      </c>
      <c r="CV18" s="915"/>
      <c r="CW18" s="194"/>
      <c r="CX18" s="855"/>
    </row>
    <row r="19" spans="1:117" ht="15" thickBot="1" x14ac:dyDescent="0.25">
      <c r="B19" s="913" t="s">
        <v>514</v>
      </c>
      <c r="C19" s="946" t="str">
        <f>IF($B$2="English",CW9,CV9)</f>
        <v>Umsätze aus Nebenrechnung Gruppe 2</v>
      </c>
      <c r="D19" s="1395"/>
      <c r="E19" s="1172" t="str">
        <f>X19</f>
        <v/>
      </c>
      <c r="F19" s="1172" t="str">
        <f t="shared" ref="F19:P19" si="7">Y19</f>
        <v/>
      </c>
      <c r="G19" s="1172" t="str">
        <f t="shared" si="7"/>
        <v/>
      </c>
      <c r="H19" s="1172" t="str">
        <f t="shared" si="7"/>
        <v/>
      </c>
      <c r="I19" s="1172" t="str">
        <f t="shared" si="7"/>
        <v/>
      </c>
      <c r="J19" s="1172" t="str">
        <f t="shared" si="7"/>
        <v/>
      </c>
      <c r="K19" s="1172" t="str">
        <f t="shared" si="7"/>
        <v/>
      </c>
      <c r="L19" s="1172" t="str">
        <f t="shared" si="7"/>
        <v/>
      </c>
      <c r="M19" s="1172" t="str">
        <f t="shared" si="7"/>
        <v/>
      </c>
      <c r="N19" s="1172" t="str">
        <f t="shared" si="7"/>
        <v/>
      </c>
      <c r="O19" s="1172" t="str">
        <f t="shared" si="7"/>
        <v/>
      </c>
      <c r="P19" s="1172" t="str">
        <f t="shared" si="7"/>
        <v/>
      </c>
      <c r="Q19" s="1168">
        <f>SUM(E19:P19)</f>
        <v>0</v>
      </c>
      <c r="S19" s="1556"/>
      <c r="U19" s="968"/>
      <c r="V19" s="960" t="str">
        <f>IF($B$2="English",CW30,CV30)</f>
        <v>Summe Nebenrechnung Gruppe2</v>
      </c>
      <c r="W19" s="961"/>
      <c r="X19" s="958" t="str">
        <f>IF(SUM(X14:X18)=0,"",SUM(X14:X18))</f>
        <v/>
      </c>
      <c r="Y19" s="958" t="str">
        <f t="shared" ref="Y19:AI19" si="8">IF(SUM(Y14:Y18)=0,"",SUM(Y14:Y18))</f>
        <v/>
      </c>
      <c r="Z19" s="958" t="str">
        <f t="shared" si="8"/>
        <v/>
      </c>
      <c r="AA19" s="958" t="str">
        <f t="shared" si="8"/>
        <v/>
      </c>
      <c r="AB19" s="958" t="str">
        <f t="shared" si="8"/>
        <v/>
      </c>
      <c r="AC19" s="958" t="str">
        <f t="shared" si="8"/>
        <v/>
      </c>
      <c r="AD19" s="958" t="str">
        <f t="shared" si="8"/>
        <v/>
      </c>
      <c r="AE19" s="958" t="str">
        <f t="shared" si="8"/>
        <v/>
      </c>
      <c r="AF19" s="958" t="str">
        <f t="shared" si="8"/>
        <v/>
      </c>
      <c r="AG19" s="958" t="str">
        <f t="shared" si="8"/>
        <v/>
      </c>
      <c r="AH19" s="958" t="str">
        <f t="shared" si="8"/>
        <v/>
      </c>
      <c r="AI19" s="958" t="str">
        <f t="shared" si="8"/>
        <v/>
      </c>
      <c r="AJ19" s="963">
        <f t="shared" si="6"/>
        <v>0</v>
      </c>
      <c r="AK19" s="186"/>
      <c r="CV19" s="323"/>
      <c r="CW19" s="323"/>
      <c r="CX19" s="855"/>
    </row>
    <row r="20" spans="1:117" hidden="1" x14ac:dyDescent="0.2">
      <c r="A20" s="288"/>
      <c r="B20" s="964"/>
      <c r="C20" s="965" t="str">
        <f>C12</f>
        <v>auf Rechnung ausgewiesener MwSt-Betrag</v>
      </c>
      <c r="E20" s="1170" t="str">
        <f>IF(OR(SUM(E15:E19)=0,'Deckblatt Gruender|Data Founder'!$M$1=1),"",IF('Deckblatt Gruender|Data Founder'!$M$1=2,SUM(E15:E19)-SUM(E15:E19)/(1+$D14),SUM(E15:E19)*($D14)))</f>
        <v/>
      </c>
      <c r="F20" s="1170" t="str">
        <f>IF(OR(SUM(F15:F19)=0,'Deckblatt Gruender|Data Founder'!$M$1=1),"",IF('Deckblatt Gruender|Data Founder'!$M$1=2,SUM(F15:F19)-SUM(F15:F19)/(1+$D14),SUM(F15:F19)*($D14)))</f>
        <v/>
      </c>
      <c r="G20" s="1170" t="str">
        <f>IF(OR(SUM(G15:G19)=0,'Deckblatt Gruender|Data Founder'!$M$1=1),"",IF('Deckblatt Gruender|Data Founder'!$M$1=2,SUM(G15:G19)-SUM(G15:G19)/(1+$D14),SUM(G15:G19)*($D14)))</f>
        <v/>
      </c>
      <c r="H20" s="1170" t="str">
        <f>IF(OR(SUM(H15:H19)=0,'Deckblatt Gruender|Data Founder'!$M$1=1),"",IF('Deckblatt Gruender|Data Founder'!$M$1=2,SUM(H15:H19)-SUM(H15:H19)/(1+$D14),SUM(H15:H19)*($D14)))</f>
        <v/>
      </c>
      <c r="I20" s="1170" t="str">
        <f>IF(OR(SUM(I15:I19)=0,'Deckblatt Gruender|Data Founder'!$M$1=1),"",IF('Deckblatt Gruender|Data Founder'!$M$1=2,SUM(I15:I19)-SUM(I15:I19)/(1+$D14),SUM(I15:I19)*($D14)))</f>
        <v/>
      </c>
      <c r="J20" s="1170" t="str">
        <f>IF(OR(SUM(J15:J19)=0,'Deckblatt Gruender|Data Founder'!$M$1=1),"",IF('Deckblatt Gruender|Data Founder'!$M$1=2,SUM(J15:J19)-SUM(J15:J19)/(1+$D14),SUM(J15:J19)*($D14)))</f>
        <v/>
      </c>
      <c r="K20" s="1170" t="str">
        <f>IF(OR(SUM(K15:K19)=0,'Deckblatt Gruender|Data Founder'!$M$1=1),"",IF('Deckblatt Gruender|Data Founder'!$M$1=2,SUM(K15:K19)-SUM(K15:K19)/(1+$D14),SUM(K15:K19)*($D14)))</f>
        <v/>
      </c>
      <c r="L20" s="1170" t="str">
        <f>IF(OR(SUM(L15:L19)=0,'Deckblatt Gruender|Data Founder'!$M$1=1),"",IF('Deckblatt Gruender|Data Founder'!$M$1=2,SUM(L15:L19)-SUM(L15:L19)/(1+$D14),SUM(L15:L19)*($D14)))</f>
        <v/>
      </c>
      <c r="M20" s="1170" t="str">
        <f>IF(OR(SUM(M15:M19)=0,'Deckblatt Gruender|Data Founder'!$M$1=1),"",IF('Deckblatt Gruender|Data Founder'!$M$1=2,SUM(M15:M19)-SUM(M15:M19)/(1+$D14),SUM(M15:M19)*($D14)))</f>
        <v/>
      </c>
      <c r="N20" s="1170" t="str">
        <f>IF(OR(SUM(N15:N19)=0,'Deckblatt Gruender|Data Founder'!$M$1=1),"",IF('Deckblatt Gruender|Data Founder'!$M$1=2,SUM(N15:N19)-SUM(N15:N19)/(1+$D14),SUM(N15:N19)*($D14)))</f>
        <v/>
      </c>
      <c r="O20" s="1170" t="str">
        <f>IF(OR(SUM(O15:O19)=0,'Deckblatt Gruender|Data Founder'!$M$1=1),"",IF('Deckblatt Gruender|Data Founder'!$M$1=2,SUM(O15:O19)-SUM(O15:O19)/(1+$D14),SUM(O15:O19)*($D14)))</f>
        <v/>
      </c>
      <c r="P20" s="1170" t="str">
        <f>IF(OR(SUM(P15:P19)=0,'Deckblatt Gruender|Data Founder'!$M$1=1),"",IF('Deckblatt Gruender|Data Founder'!$M$1=2,SUM(P15:P19)-SUM(P15:P19)/(1+$D14),SUM(P15:P19)*($D14)))</f>
        <v/>
      </c>
      <c r="Q20" s="1171" t="str">
        <f>IF(SUM(E20:P20)=0,"",SUM(E20:P20))</f>
        <v/>
      </c>
      <c r="S20" s="1093"/>
      <c r="T20" s="288"/>
      <c r="U20" s="453"/>
      <c r="V20" s="950"/>
      <c r="W20" s="330"/>
      <c r="X20" s="951"/>
      <c r="Y20" s="951"/>
      <c r="Z20" s="951"/>
      <c r="AA20" s="951"/>
      <c r="AB20" s="951"/>
      <c r="AC20" s="951"/>
      <c r="AD20" s="951"/>
      <c r="AE20" s="951"/>
      <c r="AF20" s="951"/>
      <c r="AG20" s="951"/>
      <c r="AH20" s="951"/>
      <c r="AI20" s="951"/>
      <c r="AJ20" s="949"/>
      <c r="AK20" s="330"/>
      <c r="AL20" s="288"/>
      <c r="AM20" s="288"/>
      <c r="CV20" s="323" t="s">
        <v>562</v>
      </c>
      <c r="CW20" s="323" t="s">
        <v>636</v>
      </c>
      <c r="CX20" s="855"/>
    </row>
    <row r="21" spans="1:117" ht="15" thickBot="1" x14ac:dyDescent="0.25">
      <c r="A21" s="288"/>
      <c r="B21" s="1495"/>
      <c r="C21" s="1496" t="str">
        <f>IF($B$2="English",CW15,CV15)&amp;" "&amp;C14</f>
        <v>Summe Umsatz Produktgruppe 2</v>
      </c>
      <c r="D21" s="1497"/>
      <c r="E21" s="1498">
        <f t="shared" ref="E21:Q21" si="9">SUM(E15:E19)</f>
        <v>0</v>
      </c>
      <c r="F21" s="1498">
        <f t="shared" si="9"/>
        <v>0</v>
      </c>
      <c r="G21" s="1498">
        <f t="shared" si="9"/>
        <v>0</v>
      </c>
      <c r="H21" s="1498">
        <f t="shared" si="9"/>
        <v>0</v>
      </c>
      <c r="I21" s="1498">
        <f t="shared" si="9"/>
        <v>0</v>
      </c>
      <c r="J21" s="1498">
        <f t="shared" si="9"/>
        <v>0</v>
      </c>
      <c r="K21" s="1498">
        <f t="shared" si="9"/>
        <v>0</v>
      </c>
      <c r="L21" s="1498">
        <f t="shared" si="9"/>
        <v>0</v>
      </c>
      <c r="M21" s="1498">
        <f t="shared" si="9"/>
        <v>0</v>
      </c>
      <c r="N21" s="1498">
        <f t="shared" si="9"/>
        <v>0</v>
      </c>
      <c r="O21" s="1498">
        <f t="shared" si="9"/>
        <v>0</v>
      </c>
      <c r="P21" s="1498">
        <f t="shared" si="9"/>
        <v>0</v>
      </c>
      <c r="Q21" s="1499">
        <f t="shared" si="9"/>
        <v>0</v>
      </c>
      <c r="S21" s="1093"/>
      <c r="T21" s="288"/>
      <c r="U21" s="453"/>
      <c r="V21" s="950"/>
      <c r="W21" s="330"/>
      <c r="X21" s="951"/>
      <c r="Y21" s="951"/>
      <c r="Z21" s="951"/>
      <c r="AA21" s="951"/>
      <c r="AB21" s="951"/>
      <c r="AC21" s="951"/>
      <c r="AD21" s="951"/>
      <c r="AE21" s="951"/>
      <c r="AF21" s="951"/>
      <c r="AG21" s="951"/>
      <c r="AH21" s="951"/>
      <c r="AI21" s="951"/>
      <c r="AJ21" s="949"/>
      <c r="AK21" s="330"/>
      <c r="AL21" s="288"/>
      <c r="AM21" s="288"/>
      <c r="CV21" s="323"/>
      <c r="CW21" s="323"/>
      <c r="CX21" s="855"/>
    </row>
    <row r="22" spans="1:117" x14ac:dyDescent="0.2">
      <c r="B22" s="369">
        <v>3</v>
      </c>
      <c r="C22" s="1282" t="s">
        <v>227</v>
      </c>
      <c r="D22" s="1390">
        <v>7.0000000000000007E-2</v>
      </c>
      <c r="E22" s="1169"/>
      <c r="F22" s="1169"/>
      <c r="G22" s="1169"/>
      <c r="H22" s="1169"/>
      <c r="I22" s="1169"/>
      <c r="J22" s="1169"/>
      <c r="K22" s="1169"/>
      <c r="L22" s="1169"/>
      <c r="M22" s="1169"/>
      <c r="N22" s="1169"/>
      <c r="O22" s="1169"/>
      <c r="P22" s="1169"/>
      <c r="Q22" s="1167"/>
      <c r="U22" s="453"/>
      <c r="V22" s="950"/>
      <c r="W22" s="186"/>
      <c r="X22" s="951"/>
      <c r="Y22" s="951"/>
      <c r="Z22" s="951"/>
      <c r="AA22" s="951"/>
      <c r="AB22" s="951"/>
      <c r="AC22" s="951"/>
      <c r="AD22" s="951"/>
      <c r="AE22" s="951"/>
      <c r="AF22" s="951"/>
      <c r="AG22" s="951"/>
      <c r="AH22" s="951"/>
      <c r="AI22" s="951"/>
      <c r="AJ22" s="949"/>
      <c r="AK22" s="186"/>
      <c r="CV22" s="323" t="s">
        <v>227</v>
      </c>
      <c r="CW22" s="323" t="s">
        <v>635</v>
      </c>
      <c r="CX22" s="855"/>
    </row>
    <row r="23" spans="1:117" ht="15" x14ac:dyDescent="0.2">
      <c r="B23" s="913" t="s">
        <v>515</v>
      </c>
      <c r="C23" s="386"/>
      <c r="D23" s="1284" t="s">
        <v>728</v>
      </c>
      <c r="E23" s="1430"/>
      <c r="F23" s="1430"/>
      <c r="G23" s="1430"/>
      <c r="H23" s="1430"/>
      <c r="I23" s="1430"/>
      <c r="J23" s="1430"/>
      <c r="K23" s="1430"/>
      <c r="L23" s="1430"/>
      <c r="M23" s="1430"/>
      <c r="N23" s="1430"/>
      <c r="O23" s="1430"/>
      <c r="P23" s="1430"/>
      <c r="Q23" s="1416">
        <f>SUM(E23:P23)</f>
        <v>0</v>
      </c>
      <c r="S23" s="1556"/>
      <c r="U23" s="453"/>
      <c r="V23" s="950"/>
      <c r="W23" s="186"/>
      <c r="X23" s="951"/>
      <c r="Y23" s="951"/>
      <c r="Z23" s="951"/>
      <c r="AA23" s="951"/>
      <c r="AB23" s="951"/>
      <c r="AC23" s="951"/>
      <c r="AD23" s="951"/>
      <c r="AE23" s="951"/>
      <c r="AF23" s="951"/>
      <c r="AG23" s="951"/>
      <c r="AH23" s="951"/>
      <c r="AI23" s="951"/>
      <c r="AJ23" s="949"/>
      <c r="AK23" s="186"/>
      <c r="CV23" s="323"/>
      <c r="CW23" s="323"/>
      <c r="CX23" s="855"/>
    </row>
    <row r="24" spans="1:117" x14ac:dyDescent="0.2">
      <c r="B24" s="913" t="s">
        <v>516</v>
      </c>
      <c r="C24" s="385"/>
      <c r="D24" s="1283" t="str">
        <f>D8</f>
        <v>Auswahl</v>
      </c>
      <c r="E24" s="1430"/>
      <c r="F24" s="1430"/>
      <c r="G24" s="1430"/>
      <c r="H24" s="1430"/>
      <c r="I24" s="1430"/>
      <c r="J24" s="1430"/>
      <c r="K24" s="1430"/>
      <c r="L24" s="1430"/>
      <c r="M24" s="1430"/>
      <c r="N24" s="1430"/>
      <c r="O24" s="1430"/>
      <c r="P24" s="1430"/>
      <c r="Q24" s="1416">
        <f>SUM(E24:P24)</f>
        <v>0</v>
      </c>
      <c r="S24" s="1556"/>
      <c r="U24" s="453"/>
      <c r="V24" s="950"/>
      <c r="W24" s="186"/>
      <c r="X24" s="951"/>
      <c r="Y24" s="951"/>
      <c r="Z24" s="951"/>
      <c r="AA24" s="951"/>
      <c r="AB24" s="951"/>
      <c r="AC24" s="951"/>
      <c r="AD24" s="951"/>
      <c r="AE24" s="951"/>
      <c r="AF24" s="951"/>
      <c r="AG24" s="951"/>
      <c r="AH24" s="951"/>
      <c r="AI24" s="951"/>
      <c r="AJ24" s="949"/>
      <c r="AK24" s="186"/>
      <c r="CV24" s="323"/>
      <c r="CW24" s="323"/>
      <c r="CX24" s="855"/>
    </row>
    <row r="25" spans="1:117" hidden="1" x14ac:dyDescent="0.2">
      <c r="B25" s="964"/>
      <c r="C25" s="965" t="str">
        <f>C20</f>
        <v>auf Rechnung ausgewiesener MwSt-Betrag</v>
      </c>
      <c r="D25" s="1276"/>
      <c r="E25" s="1394" t="str">
        <f>IF(OR(SUM(E23:E24)=0,'Deckblatt Gruender|Data Founder'!$M$1=1),"",IF('Deckblatt Gruender|Data Founder'!$M$1=2,SUM(E23:E24)-SUM(E23:E24)/(1+$D22),SUM(E23:E24)*($D22)))</f>
        <v/>
      </c>
      <c r="F25" s="1394" t="str">
        <f>IF(OR(SUM(F23:F24)=0,'Deckblatt Gruender|Data Founder'!$M$1=1),"",IF('Deckblatt Gruender|Data Founder'!$M$1=2,SUM(F23:F24)-SUM(F23:F24)/(1+$D22),SUM(F23:F24)*($D22)))</f>
        <v/>
      </c>
      <c r="G25" s="1394" t="str">
        <f>IF(OR(SUM(G23:G24)=0,'Deckblatt Gruender|Data Founder'!$M$1=1),"",IF('Deckblatt Gruender|Data Founder'!$M$1=2,SUM(G23:G24)-SUM(G23:G24)/(1+$D22),SUM(G23:G24)*($D22)))</f>
        <v/>
      </c>
      <c r="H25" s="1394" t="str">
        <f>IF(OR(SUM(H23:H24)=0,'Deckblatt Gruender|Data Founder'!$M$1=1),"",IF('Deckblatt Gruender|Data Founder'!$M$1=2,SUM(H23:H24)-SUM(H23:H24)/(1+$D22),SUM(H23:H24)*($D22)))</f>
        <v/>
      </c>
      <c r="I25" s="1394" t="str">
        <f>IF(OR(SUM(I23:I24)=0,'Deckblatt Gruender|Data Founder'!$M$1=1),"",IF('Deckblatt Gruender|Data Founder'!$M$1=2,SUM(I23:I24)-SUM(I23:I24)/(1+$D22),SUM(I23:I24)*($D22)))</f>
        <v/>
      </c>
      <c r="J25" s="1394" t="str">
        <f>IF(OR(SUM(J23:J24)=0,'Deckblatt Gruender|Data Founder'!$M$1=1),"",IF('Deckblatt Gruender|Data Founder'!$M$1=2,SUM(J23:J24)-SUM(J23:J24)/(1+$D22),SUM(J23:J24)*($D22)))</f>
        <v/>
      </c>
      <c r="K25" s="1394" t="str">
        <f>IF(OR(SUM(K23:K24)=0,'Deckblatt Gruender|Data Founder'!$M$1=1),"",IF('Deckblatt Gruender|Data Founder'!$M$1=2,SUM(K23:K24)-SUM(K23:K24)/(1+$D22),SUM(K23:K24)*($D22)))</f>
        <v/>
      </c>
      <c r="L25" s="1394" t="str">
        <f>IF(OR(SUM(L23:L24)=0,'Deckblatt Gruender|Data Founder'!$M$1=1),"",IF('Deckblatt Gruender|Data Founder'!$M$1=2,SUM(L23:L24)-SUM(L23:L24)/(1+$D22),SUM(L23:L24)*($D22)))</f>
        <v/>
      </c>
      <c r="M25" s="1394" t="str">
        <f>IF(OR(SUM(M23:M24)=0,'Deckblatt Gruender|Data Founder'!$M$1=1),"",IF('Deckblatt Gruender|Data Founder'!$M$1=2,SUM(M23:M24)-SUM(M23:M24)/(1+$D22),SUM(M23:M24)*($D22)))</f>
        <v/>
      </c>
      <c r="N25" s="1394" t="str">
        <f>IF(OR(SUM(N23:N24)=0,'Deckblatt Gruender|Data Founder'!$M$1=1),"",IF('Deckblatt Gruender|Data Founder'!$M$1=2,SUM(N23:N24)-SUM(N23:N24)/(1+$D22),SUM(N23:N24)*($D22)))</f>
        <v/>
      </c>
      <c r="O25" s="1394" t="str">
        <f>IF(OR(SUM(O23:O24)=0,'Deckblatt Gruender|Data Founder'!$M$1=1),"",IF('Deckblatt Gruender|Data Founder'!$M$1=2,SUM(O23:O24)-SUM(O23:O24)/(1+$D22),SUM(O23:O24)*($D22)))</f>
        <v/>
      </c>
      <c r="P25" s="1394" t="str">
        <f>IF(OR(SUM(P23:P24)=0,'Deckblatt Gruender|Data Founder'!$M$1=1),"",IF('Deckblatt Gruender|Data Founder'!$M$1=2,SUM(P23:P24)-SUM(P23:P24)/(1+$D22),SUM(P23:P24)*($D22)))</f>
        <v/>
      </c>
      <c r="Q25" s="1171" t="str">
        <f>IF(SUM(E25:P25)=0,"",SUM(E25:P25))</f>
        <v/>
      </c>
      <c r="U25" s="453"/>
      <c r="V25" s="950"/>
      <c r="W25" s="186"/>
      <c r="X25" s="951"/>
      <c r="Y25" s="951"/>
      <c r="Z25" s="951"/>
      <c r="AA25" s="951"/>
      <c r="AB25" s="951"/>
      <c r="AC25" s="951"/>
      <c r="AD25" s="951"/>
      <c r="AE25" s="951"/>
      <c r="AF25" s="951"/>
      <c r="AG25" s="951"/>
      <c r="AH25" s="951"/>
      <c r="AI25" s="951"/>
      <c r="AJ25" s="949"/>
      <c r="AK25" s="186"/>
      <c r="CV25" s="323" t="s">
        <v>578</v>
      </c>
      <c r="CW25" s="323" t="s">
        <v>564</v>
      </c>
      <c r="CX25" s="864"/>
      <c r="CY25" s="865"/>
      <c r="CZ25" s="865"/>
      <c r="DA25" s="865"/>
      <c r="DB25" s="865"/>
      <c r="DC25" s="865"/>
      <c r="DD25" s="865"/>
      <c r="DE25" s="865"/>
      <c r="DF25" s="865"/>
      <c r="DG25" s="865"/>
      <c r="DH25" s="865"/>
      <c r="DI25" s="865"/>
      <c r="DJ25" s="865"/>
      <c r="DK25" s="865"/>
    </row>
    <row r="26" spans="1:117" ht="15" thickBot="1" x14ac:dyDescent="0.25">
      <c r="B26" s="1495"/>
      <c r="C26" s="1496" t="str">
        <f>IF($B$2="English",CW15,CV15)&amp;" "&amp;C22</f>
        <v>Summe Honorareinnahmen</v>
      </c>
      <c r="D26" s="1497"/>
      <c r="E26" s="1498">
        <f>SUM(E23:E24)</f>
        <v>0</v>
      </c>
      <c r="F26" s="1498">
        <f t="shared" ref="F26:P26" si="10">SUM(F23:F24)</f>
        <v>0</v>
      </c>
      <c r="G26" s="1498">
        <f t="shared" si="10"/>
        <v>0</v>
      </c>
      <c r="H26" s="1498">
        <f t="shared" si="10"/>
        <v>0</v>
      </c>
      <c r="I26" s="1498">
        <f t="shared" si="10"/>
        <v>0</v>
      </c>
      <c r="J26" s="1498">
        <f t="shared" si="10"/>
        <v>0</v>
      </c>
      <c r="K26" s="1498">
        <f t="shared" si="10"/>
        <v>0</v>
      </c>
      <c r="L26" s="1498">
        <f t="shared" si="10"/>
        <v>0</v>
      </c>
      <c r="M26" s="1498">
        <f t="shared" si="10"/>
        <v>0</v>
      </c>
      <c r="N26" s="1498">
        <f t="shared" si="10"/>
        <v>0</v>
      </c>
      <c r="O26" s="1498">
        <f t="shared" si="10"/>
        <v>0</v>
      </c>
      <c r="P26" s="1498">
        <f t="shared" si="10"/>
        <v>0</v>
      </c>
      <c r="Q26" s="1499">
        <f>SUM(E26:P26)</f>
        <v>0</v>
      </c>
      <c r="U26" s="453"/>
      <c r="V26" s="950"/>
      <c r="W26" s="186"/>
      <c r="X26" s="951"/>
      <c r="Y26" s="951"/>
      <c r="Z26" s="951"/>
      <c r="AA26" s="951"/>
      <c r="AB26" s="951"/>
      <c r="AC26" s="951"/>
      <c r="AD26" s="951"/>
      <c r="AE26" s="951"/>
      <c r="AF26" s="951"/>
      <c r="AG26" s="951"/>
      <c r="AH26" s="951"/>
      <c r="AI26" s="951"/>
      <c r="AJ26" s="949"/>
      <c r="AK26" s="186"/>
      <c r="CV26" s="323"/>
      <c r="CW26" s="323"/>
      <c r="CX26" s="855"/>
    </row>
    <row r="27" spans="1:117" s="389" customFormat="1" x14ac:dyDescent="0.2">
      <c r="A27" s="176"/>
      <c r="B27" s="369">
        <v>4</v>
      </c>
      <c r="C27" s="1282" t="s">
        <v>410</v>
      </c>
      <c r="D27" s="1390">
        <v>7.0000000000000007E-2</v>
      </c>
      <c r="E27" s="189"/>
      <c r="F27" s="1173"/>
      <c r="G27" s="1173"/>
      <c r="H27" s="1173"/>
      <c r="I27" s="1173"/>
      <c r="J27" s="1173"/>
      <c r="K27" s="1173"/>
      <c r="L27" s="1173"/>
      <c r="M27" s="1173"/>
      <c r="N27" s="1173"/>
      <c r="O27" s="1173"/>
      <c r="P27" s="1173"/>
      <c r="Q27" s="1168"/>
      <c r="R27" s="57"/>
      <c r="S27" s="1094"/>
      <c r="T27" s="176"/>
      <c r="U27" s="453"/>
      <c r="V27" s="950"/>
      <c r="W27" s="186"/>
      <c r="X27" s="951"/>
      <c r="Y27" s="951"/>
      <c r="Z27" s="951"/>
      <c r="AA27" s="951"/>
      <c r="AB27" s="951"/>
      <c r="AC27" s="951"/>
      <c r="AD27" s="951"/>
      <c r="AE27" s="951"/>
      <c r="AF27" s="951"/>
      <c r="AG27" s="951"/>
      <c r="AH27" s="951"/>
      <c r="AI27" s="951"/>
      <c r="AJ27" s="949"/>
      <c r="AK27" s="186"/>
      <c r="AL27" s="176"/>
      <c r="AM27" s="176"/>
      <c r="AN27" s="388"/>
      <c r="AO27" s="388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  <c r="AZ27" s="388"/>
      <c r="BA27" s="388"/>
      <c r="BB27" s="388"/>
      <c r="BC27" s="388"/>
      <c r="BD27" s="388"/>
      <c r="BE27" s="388"/>
      <c r="BF27" s="388"/>
      <c r="BG27" s="388"/>
      <c r="BH27" s="388"/>
      <c r="BI27" s="388"/>
      <c r="BJ27" s="388"/>
      <c r="BK27" s="388"/>
      <c r="BL27" s="388"/>
      <c r="BM27" s="388"/>
      <c r="BN27" s="388"/>
      <c r="BO27" s="388"/>
      <c r="BP27" s="388"/>
      <c r="BQ27" s="388"/>
      <c r="BR27" s="388"/>
      <c r="BS27" s="388"/>
      <c r="BT27" s="388"/>
      <c r="BU27" s="388"/>
      <c r="BV27" s="388"/>
      <c r="BW27" s="388"/>
      <c r="BX27" s="388"/>
      <c r="BY27" s="388"/>
      <c r="BZ27" s="388"/>
      <c r="CA27" s="388"/>
      <c r="CB27" s="388"/>
      <c r="CC27" s="388"/>
      <c r="CD27" s="388"/>
      <c r="CE27" s="388"/>
      <c r="CF27" s="388"/>
      <c r="CG27" s="388"/>
      <c r="CH27" s="388"/>
      <c r="CI27" s="388"/>
      <c r="CJ27" s="388"/>
      <c r="CK27" s="388"/>
      <c r="CL27" s="388"/>
      <c r="CM27" s="388"/>
      <c r="CN27" s="388"/>
      <c r="CO27" s="388"/>
      <c r="CP27" s="388"/>
      <c r="CQ27" s="388"/>
      <c r="CR27" s="388"/>
      <c r="CS27" s="388"/>
      <c r="CT27" s="388"/>
      <c r="CU27" s="388"/>
      <c r="CV27" s="323" t="s">
        <v>410</v>
      </c>
      <c r="CW27" s="323" t="s">
        <v>411</v>
      </c>
      <c r="CX27" s="864"/>
      <c r="CY27" s="865"/>
      <c r="CZ27" s="865"/>
      <c r="DA27" s="865"/>
      <c r="DB27" s="865"/>
      <c r="DC27" s="865"/>
      <c r="DD27" s="865"/>
      <c r="DE27" s="865"/>
      <c r="DF27" s="865"/>
      <c r="DG27" s="865"/>
      <c r="DH27" s="865"/>
      <c r="DI27" s="865"/>
      <c r="DJ27" s="865"/>
      <c r="DK27" s="865"/>
      <c r="DL27" s="839"/>
      <c r="DM27" s="839"/>
    </row>
    <row r="28" spans="1:117" ht="15" x14ac:dyDescent="0.2">
      <c r="B28" s="913" t="s">
        <v>517</v>
      </c>
      <c r="C28" s="386"/>
      <c r="D28" s="1284" t="s">
        <v>728</v>
      </c>
      <c r="E28" s="1430"/>
      <c r="F28" s="1430"/>
      <c r="G28" s="1430"/>
      <c r="H28" s="1430"/>
      <c r="I28" s="1430"/>
      <c r="J28" s="1430"/>
      <c r="K28" s="1430"/>
      <c r="L28" s="1430"/>
      <c r="M28" s="1430"/>
      <c r="N28" s="1430"/>
      <c r="O28" s="1430"/>
      <c r="P28" s="1430"/>
      <c r="Q28" s="1416">
        <f>SUM(E28:P28)</f>
        <v>0</v>
      </c>
      <c r="S28" s="1556"/>
      <c r="U28" s="453"/>
      <c r="V28" s="950"/>
      <c r="W28" s="186"/>
      <c r="X28" s="951"/>
      <c r="Y28" s="951"/>
      <c r="Z28" s="951"/>
      <c r="AA28" s="951"/>
      <c r="AB28" s="951"/>
      <c r="AC28" s="951"/>
      <c r="AD28" s="951"/>
      <c r="AE28" s="951"/>
      <c r="AF28" s="951"/>
      <c r="AG28" s="951"/>
      <c r="AH28" s="951"/>
      <c r="AI28" s="951"/>
      <c r="AJ28" s="949"/>
      <c r="AK28" s="186"/>
      <c r="CV28" s="323"/>
      <c r="CW28" s="323"/>
      <c r="CX28" s="855"/>
    </row>
    <row r="29" spans="1:117" x14ac:dyDescent="0.2">
      <c r="B29" s="913" t="s">
        <v>518</v>
      </c>
      <c r="C29" s="385"/>
      <c r="D29" s="1283" t="str">
        <f>D8</f>
        <v>Auswahl</v>
      </c>
      <c r="E29" s="1430"/>
      <c r="F29" s="1430"/>
      <c r="G29" s="1430"/>
      <c r="H29" s="1430"/>
      <c r="I29" s="1430"/>
      <c r="J29" s="1430"/>
      <c r="K29" s="1430"/>
      <c r="L29" s="1430"/>
      <c r="M29" s="1430"/>
      <c r="N29" s="1430"/>
      <c r="O29" s="1430"/>
      <c r="P29" s="1430"/>
      <c r="Q29" s="1416">
        <f>SUM(E29:P29)</f>
        <v>0</v>
      </c>
      <c r="S29" s="1556"/>
      <c r="U29" s="453"/>
      <c r="V29" s="950"/>
      <c r="W29" s="186"/>
      <c r="X29" s="951"/>
      <c r="Y29" s="951"/>
      <c r="Z29" s="951"/>
      <c r="AA29" s="951"/>
      <c r="AB29" s="951"/>
      <c r="AC29" s="951"/>
      <c r="AD29" s="951"/>
      <c r="AE29" s="951"/>
      <c r="AF29" s="951"/>
      <c r="AG29" s="951"/>
      <c r="AH29" s="951"/>
      <c r="AI29" s="951"/>
      <c r="AJ29" s="949"/>
      <c r="AK29" s="186"/>
      <c r="CV29" s="180" t="str">
        <f ca="1">"Nebenrechnung Umsätze/sonstige Einnahmen "&amp;'1 Pers.Ausgaben|Pers Expenses'!$C$4+1</f>
        <v>Nebenrechnung Umsätze/sonstige Einnahmen 2020</v>
      </c>
      <c r="CW29" s="180" t="str">
        <f ca="1">"Ancillary account for sales/other Income "&amp;'1 Pers.Ausgaben|Pers Expenses'!$C$4+1</f>
        <v>Ancillary account for sales/other Income 2020</v>
      </c>
      <c r="CX29" s="864"/>
    </row>
    <row r="30" spans="1:117" hidden="1" x14ac:dyDescent="0.2">
      <c r="A30" s="288"/>
      <c r="B30" s="964"/>
      <c r="C30" s="965" t="str">
        <f>C25</f>
        <v>auf Rechnung ausgewiesener MwSt-Betrag</v>
      </c>
      <c r="D30" s="1285"/>
      <c r="E30" s="1394" t="str">
        <f>IF(OR(SUM(E28:E29)=0,'Deckblatt Gruender|Data Founder'!$M$1=1),"",IF('Deckblatt Gruender|Data Founder'!$M$1=2,SUM(E28:E29)-SUM(E28:E29)/(1+$D27),SUM(E28:E29)*($D27)))</f>
        <v/>
      </c>
      <c r="F30" s="1394" t="str">
        <f>IF(OR(SUM(F28:F29)=0,'Deckblatt Gruender|Data Founder'!$M$1=1),"",IF('Deckblatt Gruender|Data Founder'!$M$1=2,SUM(F28:F29)-SUM(F28:F29)/(1+$D27),SUM(F28:F29)*($D27)))</f>
        <v/>
      </c>
      <c r="G30" s="1394" t="str">
        <f>IF(OR(SUM(G28:G29)=0,'Deckblatt Gruender|Data Founder'!$M$1=1),"",IF('Deckblatt Gruender|Data Founder'!$M$1=2,SUM(G28:G29)-SUM(G28:G29)/(1+$D27),SUM(G28:G29)*($D27)))</f>
        <v/>
      </c>
      <c r="H30" s="1394" t="str">
        <f>IF(OR(SUM(H28:H29)=0,'Deckblatt Gruender|Data Founder'!$M$1=1),"",IF('Deckblatt Gruender|Data Founder'!$M$1=2,SUM(H28:H29)-SUM(H28:H29)/(1+$D27),SUM(H28:H29)*($D27)))</f>
        <v/>
      </c>
      <c r="I30" s="1394" t="str">
        <f>IF(OR(SUM(I28:I29)=0,'Deckblatt Gruender|Data Founder'!$M$1=1),"",IF('Deckblatt Gruender|Data Founder'!$M$1=2,SUM(I28:I29)-SUM(I28:I29)/(1+$D27),SUM(I28:I29)*($D27)))</f>
        <v/>
      </c>
      <c r="J30" s="1394" t="str">
        <f>IF(OR(SUM(J28:J29)=0,'Deckblatt Gruender|Data Founder'!$M$1=1),"",IF('Deckblatt Gruender|Data Founder'!$M$1=2,SUM(J28:J29)-SUM(J28:J29)/(1+$D27),SUM(J28:J29)*($D27)))</f>
        <v/>
      </c>
      <c r="K30" s="1394" t="str">
        <f>IF(OR(SUM(K28:K29)=0,'Deckblatt Gruender|Data Founder'!$M$1=1),"",IF('Deckblatt Gruender|Data Founder'!$M$1=2,SUM(K28:K29)-SUM(K28:K29)/(1+$D27),SUM(K28:K29)*($D27)))</f>
        <v/>
      </c>
      <c r="L30" s="1394" t="str">
        <f>IF(OR(SUM(L28:L29)=0,'Deckblatt Gruender|Data Founder'!$M$1=1),"",IF('Deckblatt Gruender|Data Founder'!$M$1=2,SUM(L28:L29)-SUM(L28:L29)/(1+$D27),SUM(L28:L29)*($D27)))</f>
        <v/>
      </c>
      <c r="M30" s="1394" t="str">
        <f>IF(OR(SUM(M28:M29)=0,'Deckblatt Gruender|Data Founder'!$M$1=1),"",IF('Deckblatt Gruender|Data Founder'!$M$1=2,SUM(M28:M29)-SUM(M28:M29)/(1+$D27),SUM(M28:M29)*($D27)))</f>
        <v/>
      </c>
      <c r="N30" s="1394" t="str">
        <f>IF(OR(SUM(N28:N29)=0,'Deckblatt Gruender|Data Founder'!$M$1=1),"",IF('Deckblatt Gruender|Data Founder'!$M$1=2,SUM(N28:N29)-SUM(N28:N29)/(1+$D27),SUM(N28:N29)*($D27)))</f>
        <v/>
      </c>
      <c r="O30" s="1394" t="str">
        <f>IF(OR(SUM(O28:O29)=0,'Deckblatt Gruender|Data Founder'!$M$1=1),"",IF('Deckblatt Gruender|Data Founder'!$M$1=2,SUM(O28:O29)-SUM(O28:O29)/(1+$D27),SUM(O28:O29)*($D27)))</f>
        <v/>
      </c>
      <c r="P30" s="1394" t="str">
        <f>IF(OR(SUM(P28:P29)=0,'Deckblatt Gruender|Data Founder'!$M$1=1),"",IF('Deckblatt Gruender|Data Founder'!$M$1=2,SUM(P28:P29)-SUM(P28:P29)/(1+$D27),SUM(P28:P29)*($D27)))</f>
        <v/>
      </c>
      <c r="Q30" s="1171" t="str">
        <f>IF(SUM(E30:P30)=0,"",SUM(E30:P30))</f>
        <v/>
      </c>
      <c r="S30" s="1093"/>
      <c r="T30" s="288"/>
      <c r="U30" s="453"/>
      <c r="V30" s="950"/>
      <c r="W30" s="330"/>
      <c r="X30" s="951"/>
      <c r="Y30" s="951"/>
      <c r="Z30" s="951"/>
      <c r="AA30" s="951"/>
      <c r="AB30" s="951"/>
      <c r="AC30" s="951"/>
      <c r="AD30" s="951"/>
      <c r="AE30" s="951"/>
      <c r="AF30" s="951"/>
      <c r="AG30" s="951"/>
      <c r="AH30" s="951"/>
      <c r="AI30" s="951"/>
      <c r="AJ30" s="949"/>
      <c r="AK30" s="330"/>
      <c r="AL30" s="288"/>
      <c r="AM30" s="288"/>
      <c r="CV30" s="323" t="s">
        <v>558</v>
      </c>
      <c r="CW30" s="323" t="s">
        <v>559</v>
      </c>
      <c r="CX30" s="866"/>
    </row>
    <row r="31" spans="1:117" ht="15" thickBot="1" x14ac:dyDescent="0.25">
      <c r="B31" s="1495"/>
      <c r="C31" s="1496" t="str">
        <f>IF($B$2="English",CW15,CV15)&amp;" "&amp;C27</f>
        <v>Summe Sonstige Einnahmen</v>
      </c>
      <c r="D31" s="1497"/>
      <c r="E31" s="1498">
        <f>SUM(E28:E29)</f>
        <v>0</v>
      </c>
      <c r="F31" s="1498">
        <f t="shared" ref="F31:P31" si="11">SUM(F28:F29)</f>
        <v>0</v>
      </c>
      <c r="G31" s="1498">
        <f t="shared" si="11"/>
        <v>0</v>
      </c>
      <c r="H31" s="1498">
        <f t="shared" si="11"/>
        <v>0</v>
      </c>
      <c r="I31" s="1498">
        <f t="shared" si="11"/>
        <v>0</v>
      </c>
      <c r="J31" s="1498">
        <f t="shared" si="11"/>
        <v>0</v>
      </c>
      <c r="K31" s="1498">
        <f t="shared" si="11"/>
        <v>0</v>
      </c>
      <c r="L31" s="1498">
        <f t="shared" si="11"/>
        <v>0</v>
      </c>
      <c r="M31" s="1498">
        <f t="shared" si="11"/>
        <v>0</v>
      </c>
      <c r="N31" s="1498">
        <f t="shared" si="11"/>
        <v>0</v>
      </c>
      <c r="O31" s="1498">
        <f t="shared" si="11"/>
        <v>0</v>
      </c>
      <c r="P31" s="1498">
        <f t="shared" si="11"/>
        <v>0</v>
      </c>
      <c r="Q31" s="1499">
        <f>SUM(E31:P31)</f>
        <v>0</v>
      </c>
      <c r="U31" s="453"/>
      <c r="V31" s="950"/>
      <c r="W31" s="186"/>
      <c r="X31" s="951"/>
      <c r="Y31" s="951"/>
      <c r="Z31" s="951"/>
      <c r="AA31" s="951"/>
      <c r="AB31" s="951"/>
      <c r="AC31" s="951"/>
      <c r="AD31" s="951"/>
      <c r="AE31" s="951"/>
      <c r="AF31" s="951"/>
      <c r="AG31" s="951"/>
      <c r="AH31" s="951"/>
      <c r="AI31" s="951"/>
      <c r="AJ31" s="949"/>
      <c r="AK31" s="186"/>
      <c r="CV31" s="323" t="s">
        <v>554</v>
      </c>
      <c r="CW31" s="323" t="s">
        <v>557</v>
      </c>
      <c r="CX31" s="864"/>
      <c r="CY31" s="865"/>
      <c r="CZ31" s="865"/>
      <c r="DA31" s="865"/>
      <c r="DB31" s="865"/>
      <c r="DC31" s="865"/>
      <c r="DD31" s="865"/>
      <c r="DE31" s="865"/>
      <c r="DF31" s="865"/>
      <c r="DG31" s="865"/>
      <c r="DH31" s="865"/>
      <c r="DI31" s="865"/>
      <c r="DJ31" s="865"/>
      <c r="DK31" s="865"/>
    </row>
    <row r="32" spans="1:117" s="389" customFormat="1" x14ac:dyDescent="0.2">
      <c r="A32" s="371"/>
      <c r="B32" s="372"/>
      <c r="C32" s="1287" t="str">
        <f>IF('Deckblatt Gruender|Data Founder'!M1=1,"",C12)</f>
        <v>auf Rechnung ausgewiesener MwSt-Betrag</v>
      </c>
      <c r="D32" s="1288">
        <f>IF(C32="","",7%)</f>
        <v>7.0000000000000007E-2</v>
      </c>
      <c r="E32" s="1289">
        <f>IF('Deckblatt Gruender|Data Founder'!$M$1=1,"",IF(E12="",0,E12*IF($D6=$F$2,1,0))+IF(E20="",0,E20*IF($D14=$F$2,1,0))+IF(E25="",0,E25*IF($D22=$F$2,1,0))+IF(E30="",0,E30*IF($D27=$F$2,1,0)))</f>
        <v>0</v>
      </c>
      <c r="F32" s="1289">
        <f>IF('Deckblatt Gruender|Data Founder'!$M$1=1,"",IF(F12="",0,F12*IF($D6=$F$2,1,0))+IF(F20="",0,F20*IF($D14=$F$2,1,0))+IF(F25="",0,F25*IF($D22=$F$2,1,0))+IF(F30="",0,F30*IF($D27=$F$2,1,0)))</f>
        <v>0</v>
      </c>
      <c r="G32" s="1289">
        <f>IF('Deckblatt Gruender|Data Founder'!$M$1=1,"",IF(G12="",0,G12*IF($D6=$F$2,1,0))+IF(G20="",0,G20*IF($D14=$F$2,1,0))+IF(G25="",0,G25*IF($D22=$F$2,1,0))+IF(G30="",0,G30*IF($D27=$F$2,1,0)))</f>
        <v>0</v>
      </c>
      <c r="H32" s="1289">
        <f>IF('Deckblatt Gruender|Data Founder'!$M$1=1,"",IF(H12="",0,H12*IF($D6=$F$2,1,0))+IF(H20="",0,H20*IF($D14=$F$2,1,0))+IF(H25="",0,H25*IF($D22=$F$2,1,0))+IF(H30="",0,H30*IF($D27=$F$2,1,0)))</f>
        <v>0</v>
      </c>
      <c r="I32" s="1289">
        <f>IF('Deckblatt Gruender|Data Founder'!$M$1=1,"",IF(I12="",0,I12*IF($D6=$F$2,1,0))+IF(I20="",0,I20*IF($D14=$F$2,1,0))+IF(I25="",0,I25*IF($D22=$F$2,1,0))+IF(I30="",0,I30*IF($D27=$F$2,1,0)))</f>
        <v>0</v>
      </c>
      <c r="J32" s="1289">
        <f>IF('Deckblatt Gruender|Data Founder'!$M$1=1,"",IF(J12="",0,J12*IF($D6=$F$2,1,0))+IF(J20="",0,J20*IF($D14=$F$2,1,0))+IF(J25="",0,J25*IF($D22=$F$2,1,0))+IF(J30="",0,J30*IF($D27=$F$2,1,0)))</f>
        <v>0</v>
      </c>
      <c r="K32" s="1289">
        <f>IF('Deckblatt Gruender|Data Founder'!$M$1=1,"",IF(K12="",0,K12*IF($D6=$F$2,1,0))+IF(K20="",0,K20*IF($D14=$F$2,1,0))+IF(K25="",0,K25*IF($D22=$F$2,1,0))+IF(K30="",0,K30*IF($D27=$F$2,1,0)))</f>
        <v>0</v>
      </c>
      <c r="L32" s="1289">
        <f>IF('Deckblatt Gruender|Data Founder'!$M$1=1,"",IF(L12="",0,L12*IF($D6=$F$2,1,0))+IF(L20="",0,L20*IF($D14=$F$2,1,0))+IF(L25="",0,L25*IF($D22=$F$2,1,0))+IF(L30="",0,L30*IF($D27=$F$2,1,0)))</f>
        <v>0</v>
      </c>
      <c r="M32" s="1289">
        <f>IF('Deckblatt Gruender|Data Founder'!$M$1=1,"",IF(M12="",0,M12*IF($D6=$F$2,1,0))+IF(M20="",0,M20*IF($D14=$F$2,1,0))+IF(M25="",0,M25*IF($D22=$F$2,1,0))+IF(M30="",0,M30*IF($D27=$F$2,1,0)))</f>
        <v>0</v>
      </c>
      <c r="N32" s="1289">
        <f>IF('Deckblatt Gruender|Data Founder'!$M$1=1,"",IF(N12="",0,N12*IF($D6=$F$2,1,0))+IF(N20="",0,N20*IF($D14=$F$2,1,0))+IF(N25="",0,N25*IF($D22=$F$2,1,0))+IF(N30="",0,N30*IF($D27=$F$2,1,0)))</f>
        <v>0</v>
      </c>
      <c r="O32" s="1289">
        <f>IF('Deckblatt Gruender|Data Founder'!$M$1=1,"",IF(O12="",0,O12*IF($D6=$F$2,1,0))+IF(O20="",0,O20*IF($D14=$F$2,1,0))+IF(O25="",0,O25*IF($D22=$F$2,1,0))+IF(O30="",0,O30*IF($D27=$F$2,1,0)))</f>
        <v>0</v>
      </c>
      <c r="P32" s="1289">
        <f>IF('Deckblatt Gruender|Data Founder'!$M$1=1,"",IF(P12="",0,P12*IF($D6=$F$2,1,0))+IF(P20="",0,P20*IF($D14=$F$2,1,0))+IF(P25="",0,P25*IF($D22=$F$2,1,0))+IF(P30="",0,P30*IF($D27=$F$2,1,0)))</f>
        <v>0</v>
      </c>
      <c r="Q32" s="1278">
        <f>IF('Deckblatt Gruender|Data Founder'!$M$1=1,"",SUM(E32:P32))</f>
        <v>0</v>
      </c>
      <c r="R32" s="57"/>
      <c r="S32" s="1095"/>
      <c r="T32" s="371"/>
      <c r="U32" s="453"/>
      <c r="V32" s="950"/>
      <c r="W32" s="914"/>
      <c r="X32" s="951"/>
      <c r="Y32" s="951"/>
      <c r="Z32" s="951"/>
      <c r="AA32" s="951"/>
      <c r="AB32" s="951"/>
      <c r="AC32" s="951"/>
      <c r="AD32" s="951"/>
      <c r="AE32" s="951"/>
      <c r="AF32" s="951"/>
      <c r="AG32" s="951"/>
      <c r="AH32" s="951"/>
      <c r="AI32" s="951"/>
      <c r="AJ32" s="949"/>
      <c r="AK32" s="914"/>
      <c r="AL32" s="371"/>
      <c r="AM32" s="371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88"/>
      <c r="BB32" s="388"/>
      <c r="BC32" s="388"/>
      <c r="BD32" s="388"/>
      <c r="BE32" s="388"/>
      <c r="BF32" s="388"/>
      <c r="BG32" s="388"/>
      <c r="BH32" s="388"/>
      <c r="BI32" s="388"/>
      <c r="BJ32" s="388"/>
      <c r="BK32" s="388"/>
      <c r="BL32" s="388"/>
      <c r="BM32" s="388"/>
      <c r="BN32" s="388"/>
      <c r="BO32" s="388"/>
      <c r="BP32" s="388"/>
      <c r="BQ32" s="388"/>
      <c r="BR32" s="388"/>
      <c r="BS32" s="388"/>
      <c r="BT32" s="388"/>
      <c r="BU32" s="388"/>
      <c r="BV32" s="388"/>
      <c r="BW32" s="388"/>
      <c r="BX32" s="388"/>
      <c r="BY32" s="388"/>
      <c r="BZ32" s="388"/>
      <c r="CA32" s="388"/>
      <c r="CB32" s="388"/>
      <c r="CC32" s="388"/>
      <c r="CD32" s="388"/>
      <c r="CE32" s="388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  <c r="CR32" s="388"/>
      <c r="CS32" s="388"/>
      <c r="CT32" s="388"/>
      <c r="CU32" s="388"/>
      <c r="CV32" s="323" t="str">
        <f>IF($D$2="mit MwSt","im Umsatz enthaltene MwSt  ","nicht im Umsatz enthaltene MwSt ")  &amp;"( "&amp; $F$2*100 &amp; "%)"</f>
        <v>nicht im Umsatz enthaltene MwSt ( 7%)</v>
      </c>
      <c r="CW32" s="323" t="str">
        <f>IF($D$2="included VAT","applied VAT  ","not in Sales included VAT ")  &amp; "( "&amp;$F$2*100 &amp; "%)"</f>
        <v>not in Sales included VAT ( 7%)</v>
      </c>
      <c r="CX32" s="867"/>
      <c r="CY32" s="868"/>
      <c r="CZ32" s="868"/>
      <c r="DA32" s="868"/>
      <c r="DB32" s="868"/>
      <c r="DC32" s="868"/>
      <c r="DD32" s="868"/>
      <c r="DE32" s="868"/>
      <c r="DF32" s="868"/>
      <c r="DG32" s="868"/>
      <c r="DH32" s="868"/>
      <c r="DI32" s="868"/>
      <c r="DJ32" s="868"/>
      <c r="DK32" s="868"/>
      <c r="DL32" s="839"/>
      <c r="DM32" s="839"/>
    </row>
    <row r="33" spans="1:117" s="389" customFormat="1" ht="15" thickBot="1" x14ac:dyDescent="0.25">
      <c r="A33" s="371"/>
      <c r="B33" s="375"/>
      <c r="C33" s="1290" t="str">
        <f>IF('Deckblatt Gruender|Data Founder'!M1=1,"",C12)</f>
        <v>auf Rechnung ausgewiesener MwSt-Betrag</v>
      </c>
      <c r="D33" s="1291">
        <f>IF(C33="","",19%)</f>
        <v>0.19</v>
      </c>
      <c r="E33" s="1286">
        <f>IF('Deckblatt Gruender|Data Founder'!$M$1=1,"",IF(E12="",0,E12*IF($D6=$G$2,1,0))+IF(E20="",0,E20*IF($D14=$G$2,1,0))+IF(E25="",0,E25*IF($D22=$G$2,1,0))+IF(E30="",0,E30*IF($D27=$G$2,1,0)))</f>
        <v>0</v>
      </c>
      <c r="F33" s="1286">
        <f>IF('Deckblatt Gruender|Data Founder'!$M$1=1,"",IF(F12="",0,F12*IF($D6=$G$2,1,0))+IF(F20="",0,F20*IF($D14=$G$2,1,0))+IF(F25="",0,F25*IF($D22=$G$2,1,0))+IF(F30="",0,F30*IF($D27=$G$2,1,0)))</f>
        <v>0</v>
      </c>
      <c r="G33" s="1286">
        <f>IF('Deckblatt Gruender|Data Founder'!$M$1=1,"",IF(G12="",0,G12*IF($D6=$G$2,1,0))+IF(G20="",0,G20*IF($D14=$G$2,1,0))+IF(G25="",0,G25*IF($D22=$G$2,1,0))+IF(G30="",0,G30*IF($D27=$G$2,1,0)))</f>
        <v>0</v>
      </c>
      <c r="H33" s="1286">
        <f>IF('Deckblatt Gruender|Data Founder'!$M$1=1,"",IF(H12="",0,H12*IF($D6=$G$2,1,0))+IF(H20="",0,H20*IF($D14=$G$2,1,0))+IF(H25="",0,H25*IF($D22=$G$2,1,0))+IF(H30="",0,H30*IF($D27=$G$2,1,0)))</f>
        <v>0</v>
      </c>
      <c r="I33" s="1286">
        <f>IF('Deckblatt Gruender|Data Founder'!$M$1=1,"",IF(I12="",0,I12*IF($D6=$G$2,1,0))+IF(I20="",0,I20*IF($D14=$G$2,1,0))+IF(I25="",0,I25*IF($D22=$G$2,1,0))+IF(I30="",0,I30*IF($D27=$G$2,1,0)))</f>
        <v>0</v>
      </c>
      <c r="J33" s="1286">
        <f>IF('Deckblatt Gruender|Data Founder'!$M$1=1,"",IF(J12="",0,J12*IF($D6=$G$2,1,0))+IF(J20="",0,J20*IF($D14=$G$2,1,0))+IF(J25="",0,J25*IF($D22=$G$2,1,0))+IF(J30="",0,J30*IF($D27=$G$2,1,0)))</f>
        <v>0</v>
      </c>
      <c r="K33" s="1286">
        <f>IF('Deckblatt Gruender|Data Founder'!$M$1=1,"",IF(K12="",0,K12*IF($D6=$G$2,1,0))+IF(K20="",0,K20*IF($D14=$G$2,1,0))+IF(K25="",0,K25*IF($D22=$G$2,1,0))+IF(K30="",0,K30*IF($D27=$G$2,1,0)))</f>
        <v>0</v>
      </c>
      <c r="L33" s="1286">
        <f>IF('Deckblatt Gruender|Data Founder'!$M$1=1,"",IF(L12="",0,L12*IF($D6=$G$2,1,0))+IF(L20="",0,L20*IF($D14=$G$2,1,0))+IF(L25="",0,L25*IF($D22=$G$2,1,0))+IF(L30="",0,L30*IF($D27=$G$2,1,0)))</f>
        <v>0</v>
      </c>
      <c r="M33" s="1286">
        <f>IF('Deckblatt Gruender|Data Founder'!$M$1=1,"",IF(M12="",0,M12*IF($D6=$G$2,1,0))+IF(M20="",0,M20*IF($D14=$G$2,1,0))+IF(M25="",0,M25*IF($D22=$G$2,1,0))+IF(M30="",0,M30*IF($D27=$G$2,1,0)))</f>
        <v>0</v>
      </c>
      <c r="N33" s="1286">
        <f>IF('Deckblatt Gruender|Data Founder'!$M$1=1,"",IF(N12="",0,N12*IF($D6=$G$2,1,0))+IF(N20="",0,N20*IF($D14=$G$2,1,0))+IF(N25="",0,N25*IF($D22=$G$2,1,0))+IF(N30="",0,N30*IF($D27=$G$2,1,0)))</f>
        <v>0</v>
      </c>
      <c r="O33" s="1286">
        <f>IF('Deckblatt Gruender|Data Founder'!$M$1=1,"",IF(O12="",0,O12*IF($D6=$G$2,1,0))+IF(O20="",0,O20*IF($D14=$G$2,1,0))+IF(O25="",0,O25*IF($D22=$G$2,1,0))+IF(O30="",0,O30*IF($D27=$G$2,1,0)))</f>
        <v>0</v>
      </c>
      <c r="P33" s="1286">
        <f>IF('Deckblatt Gruender|Data Founder'!$M$1=1,"",IF(P12="",0,P12*IF($D6=$G$2,1,0))+IF(P20="",0,P20*IF($D14=$G$2,1,0))+IF(P25="",0,P25*IF($D22=$G$2,1,0))+IF(P30="",0,P30*IF($D27=$G$2,1,0)))</f>
        <v>0</v>
      </c>
      <c r="Q33" s="1292">
        <f>IF('Deckblatt Gruender|Data Founder'!$M$1=1,"",SUM(E33:P33))</f>
        <v>0</v>
      </c>
      <c r="R33" s="57"/>
      <c r="S33" s="1095"/>
      <c r="T33" s="371"/>
      <c r="U33" s="453"/>
      <c r="V33" s="950"/>
      <c r="W33" s="914"/>
      <c r="X33" s="951"/>
      <c r="Y33" s="951"/>
      <c r="Z33" s="951"/>
      <c r="AA33" s="951"/>
      <c r="AB33" s="951"/>
      <c r="AC33" s="951"/>
      <c r="AD33" s="951"/>
      <c r="AE33" s="951"/>
      <c r="AF33" s="951"/>
      <c r="AG33" s="951"/>
      <c r="AH33" s="951"/>
      <c r="AI33" s="951"/>
      <c r="AJ33" s="949"/>
      <c r="AK33" s="914"/>
      <c r="AL33" s="371"/>
      <c r="AM33" s="371"/>
      <c r="AN33" s="388"/>
      <c r="AO33" s="388"/>
      <c r="AP33" s="388"/>
      <c r="AQ33" s="388"/>
      <c r="AR33" s="388"/>
      <c r="AS33" s="388"/>
      <c r="AT33" s="388"/>
      <c r="AU33" s="388"/>
      <c r="AV33" s="388"/>
      <c r="AW33" s="388"/>
      <c r="AX33" s="388"/>
      <c r="AY33" s="388"/>
      <c r="AZ33" s="388"/>
      <c r="BA33" s="388"/>
      <c r="BB33" s="388"/>
      <c r="BC33" s="388"/>
      <c r="BD33" s="388"/>
      <c r="BE33" s="388"/>
      <c r="BF33" s="388"/>
      <c r="BG33" s="388"/>
      <c r="BH33" s="388"/>
      <c r="BI33" s="388"/>
      <c r="BJ33" s="388"/>
      <c r="BK33" s="388"/>
      <c r="BL33" s="388"/>
      <c r="BM33" s="388"/>
      <c r="BN33" s="388"/>
      <c r="BO33" s="388"/>
      <c r="BP33" s="388"/>
      <c r="BQ33" s="388"/>
      <c r="BR33" s="388"/>
      <c r="BS33" s="388"/>
      <c r="BT33" s="388"/>
      <c r="BU33" s="388"/>
      <c r="BV33" s="388"/>
      <c r="BW33" s="388"/>
      <c r="BX33" s="388"/>
      <c r="BY33" s="388"/>
      <c r="BZ33" s="388"/>
      <c r="CA33" s="388"/>
      <c r="CB33" s="388"/>
      <c r="CC33" s="388"/>
      <c r="CD33" s="388"/>
      <c r="CE33" s="388"/>
      <c r="CF33" s="388"/>
      <c r="CG33" s="388"/>
      <c r="CH33" s="388"/>
      <c r="CI33" s="388"/>
      <c r="CJ33" s="388"/>
      <c r="CK33" s="388"/>
      <c r="CL33" s="388"/>
      <c r="CM33" s="388"/>
      <c r="CN33" s="388"/>
      <c r="CO33" s="388"/>
      <c r="CP33" s="388"/>
      <c r="CQ33" s="388"/>
      <c r="CR33" s="388"/>
      <c r="CS33" s="388"/>
      <c r="CT33" s="388"/>
      <c r="CU33" s="388"/>
      <c r="CV33" s="323" t="str">
        <f>IF($D$2="mit MwSt","im Umsatz enthaltene MwSt ","nicht im Umsatz enthaltene MwSt  ") &amp; "("&amp;$G$2*100 &amp; "%)"</f>
        <v>nicht im Umsatz enthaltene MwSt  (19%)</v>
      </c>
      <c r="CW33" s="323" t="str">
        <f>IF($D$2="included VAT","applied VAT ","not in Sales included VAT ")&amp;"("&amp; $G$2*100 &amp; "%)"</f>
        <v>not in Sales included VAT (19%)</v>
      </c>
      <c r="CX33" s="867"/>
      <c r="CY33" s="868"/>
      <c r="CZ33" s="868"/>
      <c r="DA33" s="868"/>
      <c r="DB33" s="868"/>
      <c r="DC33" s="868"/>
      <c r="DD33" s="868"/>
      <c r="DE33" s="868"/>
      <c r="DF33" s="868"/>
      <c r="DG33" s="868"/>
      <c r="DH33" s="868"/>
      <c r="DI33" s="868"/>
      <c r="DJ33" s="868"/>
      <c r="DK33" s="868"/>
      <c r="DL33" s="839"/>
      <c r="DM33" s="839"/>
    </row>
    <row r="34" spans="1:117" ht="15" thickTop="1" x14ac:dyDescent="0.2">
      <c r="B34" s="377"/>
      <c r="C34" s="378" t="str">
        <f>IF($B$2="English",CW34,CV34)</f>
        <v>Gesamtumsätze</v>
      </c>
      <c r="D34" s="379"/>
      <c r="E34" s="1174">
        <f t="shared" ref="E34:P34" si="12">E13+E21+E26+E31</f>
        <v>0</v>
      </c>
      <c r="F34" s="1174">
        <f t="shared" si="12"/>
        <v>0</v>
      </c>
      <c r="G34" s="1174">
        <f t="shared" si="12"/>
        <v>0</v>
      </c>
      <c r="H34" s="1174">
        <f t="shared" si="12"/>
        <v>0</v>
      </c>
      <c r="I34" s="1174">
        <f t="shared" si="12"/>
        <v>0</v>
      </c>
      <c r="J34" s="1174">
        <f t="shared" si="12"/>
        <v>0</v>
      </c>
      <c r="K34" s="1174">
        <f t="shared" si="12"/>
        <v>0</v>
      </c>
      <c r="L34" s="1174">
        <f t="shared" si="12"/>
        <v>0</v>
      </c>
      <c r="M34" s="1174">
        <f t="shared" si="12"/>
        <v>0</v>
      </c>
      <c r="N34" s="1174">
        <f t="shared" si="12"/>
        <v>0</v>
      </c>
      <c r="O34" s="1174">
        <f t="shared" si="12"/>
        <v>0</v>
      </c>
      <c r="P34" s="1174">
        <f t="shared" si="12"/>
        <v>0</v>
      </c>
      <c r="Q34" s="1175">
        <f>SUM(E34:P34)</f>
        <v>0</v>
      </c>
      <c r="U34" s="453"/>
      <c r="V34" s="948"/>
      <c r="W34" s="914"/>
      <c r="X34" s="949"/>
      <c r="Y34" s="949"/>
      <c r="Z34" s="949"/>
      <c r="AA34" s="949"/>
      <c r="AB34" s="949"/>
      <c r="AC34" s="949"/>
      <c r="AD34" s="949"/>
      <c r="AE34" s="949"/>
      <c r="AF34" s="949"/>
      <c r="AG34" s="949"/>
      <c r="AH34" s="949"/>
      <c r="AI34" s="949"/>
      <c r="AJ34" s="949"/>
      <c r="AK34" s="186"/>
      <c r="CV34" s="915" t="s">
        <v>404</v>
      </c>
      <c r="CW34" s="917" t="s">
        <v>406</v>
      </c>
      <c r="CX34" s="853"/>
    </row>
    <row r="35" spans="1:117" ht="15" thickBot="1" x14ac:dyDescent="0.25">
      <c r="B35" s="380"/>
      <c r="C35" s="327" t="str">
        <f>IF($B$2="English",CW35,CV35)</f>
        <v>Gesamtumsätze akkumuliert</v>
      </c>
      <c r="D35" s="969"/>
      <c r="E35" s="1176">
        <f>E34</f>
        <v>0</v>
      </c>
      <c r="F35" s="1176">
        <f>E35+F34</f>
        <v>0</v>
      </c>
      <c r="G35" s="1176">
        <f t="shared" ref="G35:P35" si="13">F35+G34</f>
        <v>0</v>
      </c>
      <c r="H35" s="1176">
        <f t="shared" si="13"/>
        <v>0</v>
      </c>
      <c r="I35" s="1176">
        <f t="shared" si="13"/>
        <v>0</v>
      </c>
      <c r="J35" s="1176">
        <f t="shared" si="13"/>
        <v>0</v>
      </c>
      <c r="K35" s="1176">
        <f t="shared" si="13"/>
        <v>0</v>
      </c>
      <c r="L35" s="1176">
        <f t="shared" si="13"/>
        <v>0</v>
      </c>
      <c r="M35" s="1176">
        <f t="shared" si="13"/>
        <v>0</v>
      </c>
      <c r="N35" s="1176">
        <f t="shared" si="13"/>
        <v>0</v>
      </c>
      <c r="O35" s="1176">
        <f t="shared" si="13"/>
        <v>0</v>
      </c>
      <c r="P35" s="1176">
        <f t="shared" si="13"/>
        <v>0</v>
      </c>
      <c r="Q35" s="1177"/>
      <c r="U35" s="585"/>
      <c r="V35" s="950"/>
      <c r="W35" s="952"/>
      <c r="X35" s="953"/>
      <c r="Y35" s="953"/>
      <c r="Z35" s="953"/>
      <c r="AA35" s="953"/>
      <c r="AB35" s="953"/>
      <c r="AC35" s="953"/>
      <c r="AD35" s="953"/>
      <c r="AE35" s="953"/>
      <c r="AF35" s="953"/>
      <c r="AG35" s="953"/>
      <c r="AH35" s="953"/>
      <c r="AI35" s="953"/>
      <c r="AJ35" s="953"/>
      <c r="AK35" s="186"/>
      <c r="CV35" s="915" t="s">
        <v>405</v>
      </c>
      <c r="CW35" s="917" t="s">
        <v>407</v>
      </c>
      <c r="CX35" s="853"/>
    </row>
    <row r="36" spans="1:117" s="206" customFormat="1" ht="42" customHeight="1" x14ac:dyDescent="0.3">
      <c r="A36" s="176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57"/>
      <c r="S36" s="1094"/>
      <c r="U36" s="298" t="str">
        <f ca="1">IF($B$2="English",CW29,CV29)</f>
        <v>Nebenrechnung Umsätze/sonstige Einnahmen 2020</v>
      </c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  <c r="CV36" s="382" t="str">
        <f>"Summe "&amp;CV7</f>
        <v>Summe Umsatz Produktgruppe 1</v>
      </c>
      <c r="CW36" s="382" t="str">
        <f>"Sum "&amp;CW7</f>
        <v>Sum Sales Product Line 1</v>
      </c>
      <c r="CX36" s="854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96"/>
      <c r="DM36" s="396"/>
    </row>
    <row r="37" spans="1:117" s="183" customFormat="1" ht="30" thickBot="1" x14ac:dyDescent="0.4">
      <c r="B37" s="1293" t="str">
        <f ca="1">IF($C$4="English",CW37,CV37)</f>
        <v>2a-2 Umsätze, Honorare, Sonstige Einnahmen (ohne MwSt) für die Monate des Jahres 2020</v>
      </c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53"/>
      <c r="S37" s="1090"/>
      <c r="T37" s="37"/>
      <c r="U37" s="178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CV37" s="404" t="str">
        <f ca="1">"2a-2 Umsätze, Honorare, Sonstige Einnahmen (" &amp; 'Deckblatt Gruender|Data Founder'!$J$1 &amp; ") für die Monate des Jahres " &amp; '1 Pers.Ausgaben|Pers Expenses'!$C$4+1</f>
        <v>2a-2 Umsätze, Honorare, Sonstige Einnahmen (ohne MwSt) für die Monate des Jahres 2020</v>
      </c>
      <c r="CW37" s="404" t="str">
        <f ca="1">"2a-2 Sales, Fees, other Income (" &amp; 'Deckblatt Gruender|Data Founder'!$K$1 &amp; ") for the Months of the Year " &amp; '1 Pers.Ausgaben|Pers Expenses'!$C$4+1</f>
        <v>2a-2 Sales, Fees, other Income (w/o VAT) for the Months of the Year 2020</v>
      </c>
      <c r="CX37" s="297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177"/>
      <c r="DM37" s="177"/>
    </row>
    <row r="38" spans="1:117" s="176" customFormat="1" ht="15" thickBot="1" x14ac:dyDescent="0.25">
      <c r="A38" s="183"/>
      <c r="C38" s="363"/>
      <c r="D38" s="933"/>
      <c r="Q38" s="178"/>
      <c r="R38" s="55"/>
      <c r="S38" s="1090"/>
      <c r="T38" s="48"/>
      <c r="U38" s="58" t="s">
        <v>309</v>
      </c>
      <c r="V38" s="167" t="str">
        <f>C39</f>
        <v>Einnahmeart</v>
      </c>
      <c r="W38" s="167" t="str">
        <f>W4</f>
        <v>MwSt</v>
      </c>
      <c r="X38" s="365" t="str">
        <f t="shared" ref="X38:AJ38" si="14">E39</f>
        <v>Jan.</v>
      </c>
      <c r="Y38" s="365" t="str">
        <f t="shared" si="14"/>
        <v>Febr.</v>
      </c>
      <c r="Z38" s="365" t="str">
        <f t="shared" si="14"/>
        <v>März</v>
      </c>
      <c r="AA38" s="365" t="str">
        <f t="shared" si="14"/>
        <v>April</v>
      </c>
      <c r="AB38" s="365" t="str">
        <f t="shared" si="14"/>
        <v>Mai</v>
      </c>
      <c r="AC38" s="365" t="str">
        <f t="shared" si="14"/>
        <v>Juni</v>
      </c>
      <c r="AD38" s="365" t="str">
        <f t="shared" si="14"/>
        <v>Juli</v>
      </c>
      <c r="AE38" s="365" t="str">
        <f t="shared" si="14"/>
        <v>Aug.</v>
      </c>
      <c r="AF38" s="365" t="str">
        <f t="shared" si="14"/>
        <v>Sept.</v>
      </c>
      <c r="AG38" s="365" t="str">
        <f t="shared" si="14"/>
        <v>Okt.</v>
      </c>
      <c r="AH38" s="365" t="str">
        <f t="shared" si="14"/>
        <v>Nov.</v>
      </c>
      <c r="AI38" s="365" t="str">
        <f t="shared" si="14"/>
        <v>Dez.</v>
      </c>
      <c r="AJ38" s="366" t="str">
        <f t="shared" ca="1" si="14"/>
        <v>Jahr 2020</v>
      </c>
      <c r="CV38" s="180"/>
      <c r="CW38" s="180"/>
      <c r="CX38" s="863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177"/>
      <c r="DM38" s="177"/>
    </row>
    <row r="39" spans="1:117" s="60" customFormat="1" ht="15" thickBot="1" x14ac:dyDescent="0.25">
      <c r="A39" s="57"/>
      <c r="B39" s="58" t="s">
        <v>309</v>
      </c>
      <c r="C39" s="58" t="str">
        <f>IF(C38="English","Type of Income","Einnahmeart")</f>
        <v>Einnahmeart</v>
      </c>
      <c r="D39" s="167" t="str">
        <f>D5</f>
        <v>MwSt</v>
      </c>
      <c r="E39" s="365" t="str">
        <f>E5</f>
        <v>Jan.</v>
      </c>
      <c r="F39" s="365" t="str">
        <f t="shared" ref="F39:P39" si="15">F5</f>
        <v>Febr.</v>
      </c>
      <c r="G39" s="365" t="str">
        <f t="shared" si="15"/>
        <v>März</v>
      </c>
      <c r="H39" s="365" t="str">
        <f t="shared" si="15"/>
        <v>April</v>
      </c>
      <c r="I39" s="365" t="str">
        <f t="shared" si="15"/>
        <v>Mai</v>
      </c>
      <c r="J39" s="365" t="str">
        <f t="shared" si="15"/>
        <v>Juni</v>
      </c>
      <c r="K39" s="365" t="str">
        <f t="shared" si="15"/>
        <v>Juli</v>
      </c>
      <c r="L39" s="365" t="str">
        <f t="shared" si="15"/>
        <v>Aug.</v>
      </c>
      <c r="M39" s="365" t="str">
        <f t="shared" si="15"/>
        <v>Sept.</v>
      </c>
      <c r="N39" s="365" t="str">
        <f t="shared" si="15"/>
        <v>Okt.</v>
      </c>
      <c r="O39" s="365" t="str">
        <f t="shared" si="15"/>
        <v>Nov.</v>
      </c>
      <c r="P39" s="365" t="str">
        <f t="shared" si="15"/>
        <v>Dez.</v>
      </c>
      <c r="Q39" s="366" t="str">
        <f ca="1">IF($C$4="English",DL3,DL2)</f>
        <v>Jahr 2020</v>
      </c>
      <c r="R39" s="66"/>
      <c r="S39" s="1090"/>
      <c r="T39" s="57"/>
      <c r="U39" s="947" t="s">
        <v>509</v>
      </c>
      <c r="V39" s="954" t="str">
        <f>C45</f>
        <v>Umsätze aus Nebenrechnung Gruppe 1</v>
      </c>
      <c r="W39" s="912">
        <f>D46</f>
        <v>0.19</v>
      </c>
      <c r="X39" s="367"/>
      <c r="Y39" s="367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8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61" t="s">
        <v>51</v>
      </c>
      <c r="CW39" s="60" t="s">
        <v>408</v>
      </c>
      <c r="CX39" s="857"/>
      <c r="CY39" s="625"/>
      <c r="CZ39" s="625"/>
      <c r="DA39" s="625"/>
      <c r="DB39" s="625"/>
      <c r="DC39" s="625"/>
      <c r="DD39" s="625"/>
      <c r="DE39" s="625"/>
      <c r="DF39" s="625"/>
      <c r="DG39" s="625"/>
      <c r="DH39" s="625"/>
      <c r="DI39" s="625"/>
      <c r="DJ39" s="625"/>
      <c r="DK39" s="625"/>
      <c r="DL39" s="287"/>
      <c r="DM39" s="287"/>
    </row>
    <row r="40" spans="1:117" s="180" customFormat="1" x14ac:dyDescent="0.2">
      <c r="A40" s="186"/>
      <c r="B40" s="369">
        <v>1</v>
      </c>
      <c r="C40" s="1503" t="str">
        <f>C6</f>
        <v>Umsatz Produktgruppe 1</v>
      </c>
      <c r="D40" s="1504">
        <f>D6</f>
        <v>0.19</v>
      </c>
      <c r="E40" s="1166"/>
      <c r="F40" s="1166"/>
      <c r="G40" s="1166"/>
      <c r="H40" s="1166"/>
      <c r="I40" s="1166"/>
      <c r="J40" s="1166"/>
      <c r="K40" s="1166"/>
      <c r="L40" s="1166"/>
      <c r="M40" s="1166"/>
      <c r="N40" s="1166"/>
      <c r="O40" s="1166"/>
      <c r="P40" s="1166"/>
      <c r="Q40" s="1167"/>
      <c r="R40" s="57"/>
      <c r="S40" s="1092"/>
      <c r="T40" s="186"/>
      <c r="U40" s="970" t="s">
        <v>543</v>
      </c>
      <c r="V40" s="871"/>
      <c r="W40" s="186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685">
        <f t="shared" ref="AJ40:AJ45" si="16">SUM(X40:AI40)</f>
        <v>0</v>
      </c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915" t="s">
        <v>165</v>
      </c>
      <c r="CW40" s="194" t="s">
        <v>409</v>
      </c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387"/>
      <c r="DM40" s="387"/>
    </row>
    <row r="41" spans="1:117" x14ac:dyDescent="0.2">
      <c r="B41" s="913" t="s">
        <v>505</v>
      </c>
      <c r="C41" s="1405" t="str">
        <f>IF(C7="","",C7)</f>
        <v/>
      </c>
      <c r="D41" s="1397"/>
      <c r="E41" s="1430"/>
      <c r="F41" s="1430"/>
      <c r="G41" s="1430"/>
      <c r="H41" s="1430"/>
      <c r="I41" s="1430"/>
      <c r="J41" s="1430"/>
      <c r="K41" s="1430"/>
      <c r="L41" s="1430"/>
      <c r="M41" s="1430"/>
      <c r="N41" s="1430"/>
      <c r="O41" s="1430"/>
      <c r="P41" s="1430"/>
      <c r="Q41" s="1416">
        <f>SUM(E41:P41)</f>
        <v>0</v>
      </c>
      <c r="S41" s="1556"/>
      <c r="U41" s="970" t="s">
        <v>544</v>
      </c>
      <c r="V41" s="871"/>
      <c r="W41" s="186"/>
      <c r="X41" s="386"/>
      <c r="Y41" s="386"/>
      <c r="Z41" s="386"/>
      <c r="AA41" s="386"/>
      <c r="AB41" s="386"/>
      <c r="AC41" s="386"/>
      <c r="AD41" s="386"/>
      <c r="AE41" s="386"/>
      <c r="AF41" s="386"/>
      <c r="AG41" s="386"/>
      <c r="AH41" s="386"/>
      <c r="AI41" s="386"/>
      <c r="AJ41" s="685">
        <f t="shared" si="16"/>
        <v>0</v>
      </c>
      <c r="CV41" s="323" t="s">
        <v>538</v>
      </c>
      <c r="CW41" s="916" t="s">
        <v>539</v>
      </c>
      <c r="CX41" s="855"/>
    </row>
    <row r="42" spans="1:117" x14ac:dyDescent="0.2">
      <c r="B42" s="913" t="s">
        <v>506</v>
      </c>
      <c r="C42" s="1405" t="str">
        <f>IF(C8="","",C8)</f>
        <v/>
      </c>
      <c r="D42" s="1397"/>
      <c r="E42" s="1430"/>
      <c r="F42" s="1430"/>
      <c r="G42" s="1430"/>
      <c r="H42" s="1430"/>
      <c r="I42" s="1430"/>
      <c r="J42" s="1430"/>
      <c r="K42" s="1430"/>
      <c r="L42" s="1430"/>
      <c r="M42" s="1430"/>
      <c r="N42" s="1430"/>
      <c r="O42" s="1430"/>
      <c r="P42" s="1430"/>
      <c r="Q42" s="1416">
        <f>SUM(E42:P42)</f>
        <v>0</v>
      </c>
      <c r="S42" s="1556"/>
      <c r="U42" s="970" t="s">
        <v>545</v>
      </c>
      <c r="V42" s="871"/>
      <c r="W42" s="186"/>
      <c r="X42" s="386"/>
      <c r="Y42" s="386"/>
      <c r="Z42" s="386"/>
      <c r="AA42" s="386"/>
      <c r="AB42" s="386"/>
      <c r="AC42" s="386"/>
      <c r="AD42" s="386"/>
      <c r="AE42" s="386"/>
      <c r="AF42" s="386"/>
      <c r="AG42" s="386"/>
      <c r="AH42" s="386"/>
      <c r="AI42" s="386"/>
      <c r="AJ42" s="685">
        <f t="shared" si="16"/>
        <v>0</v>
      </c>
      <c r="CV42" s="323" t="s">
        <v>542</v>
      </c>
      <c r="CW42" s="916" t="s">
        <v>555</v>
      </c>
      <c r="CX42" s="855"/>
    </row>
    <row r="43" spans="1:117" x14ac:dyDescent="0.2">
      <c r="B43" s="913" t="s">
        <v>507</v>
      </c>
      <c r="C43" s="1405" t="str">
        <f>IF(C9="","",C9)</f>
        <v/>
      </c>
      <c r="D43" s="1397"/>
      <c r="E43" s="1430"/>
      <c r="F43" s="1430"/>
      <c r="G43" s="1430"/>
      <c r="H43" s="1430"/>
      <c r="I43" s="1430"/>
      <c r="J43" s="1430"/>
      <c r="K43" s="1430"/>
      <c r="L43" s="1430"/>
      <c r="M43" s="1430"/>
      <c r="N43" s="1430"/>
      <c r="O43" s="1430"/>
      <c r="P43" s="1430"/>
      <c r="Q43" s="1416">
        <f>SUM(E43:P43)</f>
        <v>0</v>
      </c>
      <c r="S43" s="1556"/>
      <c r="U43" s="970" t="s">
        <v>546</v>
      </c>
      <c r="V43" s="871"/>
      <c r="W43" s="186"/>
      <c r="X43" s="386"/>
      <c r="Y43" s="386"/>
      <c r="Z43" s="386"/>
      <c r="AA43" s="386"/>
      <c r="AB43" s="386"/>
      <c r="AC43" s="386"/>
      <c r="AD43" s="386"/>
      <c r="AE43" s="386"/>
      <c r="AF43" s="386"/>
      <c r="AG43" s="386"/>
      <c r="AH43" s="386"/>
      <c r="AI43" s="386"/>
      <c r="AJ43" s="685">
        <f t="shared" si="16"/>
        <v>0</v>
      </c>
      <c r="CV43" s="323" t="s">
        <v>553</v>
      </c>
      <c r="CW43" s="916" t="s">
        <v>556</v>
      </c>
      <c r="CX43" s="855"/>
    </row>
    <row r="44" spans="1:117" x14ac:dyDescent="0.2">
      <c r="B44" s="913" t="s">
        <v>508</v>
      </c>
      <c r="C44" s="1405" t="str">
        <f>IF(C10="","",C10)</f>
        <v/>
      </c>
      <c r="D44" s="1397"/>
      <c r="E44" s="1430"/>
      <c r="F44" s="1430"/>
      <c r="G44" s="1430"/>
      <c r="H44" s="1430"/>
      <c r="I44" s="1430"/>
      <c r="J44" s="1430"/>
      <c r="K44" s="1430"/>
      <c r="L44" s="1430"/>
      <c r="M44" s="1430"/>
      <c r="N44" s="1430"/>
      <c r="O44" s="1430"/>
      <c r="P44" s="1430"/>
      <c r="Q44" s="1416">
        <f>SUM(E44:P44)</f>
        <v>0</v>
      </c>
      <c r="S44" s="1556"/>
      <c r="U44" s="970" t="s">
        <v>547</v>
      </c>
      <c r="V44" s="871"/>
      <c r="W44" s="186"/>
      <c r="X44" s="386"/>
      <c r="Y44" s="386"/>
      <c r="Z44" s="386"/>
      <c r="AA44" s="386"/>
      <c r="AB44" s="386"/>
      <c r="AC44" s="386"/>
      <c r="AD44" s="386"/>
      <c r="AE44" s="386"/>
      <c r="AF44" s="386"/>
      <c r="AG44" s="386"/>
      <c r="AH44" s="386"/>
      <c r="AI44" s="386"/>
      <c r="AJ44" s="685">
        <f t="shared" si="16"/>
        <v>0</v>
      </c>
      <c r="CV44" s="323"/>
      <c r="CW44" s="916"/>
      <c r="CX44" s="855"/>
    </row>
    <row r="45" spans="1:117" x14ac:dyDescent="0.2">
      <c r="B45" s="913" t="s">
        <v>509</v>
      </c>
      <c r="C45" s="1036" t="str">
        <f>C11</f>
        <v>Umsätze aus Nebenrechnung Gruppe 1</v>
      </c>
      <c r="D45" s="1398"/>
      <c r="E45" s="1169" t="str">
        <f t="shared" ref="E45:P45" si="17">X45</f>
        <v/>
      </c>
      <c r="F45" s="1169" t="str">
        <f t="shared" si="17"/>
        <v/>
      </c>
      <c r="G45" s="1169" t="str">
        <f t="shared" si="17"/>
        <v/>
      </c>
      <c r="H45" s="1169" t="str">
        <f t="shared" si="17"/>
        <v/>
      </c>
      <c r="I45" s="1169" t="str">
        <f t="shared" si="17"/>
        <v/>
      </c>
      <c r="J45" s="1169" t="str">
        <f t="shared" si="17"/>
        <v/>
      </c>
      <c r="K45" s="1169" t="str">
        <f t="shared" si="17"/>
        <v/>
      </c>
      <c r="L45" s="1169" t="str">
        <f t="shared" si="17"/>
        <v/>
      </c>
      <c r="M45" s="1169" t="str">
        <f t="shared" si="17"/>
        <v/>
      </c>
      <c r="N45" s="1169" t="str">
        <f t="shared" si="17"/>
        <v/>
      </c>
      <c r="O45" s="1169" t="str">
        <f t="shared" si="17"/>
        <v/>
      </c>
      <c r="P45" s="1169" t="str">
        <f t="shared" si="17"/>
        <v/>
      </c>
      <c r="Q45" s="1168">
        <f>SUM(E45:P45)</f>
        <v>0</v>
      </c>
      <c r="S45" s="1556"/>
      <c r="U45" s="966"/>
      <c r="V45" s="956" t="str">
        <f>IF($B$2="English",CW65,CV65)</f>
        <v>Summe Nebenrechnung Gruppe1</v>
      </c>
      <c r="W45" s="957"/>
      <c r="X45" s="958" t="str">
        <f t="shared" ref="X45:AI45" si="18">IF(SUM(X40:X44)=0,"",SUM(X40:X44))</f>
        <v/>
      </c>
      <c r="Y45" s="958" t="str">
        <f t="shared" si="18"/>
        <v/>
      </c>
      <c r="Z45" s="958" t="str">
        <f t="shared" si="18"/>
        <v/>
      </c>
      <c r="AA45" s="958" t="str">
        <f t="shared" si="18"/>
        <v/>
      </c>
      <c r="AB45" s="958" t="str">
        <f t="shared" si="18"/>
        <v/>
      </c>
      <c r="AC45" s="958" t="str">
        <f t="shared" si="18"/>
        <v/>
      </c>
      <c r="AD45" s="958" t="str">
        <f t="shared" si="18"/>
        <v/>
      </c>
      <c r="AE45" s="958" t="str">
        <f t="shared" si="18"/>
        <v/>
      </c>
      <c r="AF45" s="958" t="str">
        <f t="shared" si="18"/>
        <v/>
      </c>
      <c r="AG45" s="958" t="str">
        <f t="shared" si="18"/>
        <v/>
      </c>
      <c r="AH45" s="958" t="str">
        <f t="shared" si="18"/>
        <v/>
      </c>
      <c r="AI45" s="958" t="str">
        <f t="shared" si="18"/>
        <v/>
      </c>
      <c r="AJ45" s="959">
        <f t="shared" si="16"/>
        <v>0</v>
      </c>
      <c r="CV45" s="323"/>
      <c r="CW45" s="916"/>
      <c r="CX45" s="855"/>
    </row>
    <row r="46" spans="1:117" hidden="1" x14ac:dyDescent="0.2">
      <c r="A46" s="288"/>
      <c r="B46" s="964"/>
      <c r="C46" s="965" t="str">
        <f>C12</f>
        <v>auf Rechnung ausgewiesener MwSt-Betrag</v>
      </c>
      <c r="D46" s="983">
        <f>D6</f>
        <v>0.19</v>
      </c>
      <c r="E46" s="1170" t="str">
        <f>IF(OR(SUM(E41:E45)=0,'Deckblatt Gruender|Data Founder'!$M$1=1),"",IF('Deckblatt Gruender|Data Founder'!$M$1=2,SUM(E41:E45)-SUM(E41:E45)/(1+$D46),SUM(E41:E45)*($D46)))</f>
        <v/>
      </c>
      <c r="F46" s="1170" t="str">
        <f>IF(OR(SUM(F41:F45)=0,'Deckblatt Gruender|Data Founder'!$M$1=1),"",IF('Deckblatt Gruender|Data Founder'!$M$1=2,SUM(F41:F45)-SUM(F41:F45)/(1+$D46),SUM(F41:F45)*($D46)))</f>
        <v/>
      </c>
      <c r="G46" s="1170" t="str">
        <f>IF(OR(SUM(G41:G45)=0,'Deckblatt Gruender|Data Founder'!$M$1=1),"",IF('Deckblatt Gruender|Data Founder'!$M$1=2,SUM(G41:G45)-SUM(G41:G45)/(1+$D46),SUM(G41:G45)*($D46)))</f>
        <v/>
      </c>
      <c r="H46" s="1170" t="str">
        <f>IF(OR(SUM(H41:H45)=0,'Deckblatt Gruender|Data Founder'!$M$1=1),"",IF('Deckblatt Gruender|Data Founder'!$M$1=2,SUM(H41:H45)-SUM(H41:H45)/(1+$D46),SUM(H41:H45)*($D46)))</f>
        <v/>
      </c>
      <c r="I46" s="1170" t="str">
        <f>IF(OR(SUM(I41:I45)=0,'Deckblatt Gruender|Data Founder'!$M$1=1),"",IF('Deckblatt Gruender|Data Founder'!$M$1=2,SUM(I41:I45)-SUM(I41:I45)/(1+$D46),SUM(I41:I45)*($D46)))</f>
        <v/>
      </c>
      <c r="J46" s="1170" t="str">
        <f>IF(OR(SUM(J41:J45)=0,'Deckblatt Gruender|Data Founder'!$M$1=1),"",IF('Deckblatt Gruender|Data Founder'!$M$1=2,SUM(J41:J45)-SUM(J41:J45)/(1+$D46),SUM(J41:J45)*($D46)))</f>
        <v/>
      </c>
      <c r="K46" s="1170" t="str">
        <f>IF(OR(SUM(K41:K45)=0,'Deckblatt Gruender|Data Founder'!$M$1=1),"",IF('Deckblatt Gruender|Data Founder'!$M$1=2,SUM(K41:K45)-SUM(K41:K45)/(1+$D46),SUM(K41:K45)*($D46)))</f>
        <v/>
      </c>
      <c r="L46" s="1170" t="str">
        <f>IF(OR(SUM(L41:L45)=0,'Deckblatt Gruender|Data Founder'!$M$1=1),"",IF('Deckblatt Gruender|Data Founder'!$M$1=2,SUM(L41:L45)-SUM(L41:L45)/(1+$D46),SUM(L41:L45)*($D46)))</f>
        <v/>
      </c>
      <c r="M46" s="1170" t="str">
        <f>IF(OR(SUM(M41:M45)=0,'Deckblatt Gruender|Data Founder'!$M$1=1),"",IF('Deckblatt Gruender|Data Founder'!$M$1=2,SUM(M41:M45)-SUM(M41:M45)/(1+$D46),SUM(M41:M45)*($D46)))</f>
        <v/>
      </c>
      <c r="N46" s="1170" t="str">
        <f>IF(OR(SUM(N41:N45)=0,'Deckblatt Gruender|Data Founder'!$M$1=1),"",IF('Deckblatt Gruender|Data Founder'!$M$1=2,SUM(N41:N45)-SUM(N41:N45)/(1+$D46),SUM(N41:N45)*($D46)))</f>
        <v/>
      </c>
      <c r="O46" s="1170" t="str">
        <f>IF(OR(SUM(O41:O45)=0,'Deckblatt Gruender|Data Founder'!$M$1=1),"",IF('Deckblatt Gruender|Data Founder'!$M$1=2,SUM(O41:O45)-SUM(O41:O45)/(1+$D46),SUM(O41:O45)*($D46)))</f>
        <v/>
      </c>
      <c r="P46" s="1170" t="str">
        <f>IF(OR(SUM(P41:P45)=0,'Deckblatt Gruender|Data Founder'!$M$1=1),"",IF('Deckblatt Gruender|Data Founder'!$M$1=2,SUM(P41:P45)-SUM(P41:P45)/(1+$D46),SUM(P41:P45)*($D46)))</f>
        <v/>
      </c>
      <c r="Q46" s="1171" t="str">
        <f>IF(SUM(E46:P46)=0,"",SUM(E46:P46))</f>
        <v/>
      </c>
      <c r="S46" s="1093"/>
      <c r="T46" s="288"/>
      <c r="AK46" s="288"/>
      <c r="AL46" s="288"/>
      <c r="AM46" s="288"/>
      <c r="CV46" s="323"/>
      <c r="CW46" s="323"/>
      <c r="CX46" s="855"/>
    </row>
    <row r="47" spans="1:117" ht="15" thickBot="1" x14ac:dyDescent="0.25">
      <c r="A47" s="288"/>
      <c r="B47" s="1495"/>
      <c r="C47" s="1496" t="str">
        <f>C13</f>
        <v>Summe Umsatz Produktgruppe 1</v>
      </c>
      <c r="D47" s="1497"/>
      <c r="E47" s="1498">
        <f t="shared" ref="E47:Q47" si="19">SUM(E41:E45)</f>
        <v>0</v>
      </c>
      <c r="F47" s="1498">
        <f t="shared" si="19"/>
        <v>0</v>
      </c>
      <c r="G47" s="1498">
        <f t="shared" si="19"/>
        <v>0</v>
      </c>
      <c r="H47" s="1498">
        <f t="shared" si="19"/>
        <v>0</v>
      </c>
      <c r="I47" s="1498">
        <f t="shared" si="19"/>
        <v>0</v>
      </c>
      <c r="J47" s="1498">
        <f t="shared" si="19"/>
        <v>0</v>
      </c>
      <c r="K47" s="1498">
        <f t="shared" si="19"/>
        <v>0</v>
      </c>
      <c r="L47" s="1498">
        <f t="shared" si="19"/>
        <v>0</v>
      </c>
      <c r="M47" s="1498">
        <f t="shared" si="19"/>
        <v>0</v>
      </c>
      <c r="N47" s="1498">
        <f t="shared" si="19"/>
        <v>0</v>
      </c>
      <c r="O47" s="1498">
        <f t="shared" si="19"/>
        <v>0</v>
      </c>
      <c r="P47" s="1498">
        <f t="shared" si="19"/>
        <v>0</v>
      </c>
      <c r="Q47" s="1499">
        <f t="shared" si="19"/>
        <v>0</v>
      </c>
      <c r="S47" s="1093"/>
      <c r="T47" s="288"/>
      <c r="U47" s="967" t="s">
        <v>514</v>
      </c>
      <c r="V47" s="955" t="str">
        <f>C53</f>
        <v>Umsätze aus Nebenrechnung Gruppe 2</v>
      </c>
      <c r="W47" s="912">
        <f>D54</f>
        <v>0.19</v>
      </c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8"/>
      <c r="AK47" s="288"/>
      <c r="AL47" s="288"/>
      <c r="AM47" s="288"/>
      <c r="CV47" s="323"/>
      <c r="CW47" s="323"/>
      <c r="CX47" s="855"/>
    </row>
    <row r="48" spans="1:117" x14ac:dyDescent="0.2">
      <c r="B48" s="314">
        <v>2</v>
      </c>
      <c r="C48" s="1503" t="str">
        <f>C14</f>
        <v>Umsatz Produktgruppe 2</v>
      </c>
      <c r="D48" s="1504">
        <f>D14</f>
        <v>0.19</v>
      </c>
      <c r="E48" s="1169"/>
      <c r="F48" s="1169"/>
      <c r="G48" s="1169"/>
      <c r="H48" s="1169"/>
      <c r="I48" s="1169"/>
      <c r="J48" s="1169"/>
      <c r="K48" s="1169"/>
      <c r="L48" s="1169"/>
      <c r="M48" s="1169"/>
      <c r="N48" s="1169"/>
      <c r="O48" s="1169"/>
      <c r="P48" s="1169"/>
      <c r="Q48" s="1168"/>
      <c r="S48" s="1093"/>
      <c r="U48" s="970" t="s">
        <v>548</v>
      </c>
      <c r="V48" s="871"/>
      <c r="W48" s="330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685">
        <f t="shared" ref="AJ48:AJ53" si="20">SUM(X48:AI48)</f>
        <v>0</v>
      </c>
      <c r="CV48" s="323" t="s">
        <v>540</v>
      </c>
      <c r="CW48" s="323" t="s">
        <v>541</v>
      </c>
      <c r="CX48" s="855"/>
    </row>
    <row r="49" spans="1:117" x14ac:dyDescent="0.2">
      <c r="B49" s="913" t="s">
        <v>510</v>
      </c>
      <c r="C49" s="1405" t="str">
        <f t="shared" ref="C49:C50" si="21">IF(C15="","",C15)</f>
        <v/>
      </c>
      <c r="D49" s="1399"/>
      <c r="E49" s="1430"/>
      <c r="F49" s="1430"/>
      <c r="G49" s="1430"/>
      <c r="H49" s="1430"/>
      <c r="I49" s="1430"/>
      <c r="J49" s="1430"/>
      <c r="K49" s="1430"/>
      <c r="L49" s="1430"/>
      <c r="M49" s="1430"/>
      <c r="N49" s="1430"/>
      <c r="O49" s="1430"/>
      <c r="P49" s="1430"/>
      <c r="Q49" s="1416">
        <f>SUM(E49:P49)</f>
        <v>0</v>
      </c>
      <c r="S49" s="1556"/>
      <c r="U49" s="970" t="s">
        <v>549</v>
      </c>
      <c r="V49" s="871"/>
      <c r="W49" s="186"/>
      <c r="X49" s="386"/>
      <c r="Y49" s="386"/>
      <c r="Z49" s="386"/>
      <c r="AA49" s="386"/>
      <c r="AB49" s="386"/>
      <c r="AC49" s="386"/>
      <c r="AD49" s="386"/>
      <c r="AE49" s="386"/>
      <c r="AF49" s="386"/>
      <c r="AG49" s="386"/>
      <c r="AH49" s="386"/>
      <c r="AI49" s="386"/>
      <c r="AJ49" s="685">
        <f t="shared" si="20"/>
        <v>0</v>
      </c>
      <c r="CV49" s="323" t="s">
        <v>560</v>
      </c>
      <c r="CW49" s="323" t="s">
        <v>561</v>
      </c>
      <c r="CX49" s="855"/>
    </row>
    <row r="50" spans="1:117" x14ac:dyDescent="0.2">
      <c r="B50" s="913" t="s">
        <v>511</v>
      </c>
      <c r="C50" s="1405" t="str">
        <f t="shared" si="21"/>
        <v/>
      </c>
      <c r="D50" s="1397"/>
      <c r="E50" s="1430"/>
      <c r="F50" s="1430"/>
      <c r="G50" s="1430"/>
      <c r="H50" s="1430"/>
      <c r="I50" s="1430"/>
      <c r="J50" s="1430"/>
      <c r="K50" s="1430"/>
      <c r="L50" s="1430"/>
      <c r="M50" s="1430"/>
      <c r="N50" s="1430"/>
      <c r="O50" s="1430"/>
      <c r="P50" s="1430"/>
      <c r="Q50" s="1416">
        <f>SUM(E50:P50)</f>
        <v>0</v>
      </c>
      <c r="S50" s="1556"/>
      <c r="U50" s="970" t="s">
        <v>550</v>
      </c>
      <c r="V50" s="871"/>
      <c r="W50" s="186"/>
      <c r="X50" s="386"/>
      <c r="Y50" s="386"/>
      <c r="Z50" s="386"/>
      <c r="AA50" s="386"/>
      <c r="AB50" s="386"/>
      <c r="AC50" s="386"/>
      <c r="AD50" s="386"/>
      <c r="AE50" s="386"/>
      <c r="AF50" s="386"/>
      <c r="AG50" s="386"/>
      <c r="AH50" s="386"/>
      <c r="AI50" s="386"/>
      <c r="AJ50" s="685">
        <f t="shared" si="20"/>
        <v>0</v>
      </c>
      <c r="CV50" s="323"/>
      <c r="CW50" s="323"/>
      <c r="CX50" s="855"/>
    </row>
    <row r="51" spans="1:117" x14ac:dyDescent="0.2">
      <c r="B51" s="913" t="s">
        <v>512</v>
      </c>
      <c r="C51" s="1405" t="str">
        <f>IF(C17="","",C17)</f>
        <v/>
      </c>
      <c r="D51" s="1397"/>
      <c r="E51" s="1430"/>
      <c r="F51" s="1430"/>
      <c r="G51" s="1430"/>
      <c r="H51" s="1430"/>
      <c r="I51" s="1430"/>
      <c r="J51" s="1430"/>
      <c r="K51" s="1430"/>
      <c r="L51" s="1430"/>
      <c r="M51" s="1430"/>
      <c r="N51" s="1430"/>
      <c r="O51" s="1430"/>
      <c r="P51" s="1430"/>
      <c r="Q51" s="1416">
        <f>SUM(E51:P51)</f>
        <v>0</v>
      </c>
      <c r="S51" s="1556"/>
      <c r="U51" s="970" t="s">
        <v>551</v>
      </c>
      <c r="V51" s="871"/>
      <c r="W51" s="1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685">
        <f t="shared" si="20"/>
        <v>0</v>
      </c>
      <c r="CV51" s="323"/>
      <c r="CW51" s="323"/>
      <c r="CX51" s="855"/>
    </row>
    <row r="52" spans="1:117" x14ac:dyDescent="0.2">
      <c r="B52" s="913" t="s">
        <v>513</v>
      </c>
      <c r="C52" s="1405" t="str">
        <f>IF(C18="","",C18)</f>
        <v/>
      </c>
      <c r="D52" s="1397"/>
      <c r="E52" s="1430"/>
      <c r="F52" s="1430"/>
      <c r="G52" s="1430"/>
      <c r="H52" s="1430"/>
      <c r="I52" s="1430"/>
      <c r="J52" s="1430"/>
      <c r="K52" s="1430"/>
      <c r="L52" s="1430"/>
      <c r="M52" s="1430"/>
      <c r="N52" s="1430"/>
      <c r="O52" s="1430"/>
      <c r="P52" s="1430"/>
      <c r="Q52" s="1416">
        <f>SUM(E52:P52)</f>
        <v>0</v>
      </c>
      <c r="S52" s="1556"/>
      <c r="U52" s="970" t="s">
        <v>552</v>
      </c>
      <c r="V52" s="871"/>
      <c r="W52" s="1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685">
        <f t="shared" si="20"/>
        <v>0</v>
      </c>
      <c r="CV52" s="323"/>
      <c r="CW52" s="323"/>
      <c r="CX52" s="855"/>
    </row>
    <row r="53" spans="1:117" ht="15" thickBot="1" x14ac:dyDescent="0.25">
      <c r="B53" s="913" t="s">
        <v>514</v>
      </c>
      <c r="C53" s="1404" t="str">
        <f>C19</f>
        <v>Umsätze aus Nebenrechnung Gruppe 2</v>
      </c>
      <c r="D53" s="1400"/>
      <c r="E53" s="1172" t="str">
        <f t="shared" ref="E53:P53" si="22">X53</f>
        <v/>
      </c>
      <c r="F53" s="1172" t="str">
        <f t="shared" si="22"/>
        <v/>
      </c>
      <c r="G53" s="1172" t="str">
        <f t="shared" si="22"/>
        <v/>
      </c>
      <c r="H53" s="1172" t="str">
        <f t="shared" si="22"/>
        <v/>
      </c>
      <c r="I53" s="1172" t="str">
        <f t="shared" si="22"/>
        <v/>
      </c>
      <c r="J53" s="1172" t="str">
        <f t="shared" si="22"/>
        <v/>
      </c>
      <c r="K53" s="1172" t="str">
        <f t="shared" si="22"/>
        <v/>
      </c>
      <c r="L53" s="1172" t="str">
        <f t="shared" si="22"/>
        <v/>
      </c>
      <c r="M53" s="1172" t="str">
        <f t="shared" si="22"/>
        <v/>
      </c>
      <c r="N53" s="1172" t="str">
        <f t="shared" si="22"/>
        <v/>
      </c>
      <c r="O53" s="1172" t="str">
        <f t="shared" si="22"/>
        <v/>
      </c>
      <c r="P53" s="1172" t="str">
        <f t="shared" si="22"/>
        <v/>
      </c>
      <c r="Q53" s="1168">
        <f>SUM(E53:P53)</f>
        <v>0</v>
      </c>
      <c r="S53" s="1556"/>
      <c r="U53" s="968"/>
      <c r="V53" s="960" t="str">
        <f>IF($B$2="English",CW64,CV64)</f>
        <v>Summe Nebenrechnung Gruppe2</v>
      </c>
      <c r="W53" s="961"/>
      <c r="X53" s="958" t="str">
        <f t="shared" ref="X53:AI53" si="23">IF(SUM(X48:X52)=0,"",SUM(X48:X52))</f>
        <v/>
      </c>
      <c r="Y53" s="958" t="str">
        <f t="shared" si="23"/>
        <v/>
      </c>
      <c r="Z53" s="958" t="str">
        <f t="shared" si="23"/>
        <v/>
      </c>
      <c r="AA53" s="958" t="str">
        <f t="shared" si="23"/>
        <v/>
      </c>
      <c r="AB53" s="958" t="str">
        <f t="shared" si="23"/>
        <v/>
      </c>
      <c r="AC53" s="958" t="str">
        <f t="shared" si="23"/>
        <v/>
      </c>
      <c r="AD53" s="958" t="str">
        <f t="shared" si="23"/>
        <v/>
      </c>
      <c r="AE53" s="958" t="str">
        <f t="shared" si="23"/>
        <v/>
      </c>
      <c r="AF53" s="958" t="str">
        <f t="shared" si="23"/>
        <v/>
      </c>
      <c r="AG53" s="958" t="str">
        <f t="shared" si="23"/>
        <v/>
      </c>
      <c r="AH53" s="958" t="str">
        <f t="shared" si="23"/>
        <v/>
      </c>
      <c r="AI53" s="958" t="str">
        <f t="shared" si="23"/>
        <v/>
      </c>
      <c r="AJ53" s="963">
        <f t="shared" si="20"/>
        <v>0</v>
      </c>
      <c r="AK53" s="186"/>
      <c r="CV53" s="323"/>
      <c r="CW53" s="323"/>
      <c r="CX53" s="855"/>
    </row>
    <row r="54" spans="1:117" hidden="1" x14ac:dyDescent="0.2">
      <c r="A54" s="288"/>
      <c r="B54" s="964"/>
      <c r="C54" s="1403" t="str">
        <f>C20</f>
        <v>auf Rechnung ausgewiesener MwSt-Betrag</v>
      </c>
      <c r="D54" s="983">
        <f>D14</f>
        <v>0.19</v>
      </c>
      <c r="E54" s="1170" t="str">
        <f>IF(OR(SUM(E49:E53)=0,'Deckblatt Gruender|Data Founder'!$M$1=1),"",IF('Deckblatt Gruender|Data Founder'!$M$1=2,SUM(E49:E53)-SUM(E49:E53)/(1+$D54),SUM(E49:E53)*($D54)))</f>
        <v/>
      </c>
      <c r="F54" s="1170" t="str">
        <f>IF(OR(SUM(F49:F53)=0,'Deckblatt Gruender|Data Founder'!$M$1=1),"",IF('Deckblatt Gruender|Data Founder'!$M$1=2,SUM(F49:F53)-SUM(F49:F53)/(1+$D54),SUM(F49:F53)*($D54)))</f>
        <v/>
      </c>
      <c r="G54" s="1170" t="str">
        <f>IF(OR(SUM(G49:G53)=0,'Deckblatt Gruender|Data Founder'!$M$1=1),"",IF('Deckblatt Gruender|Data Founder'!$M$1=2,SUM(G49:G53)-SUM(G49:G53)/(1+$D54),SUM(G49:G53)*($D54)))</f>
        <v/>
      </c>
      <c r="H54" s="1170" t="str">
        <f>IF(OR(SUM(H49:H53)=0,'Deckblatt Gruender|Data Founder'!$M$1=1),"",IF('Deckblatt Gruender|Data Founder'!$M$1=2,SUM(H49:H53)-SUM(H49:H53)/(1+$D54),SUM(H49:H53)*($D54)))</f>
        <v/>
      </c>
      <c r="I54" s="1170" t="str">
        <f>IF(OR(SUM(I49:I53)=0,'Deckblatt Gruender|Data Founder'!$M$1=1),"",IF('Deckblatt Gruender|Data Founder'!$M$1=2,SUM(I49:I53)-SUM(I49:I53)/(1+$D54),SUM(I49:I53)*($D54)))</f>
        <v/>
      </c>
      <c r="J54" s="1170" t="str">
        <f>IF(OR(SUM(J49:J53)=0,'Deckblatt Gruender|Data Founder'!$M$1=1),"",IF('Deckblatt Gruender|Data Founder'!$M$1=2,SUM(J49:J53)-SUM(J49:J53)/(1+$D54),SUM(J49:J53)*($D54)))</f>
        <v/>
      </c>
      <c r="K54" s="1170" t="str">
        <f>IF(OR(SUM(K49:K53)=0,'Deckblatt Gruender|Data Founder'!$M$1=1),"",IF('Deckblatt Gruender|Data Founder'!$M$1=2,SUM(K49:K53)-SUM(K49:K53)/(1+$D54),SUM(K49:K53)*($D54)))</f>
        <v/>
      </c>
      <c r="L54" s="1170" t="str">
        <f>IF(OR(SUM(L49:L53)=0,'Deckblatt Gruender|Data Founder'!$M$1=1),"",IF('Deckblatt Gruender|Data Founder'!$M$1=2,SUM(L49:L53)-SUM(L49:L53)/(1+$D54),SUM(L49:L53)*($D54)))</f>
        <v/>
      </c>
      <c r="M54" s="1170" t="str">
        <f>IF(OR(SUM(M49:M53)=0,'Deckblatt Gruender|Data Founder'!$M$1=1),"",IF('Deckblatt Gruender|Data Founder'!$M$1=2,SUM(M49:M53)-SUM(M49:M53)/(1+$D54),SUM(M49:M53)*($D54)))</f>
        <v/>
      </c>
      <c r="N54" s="1170" t="str">
        <f>IF(OR(SUM(N49:N53)=0,'Deckblatt Gruender|Data Founder'!$M$1=1),"",IF('Deckblatt Gruender|Data Founder'!$M$1=2,SUM(N49:N53)-SUM(N49:N53)/(1+$D54),SUM(N49:N53)*($D54)))</f>
        <v/>
      </c>
      <c r="O54" s="1170" t="str">
        <f>IF(OR(SUM(O49:O53)=0,'Deckblatt Gruender|Data Founder'!$M$1=1),"",IF('Deckblatt Gruender|Data Founder'!$M$1=2,SUM(O49:O53)-SUM(O49:O53)/(1+$D54),SUM(O49:O53)*($D54)))</f>
        <v/>
      </c>
      <c r="P54" s="1170" t="str">
        <f>IF(OR(SUM(P49:P53)=0,'Deckblatt Gruender|Data Founder'!$M$1=1),"",IF('Deckblatt Gruender|Data Founder'!$M$1=2,SUM(P49:P53)-SUM(P49:P53)/(1+$D54),SUM(P49:P53)*($D54)))</f>
        <v/>
      </c>
      <c r="Q54" s="1171" t="str">
        <f>IF(SUM(E54:P54)=0,"",SUM(E54:P54))</f>
        <v/>
      </c>
      <c r="S54" s="1093"/>
      <c r="T54" s="288"/>
      <c r="U54" s="453"/>
      <c r="V54" s="950"/>
      <c r="W54" s="330"/>
      <c r="X54" s="951"/>
      <c r="Y54" s="951"/>
      <c r="Z54" s="951"/>
      <c r="AA54" s="951"/>
      <c r="AB54" s="951"/>
      <c r="AC54" s="951"/>
      <c r="AD54" s="951"/>
      <c r="AE54" s="951"/>
      <c r="AF54" s="951"/>
      <c r="AG54" s="951"/>
      <c r="AH54" s="951"/>
      <c r="AI54" s="951"/>
      <c r="AJ54" s="949"/>
      <c r="AK54" s="330"/>
      <c r="AL54" s="288"/>
      <c r="AM54" s="288"/>
      <c r="CV54" s="323" t="s">
        <v>562</v>
      </c>
      <c r="CW54" s="323" t="s">
        <v>636</v>
      </c>
      <c r="CX54" s="855"/>
    </row>
    <row r="55" spans="1:117" ht="15" thickBot="1" x14ac:dyDescent="0.25">
      <c r="A55" s="288"/>
      <c r="B55" s="1495"/>
      <c r="C55" s="1496" t="str">
        <f>C21</f>
        <v>Summe Umsatz Produktgruppe 2</v>
      </c>
      <c r="D55" s="1497"/>
      <c r="E55" s="1498">
        <f t="shared" ref="E55:Q55" si="24">SUM(E49:E53)</f>
        <v>0</v>
      </c>
      <c r="F55" s="1498">
        <f t="shared" si="24"/>
        <v>0</v>
      </c>
      <c r="G55" s="1498">
        <f t="shared" si="24"/>
        <v>0</v>
      </c>
      <c r="H55" s="1498">
        <f t="shared" si="24"/>
        <v>0</v>
      </c>
      <c r="I55" s="1498">
        <f t="shared" si="24"/>
        <v>0</v>
      </c>
      <c r="J55" s="1498">
        <f t="shared" si="24"/>
        <v>0</v>
      </c>
      <c r="K55" s="1498">
        <f t="shared" si="24"/>
        <v>0</v>
      </c>
      <c r="L55" s="1498">
        <f t="shared" si="24"/>
        <v>0</v>
      </c>
      <c r="M55" s="1498">
        <f t="shared" si="24"/>
        <v>0</v>
      </c>
      <c r="N55" s="1498">
        <f t="shared" si="24"/>
        <v>0</v>
      </c>
      <c r="O55" s="1498">
        <f t="shared" si="24"/>
        <v>0</v>
      </c>
      <c r="P55" s="1498">
        <f t="shared" si="24"/>
        <v>0</v>
      </c>
      <c r="Q55" s="1499">
        <f t="shared" si="24"/>
        <v>0</v>
      </c>
      <c r="S55" s="1093"/>
      <c r="T55" s="288"/>
      <c r="U55" s="453"/>
      <c r="V55" s="950"/>
      <c r="W55" s="330"/>
      <c r="X55" s="951"/>
      <c r="Y55" s="951"/>
      <c r="Z55" s="951"/>
      <c r="AA55" s="951"/>
      <c r="AB55" s="951"/>
      <c r="AC55" s="951"/>
      <c r="AD55" s="951"/>
      <c r="AE55" s="951"/>
      <c r="AF55" s="951"/>
      <c r="AG55" s="951"/>
      <c r="AH55" s="951"/>
      <c r="AI55" s="951"/>
      <c r="AJ55" s="949"/>
      <c r="AK55" s="330"/>
      <c r="AL55" s="288"/>
      <c r="AM55" s="288"/>
      <c r="CV55" s="323"/>
      <c r="CW55" s="323"/>
      <c r="CX55" s="855"/>
    </row>
    <row r="56" spans="1:117" x14ac:dyDescent="0.2">
      <c r="B56" s="369">
        <v>3</v>
      </c>
      <c r="C56" s="1503" t="str">
        <f>C22</f>
        <v>Honorareinnahmen</v>
      </c>
      <c r="D56" s="1504">
        <f>D22</f>
        <v>7.0000000000000007E-2</v>
      </c>
      <c r="E56" s="1169"/>
      <c r="F56" s="1169"/>
      <c r="G56" s="1169"/>
      <c r="H56" s="1169"/>
      <c r="I56" s="1169"/>
      <c r="J56" s="1169"/>
      <c r="K56" s="1169"/>
      <c r="L56" s="1169"/>
      <c r="M56" s="1169"/>
      <c r="N56" s="1169"/>
      <c r="O56" s="1169"/>
      <c r="P56" s="1169"/>
      <c r="Q56" s="1167"/>
      <c r="U56" s="453"/>
      <c r="V56" s="950"/>
      <c r="W56" s="186"/>
      <c r="X56" s="951"/>
      <c r="Y56" s="951"/>
      <c r="Z56" s="951"/>
      <c r="AA56" s="951"/>
      <c r="AB56" s="951"/>
      <c r="AC56" s="951"/>
      <c r="AD56" s="951"/>
      <c r="AE56" s="951"/>
      <c r="AF56" s="951"/>
      <c r="AG56" s="951"/>
      <c r="AH56" s="951"/>
      <c r="AI56" s="951"/>
      <c r="AJ56" s="949"/>
      <c r="AK56" s="186"/>
      <c r="CV56" s="323" t="s">
        <v>227</v>
      </c>
      <c r="CW56" s="323" t="s">
        <v>635</v>
      </c>
      <c r="CX56" s="855"/>
    </row>
    <row r="57" spans="1:117" x14ac:dyDescent="0.2">
      <c r="B57" s="913" t="s">
        <v>515</v>
      </c>
      <c r="C57" s="1405" t="str">
        <f t="shared" ref="C57:C58" si="25">IF(C23="","",C23)</f>
        <v/>
      </c>
      <c r="D57" s="1399"/>
      <c r="E57" s="1430"/>
      <c r="F57" s="1430"/>
      <c r="G57" s="1430"/>
      <c r="H57" s="1430"/>
      <c r="I57" s="1430"/>
      <c r="J57" s="1430"/>
      <c r="K57" s="1430"/>
      <c r="L57" s="1430"/>
      <c r="M57" s="1430"/>
      <c r="N57" s="1430"/>
      <c r="O57" s="1430"/>
      <c r="P57" s="1430"/>
      <c r="Q57" s="1416">
        <f>SUM(E57:P57)</f>
        <v>0</v>
      </c>
      <c r="S57" s="1556"/>
      <c r="U57" s="453"/>
      <c r="V57" s="950"/>
      <c r="W57" s="186"/>
      <c r="X57" s="951"/>
      <c r="Y57" s="951"/>
      <c r="Z57" s="951"/>
      <c r="AA57" s="951"/>
      <c r="AB57" s="951"/>
      <c r="AC57" s="951"/>
      <c r="AD57" s="951"/>
      <c r="AE57" s="951"/>
      <c r="AF57" s="951"/>
      <c r="AG57" s="951"/>
      <c r="AH57" s="951"/>
      <c r="AI57" s="951"/>
      <c r="AJ57" s="949"/>
      <c r="AK57" s="186"/>
      <c r="CV57" s="323"/>
      <c r="CW57" s="323"/>
      <c r="CX57" s="855"/>
    </row>
    <row r="58" spans="1:117" x14ac:dyDescent="0.2">
      <c r="B58" s="913" t="s">
        <v>516</v>
      </c>
      <c r="C58" s="1405" t="str">
        <f t="shared" si="25"/>
        <v/>
      </c>
      <c r="D58" s="1397"/>
      <c r="E58" s="1430"/>
      <c r="F58" s="1430"/>
      <c r="G58" s="1430"/>
      <c r="H58" s="1430"/>
      <c r="I58" s="1430"/>
      <c r="J58" s="1430"/>
      <c r="K58" s="1430"/>
      <c r="L58" s="1430"/>
      <c r="M58" s="1430"/>
      <c r="N58" s="1430"/>
      <c r="O58" s="1430"/>
      <c r="P58" s="1430"/>
      <c r="Q58" s="1416">
        <f>SUM(E58:P58)</f>
        <v>0</v>
      </c>
      <c r="S58" s="1556"/>
      <c r="U58" s="453"/>
      <c r="V58" s="950"/>
      <c r="W58" s="186"/>
      <c r="X58" s="951"/>
      <c r="Y58" s="951"/>
      <c r="Z58" s="951"/>
      <c r="AA58" s="951"/>
      <c r="AB58" s="951"/>
      <c r="AC58" s="951"/>
      <c r="AD58" s="951"/>
      <c r="AE58" s="951"/>
      <c r="AF58" s="951"/>
      <c r="AG58" s="951"/>
      <c r="AH58" s="951"/>
      <c r="AI58" s="951"/>
      <c r="AJ58" s="949"/>
      <c r="AK58" s="186"/>
      <c r="CV58" s="323"/>
      <c r="CW58" s="323"/>
      <c r="CX58" s="855"/>
    </row>
    <row r="59" spans="1:117" hidden="1" x14ac:dyDescent="0.2">
      <c r="B59" s="964"/>
      <c r="C59" s="965" t="str">
        <f>C25</f>
        <v>auf Rechnung ausgewiesener MwSt-Betrag</v>
      </c>
      <c r="D59" s="983">
        <f>D22</f>
        <v>7.0000000000000007E-2</v>
      </c>
      <c r="E59" s="1170" t="str">
        <f>IF(OR(SUM(E57:E58)=0,'Deckblatt Gruender|Data Founder'!$M$1=1),"",IF('Deckblatt Gruender|Data Founder'!$M$1=2,SUM(E57:E58)-SUM(E57:E58)/(1+$D59),SUM(E57:E58)*($D59)))</f>
        <v/>
      </c>
      <c r="F59" s="1170" t="str">
        <f>IF(OR(SUM(F57:F58)=0,'Deckblatt Gruender|Data Founder'!$M$1=1),"",IF('Deckblatt Gruender|Data Founder'!$M$1=2,SUM(F57:F58)-SUM(F57:F58)/(1+$D59),SUM(F57:F58)*($D59)))</f>
        <v/>
      </c>
      <c r="G59" s="1170" t="str">
        <f>IF(OR(SUM(G57:G58)=0,'Deckblatt Gruender|Data Founder'!$M$1=1),"",IF('Deckblatt Gruender|Data Founder'!$M$1=2,SUM(G57:G58)-SUM(G57:G58)/(1+$D59),SUM(G57:G58)*($D59)))</f>
        <v/>
      </c>
      <c r="H59" s="1170" t="str">
        <f>IF(OR(SUM(H57:H58)=0,'Deckblatt Gruender|Data Founder'!$M$1=1),"",IF('Deckblatt Gruender|Data Founder'!$M$1=2,SUM(H57:H58)-SUM(H57:H58)/(1+$D59),SUM(H57:H58)*($D59)))</f>
        <v/>
      </c>
      <c r="I59" s="1170" t="str">
        <f>IF(OR(SUM(I57:I58)=0,'Deckblatt Gruender|Data Founder'!$M$1=1),"",IF('Deckblatt Gruender|Data Founder'!$M$1=2,SUM(I57:I58)-SUM(I57:I58)/(1+$D59),SUM(I57:I58)*($D59)))</f>
        <v/>
      </c>
      <c r="J59" s="1170" t="str">
        <f>IF(OR(SUM(J57:J58)=0,'Deckblatt Gruender|Data Founder'!$M$1=1),"",IF('Deckblatt Gruender|Data Founder'!$M$1=2,SUM(J57:J58)-SUM(J57:J58)/(1+$D59),SUM(J57:J58)*($D59)))</f>
        <v/>
      </c>
      <c r="K59" s="1170" t="str">
        <f>IF(OR(SUM(K57:K58)=0,'Deckblatt Gruender|Data Founder'!$M$1=1),"",IF('Deckblatt Gruender|Data Founder'!$M$1=2,SUM(K57:K58)-SUM(K57:K58)/(1+$D59),SUM(K57:K58)*($D59)))</f>
        <v/>
      </c>
      <c r="L59" s="1170" t="str">
        <f>IF(OR(SUM(L57:L58)=0,'Deckblatt Gruender|Data Founder'!$M$1=1),"",IF('Deckblatt Gruender|Data Founder'!$M$1=2,SUM(L57:L58)-SUM(L57:L58)/(1+$D59),SUM(L57:L58)*($D59)))</f>
        <v/>
      </c>
      <c r="M59" s="1170" t="str">
        <f>IF(OR(SUM(M57:M58)=0,'Deckblatt Gruender|Data Founder'!$M$1=1),"",IF('Deckblatt Gruender|Data Founder'!$M$1=2,SUM(M57:M58)-SUM(M57:M58)/(1+$D59),SUM(M57:M58)*($D59)))</f>
        <v/>
      </c>
      <c r="N59" s="1170" t="str">
        <f>IF(OR(SUM(N57:N58)=0,'Deckblatt Gruender|Data Founder'!$M$1=1),"",IF('Deckblatt Gruender|Data Founder'!$M$1=2,SUM(N57:N58)-SUM(N57:N58)/(1+$D59),SUM(N57:N58)*($D59)))</f>
        <v/>
      </c>
      <c r="O59" s="1170" t="str">
        <f>IF(OR(SUM(O57:O58)=0,'Deckblatt Gruender|Data Founder'!$M$1=1),"",IF('Deckblatt Gruender|Data Founder'!$M$1=2,SUM(O57:O58)-SUM(O57:O58)/(1+$D59),SUM(O57:O58)*($D59)))</f>
        <v/>
      </c>
      <c r="P59" s="1170" t="str">
        <f>IF(OR(SUM(P57:P58)=0,'Deckblatt Gruender|Data Founder'!$M$1=1),"",IF('Deckblatt Gruender|Data Founder'!$M$1=2,SUM(P57:P58)-SUM(P57:P58)/(1+$D59),SUM(P57:P58)*($D59)))</f>
        <v/>
      </c>
      <c r="Q59" s="1171" t="str">
        <f>IF(SUM(E59:P59)=0,"",SUM(E59:P59))</f>
        <v/>
      </c>
      <c r="U59" s="453"/>
      <c r="V59" s="950"/>
      <c r="W59" s="186"/>
      <c r="X59" s="951"/>
      <c r="Y59" s="951"/>
      <c r="Z59" s="951"/>
      <c r="AA59" s="951"/>
      <c r="AB59" s="951"/>
      <c r="AC59" s="951"/>
      <c r="AD59" s="951"/>
      <c r="AE59" s="951"/>
      <c r="AF59" s="951"/>
      <c r="AG59" s="951"/>
      <c r="AH59" s="951"/>
      <c r="AI59" s="951"/>
      <c r="AJ59" s="949"/>
      <c r="AK59" s="186"/>
      <c r="CV59" s="323" t="s">
        <v>563</v>
      </c>
      <c r="CW59" s="323" t="s">
        <v>564</v>
      </c>
      <c r="CX59" s="864"/>
      <c r="CY59" s="865"/>
      <c r="CZ59" s="865"/>
      <c r="DA59" s="865"/>
      <c r="DB59" s="865"/>
      <c r="DC59" s="865"/>
      <c r="DD59" s="865"/>
      <c r="DE59" s="865"/>
      <c r="DF59" s="865"/>
      <c r="DG59" s="865"/>
      <c r="DH59" s="865"/>
      <c r="DI59" s="865"/>
      <c r="DJ59" s="865"/>
      <c r="DK59" s="865"/>
    </row>
    <row r="60" spans="1:117" ht="15" thickBot="1" x14ac:dyDescent="0.25">
      <c r="B60" s="1495"/>
      <c r="C60" s="1496" t="str">
        <f>C26</f>
        <v>Summe Honorareinnahmen</v>
      </c>
      <c r="D60" s="1497"/>
      <c r="E60" s="1498">
        <f>SUM(E57:E58)</f>
        <v>0</v>
      </c>
      <c r="F60" s="1498">
        <f t="shared" ref="F60:P60" si="26">SUM(F57:F58)</f>
        <v>0</v>
      </c>
      <c r="G60" s="1498">
        <f t="shared" si="26"/>
        <v>0</v>
      </c>
      <c r="H60" s="1498">
        <f t="shared" si="26"/>
        <v>0</v>
      </c>
      <c r="I60" s="1498">
        <f t="shared" si="26"/>
        <v>0</v>
      </c>
      <c r="J60" s="1498">
        <f t="shared" si="26"/>
        <v>0</v>
      </c>
      <c r="K60" s="1498">
        <f t="shared" si="26"/>
        <v>0</v>
      </c>
      <c r="L60" s="1498">
        <f t="shared" si="26"/>
        <v>0</v>
      </c>
      <c r="M60" s="1498">
        <f t="shared" si="26"/>
        <v>0</v>
      </c>
      <c r="N60" s="1498">
        <f t="shared" si="26"/>
        <v>0</v>
      </c>
      <c r="O60" s="1498">
        <f t="shared" si="26"/>
        <v>0</v>
      </c>
      <c r="P60" s="1498">
        <f t="shared" si="26"/>
        <v>0</v>
      </c>
      <c r="Q60" s="1499">
        <f>SUM(E60:P60)</f>
        <v>0</v>
      </c>
      <c r="U60" s="453"/>
      <c r="V60" s="950"/>
      <c r="W60" s="186"/>
      <c r="X60" s="951"/>
      <c r="Y60" s="951"/>
      <c r="Z60" s="951"/>
      <c r="AA60" s="951"/>
      <c r="AB60" s="951"/>
      <c r="AC60" s="951"/>
      <c r="AD60" s="951"/>
      <c r="AE60" s="951"/>
      <c r="AF60" s="951"/>
      <c r="AG60" s="951"/>
      <c r="AH60" s="951"/>
      <c r="AI60" s="951"/>
      <c r="AJ60" s="949"/>
      <c r="AK60" s="186"/>
      <c r="CV60" s="323"/>
      <c r="CW60" s="323"/>
      <c r="CX60" s="855"/>
    </row>
    <row r="61" spans="1:117" s="389" customFormat="1" x14ac:dyDescent="0.2">
      <c r="A61" s="176"/>
      <c r="B61" s="369">
        <v>4</v>
      </c>
      <c r="C61" s="1503" t="str">
        <f>C27</f>
        <v>Sonstige Einnahmen</v>
      </c>
      <c r="D61" s="1504">
        <f>D27</f>
        <v>7.0000000000000007E-2</v>
      </c>
      <c r="E61" s="189"/>
      <c r="F61" s="1173"/>
      <c r="G61" s="1173"/>
      <c r="H61" s="1173"/>
      <c r="I61" s="1173"/>
      <c r="J61" s="1173"/>
      <c r="K61" s="1173"/>
      <c r="L61" s="1173"/>
      <c r="M61" s="1173"/>
      <c r="N61" s="1173"/>
      <c r="O61" s="1173"/>
      <c r="P61" s="1173"/>
      <c r="Q61" s="1168"/>
      <c r="R61" s="57"/>
      <c r="S61" s="1094"/>
      <c r="T61" s="176"/>
      <c r="U61" s="453"/>
      <c r="V61" s="950"/>
      <c r="W61" s="186"/>
      <c r="X61" s="951"/>
      <c r="Y61" s="951"/>
      <c r="Z61" s="951"/>
      <c r="AA61" s="951"/>
      <c r="AB61" s="951"/>
      <c r="AC61" s="951"/>
      <c r="AD61" s="951"/>
      <c r="AE61" s="951"/>
      <c r="AF61" s="951"/>
      <c r="AG61" s="951"/>
      <c r="AH61" s="951"/>
      <c r="AI61" s="951"/>
      <c r="AJ61" s="949"/>
      <c r="AK61" s="186"/>
      <c r="AL61" s="176"/>
      <c r="AM61" s="176"/>
      <c r="AN61" s="388"/>
      <c r="AO61" s="388"/>
      <c r="AP61" s="388"/>
      <c r="AQ61" s="388"/>
      <c r="AR61" s="388"/>
      <c r="AS61" s="388"/>
      <c r="AT61" s="388"/>
      <c r="AU61" s="388"/>
      <c r="AV61" s="388"/>
      <c r="AW61" s="388"/>
      <c r="AX61" s="388"/>
      <c r="AY61" s="388"/>
      <c r="AZ61" s="388"/>
      <c r="BA61" s="388"/>
      <c r="BB61" s="388"/>
      <c r="BC61" s="388"/>
      <c r="BD61" s="388"/>
      <c r="BE61" s="388"/>
      <c r="BF61" s="388"/>
      <c r="BG61" s="388"/>
      <c r="BH61" s="388"/>
      <c r="BI61" s="388"/>
      <c r="BJ61" s="388"/>
      <c r="BK61" s="388"/>
      <c r="BL61" s="388"/>
      <c r="BM61" s="388"/>
      <c r="BN61" s="388"/>
      <c r="BO61" s="388"/>
      <c r="BP61" s="388"/>
      <c r="BQ61" s="388"/>
      <c r="BR61" s="388"/>
      <c r="BS61" s="388"/>
      <c r="BT61" s="388"/>
      <c r="BU61" s="388"/>
      <c r="BV61" s="388"/>
      <c r="BW61" s="388"/>
      <c r="BX61" s="388"/>
      <c r="BY61" s="388"/>
      <c r="BZ61" s="388"/>
      <c r="CA61" s="388"/>
      <c r="CB61" s="388"/>
      <c r="CC61" s="388"/>
      <c r="CD61" s="388"/>
      <c r="CE61" s="388"/>
      <c r="CF61" s="388"/>
      <c r="CG61" s="388"/>
      <c r="CH61" s="388"/>
      <c r="CI61" s="388"/>
      <c r="CJ61" s="388"/>
      <c r="CK61" s="388"/>
      <c r="CL61" s="388"/>
      <c r="CM61" s="388"/>
      <c r="CN61" s="388"/>
      <c r="CO61" s="388"/>
      <c r="CP61" s="388"/>
      <c r="CQ61" s="388"/>
      <c r="CR61" s="388"/>
      <c r="CS61" s="388"/>
      <c r="CT61" s="388"/>
      <c r="CU61" s="388"/>
      <c r="CV61" s="323" t="s">
        <v>410</v>
      </c>
      <c r="CW61" s="323" t="s">
        <v>411</v>
      </c>
      <c r="CX61" s="864"/>
      <c r="CY61" s="865"/>
      <c r="CZ61" s="865"/>
      <c r="DA61" s="865"/>
      <c r="DB61" s="865"/>
      <c r="DC61" s="865"/>
      <c r="DD61" s="865"/>
      <c r="DE61" s="865"/>
      <c r="DF61" s="865"/>
      <c r="DG61" s="865"/>
      <c r="DH61" s="865"/>
      <c r="DI61" s="865"/>
      <c r="DJ61" s="865"/>
      <c r="DK61" s="865"/>
      <c r="DL61" s="839"/>
      <c r="DM61" s="839"/>
    </row>
    <row r="62" spans="1:117" x14ac:dyDescent="0.2">
      <c r="B62" s="913" t="s">
        <v>517</v>
      </c>
      <c r="C62" s="1405" t="str">
        <f>IF(C28="","",C28)</f>
        <v/>
      </c>
      <c r="D62" s="1399"/>
      <c r="E62" s="1430"/>
      <c r="F62" s="1430"/>
      <c r="G62" s="1430"/>
      <c r="H62" s="1430"/>
      <c r="I62" s="1430"/>
      <c r="J62" s="1430"/>
      <c r="K62" s="1430"/>
      <c r="L62" s="1430"/>
      <c r="M62" s="1430"/>
      <c r="N62" s="1430"/>
      <c r="O62" s="1430"/>
      <c r="P62" s="1430"/>
      <c r="Q62" s="1416">
        <f>SUM(E62:P62)</f>
        <v>0</v>
      </c>
      <c r="S62" s="1556"/>
      <c r="U62" s="453"/>
      <c r="V62" s="950"/>
      <c r="W62" s="186"/>
      <c r="X62" s="951"/>
      <c r="Y62" s="951"/>
      <c r="Z62" s="951"/>
      <c r="AA62" s="951"/>
      <c r="AB62" s="951"/>
      <c r="AC62" s="951"/>
      <c r="AD62" s="951"/>
      <c r="AE62" s="951"/>
      <c r="AF62" s="951"/>
      <c r="AG62" s="951"/>
      <c r="AH62" s="951"/>
      <c r="AI62" s="951"/>
      <c r="AJ62" s="949"/>
      <c r="AK62" s="186"/>
      <c r="CV62" s="323"/>
      <c r="CW62" s="323"/>
      <c r="CX62" s="855"/>
    </row>
    <row r="63" spans="1:117" x14ac:dyDescent="0.2">
      <c r="B63" s="913" t="s">
        <v>518</v>
      </c>
      <c r="C63" s="1405" t="str">
        <f>IF(C29="","",C29)</f>
        <v/>
      </c>
      <c r="D63" s="1397"/>
      <c r="E63" s="1430"/>
      <c r="F63" s="1430"/>
      <c r="G63" s="1430"/>
      <c r="H63" s="1430"/>
      <c r="I63" s="1430"/>
      <c r="J63" s="1430"/>
      <c r="K63" s="1430"/>
      <c r="L63" s="1430"/>
      <c r="M63" s="1430"/>
      <c r="N63" s="1430"/>
      <c r="O63" s="1430"/>
      <c r="P63" s="1430"/>
      <c r="Q63" s="1416">
        <f>SUM(E63:P63)</f>
        <v>0</v>
      </c>
      <c r="S63" s="1556"/>
      <c r="U63" s="453"/>
      <c r="V63" s="950"/>
      <c r="W63" s="186"/>
      <c r="X63" s="951"/>
      <c r="Y63" s="951"/>
      <c r="Z63" s="951"/>
      <c r="AA63" s="951"/>
      <c r="AB63" s="951"/>
      <c r="AC63" s="951"/>
      <c r="AD63" s="951"/>
      <c r="AE63" s="951"/>
      <c r="AF63" s="951"/>
      <c r="AG63" s="951"/>
      <c r="AH63" s="951"/>
      <c r="AI63" s="951"/>
      <c r="AJ63" s="949"/>
      <c r="AK63" s="186"/>
      <c r="CV63" s="323"/>
      <c r="CW63" s="323"/>
      <c r="CX63" s="864"/>
    </row>
    <row r="64" spans="1:117" hidden="1" x14ac:dyDescent="0.2">
      <c r="A64" s="288"/>
      <c r="B64" s="964"/>
      <c r="C64" s="1403" t="str">
        <f t="shared" ref="C64:C69" si="27">C30</f>
        <v>auf Rechnung ausgewiesener MwSt-Betrag</v>
      </c>
      <c r="D64" s="983">
        <f>D27</f>
        <v>7.0000000000000007E-2</v>
      </c>
      <c r="E64" s="1170" t="str">
        <f>IF(OR(SUM(E62:E63)=0,'Deckblatt Gruender|Data Founder'!$M$1=1),"",IF('Deckblatt Gruender|Data Founder'!$M$1=2,SUM(E62:E63)-SUM(E62:E63)/(1+$D64),SUM(E62:E63)*($D64)))</f>
        <v/>
      </c>
      <c r="F64" s="1170" t="str">
        <f>IF(OR(SUM(F62:F63)=0,'Deckblatt Gruender|Data Founder'!$M$1=1),"",IF('Deckblatt Gruender|Data Founder'!$M$1=2,SUM(F62:F63)-SUM(F62:F63)/(1+$D64),SUM(F62:F63)*($D64)))</f>
        <v/>
      </c>
      <c r="G64" s="1170" t="str">
        <f>IF(OR(SUM(G62:G63)=0,'Deckblatt Gruender|Data Founder'!$M$1=1),"",IF('Deckblatt Gruender|Data Founder'!$M$1=2,SUM(G62:G63)-SUM(G62:G63)/(1+$D64),SUM(G62:G63)*($D64)))</f>
        <v/>
      </c>
      <c r="H64" s="1170" t="str">
        <f>IF(OR(SUM(H62:H63)=0,'Deckblatt Gruender|Data Founder'!$M$1=1),"",IF('Deckblatt Gruender|Data Founder'!$M$1=2,SUM(H62:H63)-SUM(H62:H63)/(1+$D64),SUM(H62:H63)*($D64)))</f>
        <v/>
      </c>
      <c r="I64" s="1170" t="str">
        <f>IF(OR(SUM(I62:I63)=0,'Deckblatt Gruender|Data Founder'!$M$1=1),"",IF('Deckblatt Gruender|Data Founder'!$M$1=2,SUM(I62:I63)-SUM(I62:I63)/(1+$D64),SUM(I62:I63)*($D64)))</f>
        <v/>
      </c>
      <c r="J64" s="1170" t="str">
        <f>IF(OR(SUM(J62:J63)=0,'Deckblatt Gruender|Data Founder'!$M$1=1),"",IF('Deckblatt Gruender|Data Founder'!$M$1=2,SUM(J62:J63)-SUM(J62:J63)/(1+$D64),SUM(J62:J63)*($D64)))</f>
        <v/>
      </c>
      <c r="K64" s="1170" t="str">
        <f>IF(OR(SUM(K62:K63)=0,'Deckblatt Gruender|Data Founder'!$M$1=1),"",IF('Deckblatt Gruender|Data Founder'!$M$1=2,SUM(K62:K63)-SUM(K62:K63)/(1+$D64),SUM(K62:K63)*($D64)))</f>
        <v/>
      </c>
      <c r="L64" s="1170" t="str">
        <f>IF(OR(SUM(L62:L63)=0,'Deckblatt Gruender|Data Founder'!$M$1=1),"",IF('Deckblatt Gruender|Data Founder'!$M$1=2,SUM(L62:L63)-SUM(L62:L63)/(1+$D64),SUM(L62:L63)*($D64)))</f>
        <v/>
      </c>
      <c r="M64" s="1170" t="str">
        <f>IF(OR(SUM(M62:M63)=0,'Deckblatt Gruender|Data Founder'!$M$1=1),"",IF('Deckblatt Gruender|Data Founder'!$M$1=2,SUM(M62:M63)-SUM(M62:M63)/(1+$D64),SUM(M62:M63)*($D64)))</f>
        <v/>
      </c>
      <c r="N64" s="1170" t="str">
        <f>IF(OR(SUM(N62:N63)=0,'Deckblatt Gruender|Data Founder'!$M$1=1),"",IF('Deckblatt Gruender|Data Founder'!$M$1=2,SUM(N62:N63)-SUM(N62:N63)/(1+$D64),SUM(N62:N63)*($D64)))</f>
        <v/>
      </c>
      <c r="O64" s="1170" t="str">
        <f>IF(OR(SUM(O62:O63)=0,'Deckblatt Gruender|Data Founder'!$M$1=1),"",IF('Deckblatt Gruender|Data Founder'!$M$1=2,SUM(O62:O63)-SUM(O62:O63)/(1+$D64),SUM(O62:O63)*($D64)))</f>
        <v/>
      </c>
      <c r="P64" s="1170" t="str">
        <f>IF(OR(SUM(P62:P63)=0,'Deckblatt Gruender|Data Founder'!$M$1=1),"",IF('Deckblatt Gruender|Data Founder'!$M$1=2,SUM(P62:P63)-SUM(P62:P63)/(1+$D64),SUM(P62:P63)*($D64)))</f>
        <v/>
      </c>
      <c r="Q64" s="1171" t="str">
        <f>IF(SUM(E64:P64)=0,"",SUM(E64:P64))</f>
        <v/>
      </c>
      <c r="S64" s="1093"/>
      <c r="T64" s="288"/>
      <c r="U64" s="453"/>
      <c r="V64" s="950"/>
      <c r="W64" s="330"/>
      <c r="X64" s="951"/>
      <c r="Y64" s="951"/>
      <c r="Z64" s="951"/>
      <c r="AA64" s="951"/>
      <c r="AB64" s="951"/>
      <c r="AC64" s="951"/>
      <c r="AD64" s="951"/>
      <c r="AE64" s="951"/>
      <c r="AF64" s="951"/>
      <c r="AG64" s="951"/>
      <c r="AH64" s="951"/>
      <c r="AI64" s="951"/>
      <c r="AJ64" s="949"/>
      <c r="AK64" s="330"/>
      <c r="AL64" s="288"/>
      <c r="AM64" s="288"/>
      <c r="CV64" s="323" t="s">
        <v>558</v>
      </c>
      <c r="CW64" s="323" t="s">
        <v>559</v>
      </c>
      <c r="CX64" s="866"/>
    </row>
    <row r="65" spans="1:117" ht="15" thickBot="1" x14ac:dyDescent="0.25">
      <c r="B65" s="1495"/>
      <c r="C65" s="1496" t="str">
        <f t="shared" si="27"/>
        <v>Summe Sonstige Einnahmen</v>
      </c>
      <c r="D65" s="1497"/>
      <c r="E65" s="1498">
        <f>SUM(E62:E63)</f>
        <v>0</v>
      </c>
      <c r="F65" s="1498">
        <f t="shared" ref="F65:P65" si="28">SUM(F62:F63)</f>
        <v>0</v>
      </c>
      <c r="G65" s="1498">
        <f t="shared" si="28"/>
        <v>0</v>
      </c>
      <c r="H65" s="1498">
        <f t="shared" si="28"/>
        <v>0</v>
      </c>
      <c r="I65" s="1498">
        <f t="shared" si="28"/>
        <v>0</v>
      </c>
      <c r="J65" s="1498">
        <f t="shared" si="28"/>
        <v>0</v>
      </c>
      <c r="K65" s="1498">
        <f t="shared" si="28"/>
        <v>0</v>
      </c>
      <c r="L65" s="1498">
        <f t="shared" si="28"/>
        <v>0</v>
      </c>
      <c r="M65" s="1498">
        <f t="shared" si="28"/>
        <v>0</v>
      </c>
      <c r="N65" s="1498">
        <f t="shared" si="28"/>
        <v>0</v>
      </c>
      <c r="O65" s="1498">
        <f t="shared" si="28"/>
        <v>0</v>
      </c>
      <c r="P65" s="1498">
        <f t="shared" si="28"/>
        <v>0</v>
      </c>
      <c r="Q65" s="1499">
        <f>SUM(E65:P65)</f>
        <v>0</v>
      </c>
      <c r="U65" s="453"/>
      <c r="V65" s="950"/>
      <c r="W65" s="186"/>
      <c r="X65" s="951"/>
      <c r="Y65" s="951"/>
      <c r="Z65" s="951"/>
      <c r="AA65" s="951"/>
      <c r="AB65" s="951"/>
      <c r="AC65" s="951"/>
      <c r="AD65" s="951"/>
      <c r="AE65" s="951"/>
      <c r="AF65" s="951"/>
      <c r="AG65" s="951"/>
      <c r="AH65" s="951"/>
      <c r="AI65" s="951"/>
      <c r="AJ65" s="949"/>
      <c r="AK65" s="186"/>
      <c r="CV65" s="323" t="s">
        <v>554</v>
      </c>
      <c r="CW65" s="323" t="s">
        <v>557</v>
      </c>
      <c r="CX65" s="864"/>
      <c r="CY65" s="865"/>
      <c r="CZ65" s="865"/>
      <c r="DA65" s="865"/>
      <c r="DB65" s="865"/>
      <c r="DC65" s="865"/>
      <c r="DD65" s="865"/>
      <c r="DE65" s="865"/>
      <c r="DF65" s="865"/>
      <c r="DG65" s="865"/>
      <c r="DH65" s="865"/>
      <c r="DI65" s="865"/>
      <c r="DJ65" s="865"/>
      <c r="DK65" s="865"/>
    </row>
    <row r="66" spans="1:117" s="389" customFormat="1" x14ac:dyDescent="0.2">
      <c r="A66" s="371"/>
      <c r="B66" s="372"/>
      <c r="C66" s="373" t="str">
        <f t="shared" si="27"/>
        <v>auf Rechnung ausgewiesener MwSt-Betrag</v>
      </c>
      <c r="D66" s="374">
        <f>D32</f>
        <v>7.0000000000000007E-2</v>
      </c>
      <c r="E66" s="1181">
        <f>IF('Deckblatt Gruender|Data Founder'!$M$1=1,"",IF(E46="",0,E46*IF($D46=$F$2,1,0))+IF(E54="",0,E54*IF($D54=$F$2,1,0))+IF(E59="",0,E59*IF($D59=$F$2,1,0))+IF(E64="",0,E64*IF($D64=$F$2,1,0)))</f>
        <v>0</v>
      </c>
      <c r="F66" s="1181">
        <f>IF('Deckblatt Gruender|Data Founder'!$M$1=1,"",IF(F46="",0,F46*IF($D46=$F$2,1,0))+IF(F54="",0,F54*IF($D54=$F$2,1,0))+IF(F59="",0,F59*IF($D59=$F$2,1,0))+IF(F64="",0,F64*IF($D64=$F$2,1,0)))</f>
        <v>0</v>
      </c>
      <c r="G66" s="1181">
        <f>IF('Deckblatt Gruender|Data Founder'!$M$1=1,"",IF(G46="",0,G46*IF($D46=$F$2,1,0))+IF(G54="",0,G54*IF($D54=$F$2,1,0))+IF(G59="",0,G59*IF($D59=$F$2,1,0))+IF(G64="",0,G64*IF($D64=$F$2,1,0)))</f>
        <v>0</v>
      </c>
      <c r="H66" s="1181">
        <f>IF('Deckblatt Gruender|Data Founder'!$M$1=1,"",IF(H46="",0,H46*IF($D46=$F$2,1,0))+IF(H54="",0,H54*IF($D54=$F$2,1,0))+IF(H59="",0,H59*IF($D59=$F$2,1,0))+IF(H64="",0,H64*IF($D64=$F$2,1,0)))</f>
        <v>0</v>
      </c>
      <c r="I66" s="1181">
        <f>IF('Deckblatt Gruender|Data Founder'!$M$1=1,"",IF(I46="",0,I46*IF($D46=$F$2,1,0))+IF(I54="",0,I54*IF($D54=$F$2,1,0))+IF(I59="",0,I59*IF($D59=$F$2,1,0))+IF(I64="",0,I64*IF($D64=$F$2,1,0)))</f>
        <v>0</v>
      </c>
      <c r="J66" s="1181">
        <f>IF('Deckblatt Gruender|Data Founder'!$M$1=1,"",IF(J46="",0,J46*IF($D46=$F$2,1,0))+IF(J54="",0,J54*IF($D54=$F$2,1,0))+IF(J59="",0,J59*IF($D59=$F$2,1,0))+IF(J64="",0,J64*IF($D64=$F$2,1,0)))</f>
        <v>0</v>
      </c>
      <c r="K66" s="1181">
        <f>IF('Deckblatt Gruender|Data Founder'!$M$1=1,"",IF(K46="",0,K46*IF($D46=$F$2,1,0))+IF(K54="",0,K54*IF($D54=$F$2,1,0))+IF(K59="",0,K59*IF($D59=$F$2,1,0))+IF(K64="",0,K64*IF($D64=$F$2,1,0)))</f>
        <v>0</v>
      </c>
      <c r="L66" s="1181">
        <f>IF('Deckblatt Gruender|Data Founder'!$M$1=1,"",IF(L46="",0,L46*IF($D46=$F$2,1,0))+IF(L54="",0,L54*IF($D54=$F$2,1,0))+IF(L59="",0,L59*IF($D59=$F$2,1,0))+IF(L64="",0,L64*IF($D64=$F$2,1,0)))</f>
        <v>0</v>
      </c>
      <c r="M66" s="1181">
        <f>IF('Deckblatt Gruender|Data Founder'!$M$1=1,"",IF(M46="",0,M46*IF($D46=$F$2,1,0))+IF(M54="",0,M54*IF($D54=$F$2,1,0))+IF(M59="",0,M59*IF($D59=$F$2,1,0))+IF(M64="",0,M64*IF($D64=$F$2,1,0)))</f>
        <v>0</v>
      </c>
      <c r="N66" s="1181">
        <f>IF('Deckblatt Gruender|Data Founder'!$M$1=1,"",IF(N46="",0,N46*IF($D46=$F$2,1,0))+IF(N54="",0,N54*IF($D54=$F$2,1,0))+IF(N59="",0,N59*IF($D59=$F$2,1,0))+IF(N64="",0,N64*IF($D64=$F$2,1,0)))</f>
        <v>0</v>
      </c>
      <c r="O66" s="1181">
        <f>IF('Deckblatt Gruender|Data Founder'!$M$1=1,"",IF(O46="",0,O46*IF($D46=$F$2,1,0))+IF(O54="",0,O54*IF($D54=$F$2,1,0))+IF(O59="",0,O59*IF($D59=$F$2,1,0))+IF(O64="",0,O64*IF($D64=$F$2,1,0)))</f>
        <v>0</v>
      </c>
      <c r="P66" s="1181">
        <f>IF('Deckblatt Gruender|Data Founder'!$M$1=1,"",IF(P46="",0,P46*IF($D46=$F$2,1,0))+IF(P54="",0,P54*IF($D54=$F$2,1,0))+IF(P59="",0,P59*IF($D59=$F$2,1,0))+IF(P64="",0,P64*IF($D64=$F$2,1,0)))</f>
        <v>0</v>
      </c>
      <c r="Q66" s="1278">
        <f>IF('Deckblatt Gruender|Data Founder'!$M$1=1,"",SUM(E66:P66))</f>
        <v>0</v>
      </c>
      <c r="R66" s="57"/>
      <c r="S66" s="1095"/>
      <c r="T66" s="371"/>
      <c r="U66" s="453"/>
      <c r="V66" s="950"/>
      <c r="W66" s="914"/>
      <c r="X66" s="951"/>
      <c r="Y66" s="951"/>
      <c r="Z66" s="951"/>
      <c r="AA66" s="951"/>
      <c r="AB66" s="951"/>
      <c r="AC66" s="951"/>
      <c r="AD66" s="951"/>
      <c r="AE66" s="951"/>
      <c r="AF66" s="951"/>
      <c r="AG66" s="951"/>
      <c r="AH66" s="951"/>
      <c r="AI66" s="951"/>
      <c r="AJ66" s="949"/>
      <c r="AK66" s="914"/>
      <c r="AL66" s="371"/>
      <c r="AM66" s="371"/>
      <c r="AN66" s="388"/>
      <c r="AO66" s="388"/>
      <c r="AP66" s="388"/>
      <c r="AQ66" s="388"/>
      <c r="AR66" s="388"/>
      <c r="AS66" s="388"/>
      <c r="AT66" s="388"/>
      <c r="AU66" s="388"/>
      <c r="AV66" s="388"/>
      <c r="AW66" s="388"/>
      <c r="AX66" s="388"/>
      <c r="AY66" s="388"/>
      <c r="AZ66" s="388"/>
      <c r="BA66" s="388"/>
      <c r="BB66" s="388"/>
      <c r="BC66" s="388"/>
      <c r="BD66" s="388"/>
      <c r="BE66" s="388"/>
      <c r="BF66" s="388"/>
      <c r="BG66" s="388"/>
      <c r="BH66" s="388"/>
      <c r="BI66" s="388"/>
      <c r="BJ66" s="388"/>
      <c r="BK66" s="388"/>
      <c r="BL66" s="388"/>
      <c r="BM66" s="388"/>
      <c r="BN66" s="388"/>
      <c r="BO66" s="388"/>
      <c r="BP66" s="388"/>
      <c r="BQ66" s="388"/>
      <c r="BR66" s="388"/>
      <c r="BS66" s="388"/>
      <c r="BT66" s="388"/>
      <c r="BU66" s="388"/>
      <c r="BV66" s="388"/>
      <c r="BW66" s="388"/>
      <c r="BX66" s="388"/>
      <c r="BY66" s="388"/>
      <c r="BZ66" s="388"/>
      <c r="CA66" s="388"/>
      <c r="CB66" s="388"/>
      <c r="CC66" s="388"/>
      <c r="CD66" s="388"/>
      <c r="CE66" s="388"/>
      <c r="CF66" s="388"/>
      <c r="CG66" s="388"/>
      <c r="CH66" s="388"/>
      <c r="CI66" s="388"/>
      <c r="CJ66" s="388"/>
      <c r="CK66" s="388"/>
      <c r="CL66" s="388"/>
      <c r="CM66" s="388"/>
      <c r="CN66" s="388"/>
      <c r="CO66" s="388"/>
      <c r="CP66" s="388"/>
      <c r="CQ66" s="388"/>
      <c r="CR66" s="388"/>
      <c r="CS66" s="388"/>
      <c r="CT66" s="388"/>
      <c r="CU66" s="388"/>
      <c r="CV66" s="323" t="str">
        <f>"Summe "&amp; IF($D$2="mit MwSt","im Umsatz enthaltene MwSt  ","im Umsatz nicht enthaltene MwSt  ")  &amp; "( "&amp;$F$2*100 &amp; "%)"</f>
        <v>Summe im Umsatz nicht enthaltene MwSt  ( 7%)</v>
      </c>
      <c r="CW66" s="323" t="str">
        <f>"Sum of "&amp;IF($D$2="mit  MwSt","applied VAT  ","included VAT ")  &amp; "( "&amp;$F$2*100 &amp; "%)"</f>
        <v>Sum of included VAT ( 7%)</v>
      </c>
      <c r="CX66" s="867"/>
      <c r="CY66" s="868"/>
      <c r="CZ66" s="868"/>
      <c r="DA66" s="868"/>
      <c r="DB66" s="868"/>
      <c r="DC66" s="868"/>
      <c r="DD66" s="868"/>
      <c r="DE66" s="868"/>
      <c r="DF66" s="868"/>
      <c r="DG66" s="868"/>
      <c r="DH66" s="868"/>
      <c r="DI66" s="868"/>
      <c r="DJ66" s="868"/>
      <c r="DK66" s="868"/>
      <c r="DL66" s="839"/>
      <c r="DM66" s="839"/>
    </row>
    <row r="67" spans="1:117" s="389" customFormat="1" ht="15" thickBot="1" x14ac:dyDescent="0.25">
      <c r="A67" s="371"/>
      <c r="B67" s="375"/>
      <c r="C67" s="373" t="str">
        <f t="shared" si="27"/>
        <v>auf Rechnung ausgewiesener MwSt-Betrag</v>
      </c>
      <c r="D67" s="376">
        <f>D33</f>
        <v>0.19</v>
      </c>
      <c r="E67" s="1181">
        <f>IF('Deckblatt Gruender|Data Founder'!$M$1=1,"",IF(E46="",0,E46*IF($D46=$G$2,1,0))+IF(E54="",0,E54*IF($D54=$G$2,1,0))+IF(E59="",0,E59*IF($D59=$G$2,1,0))+IF(E64="",0,E64*IF($D64=$G$2,1,0)))</f>
        <v>0</v>
      </c>
      <c r="F67" s="1181">
        <f>IF('Deckblatt Gruender|Data Founder'!$M$1=1,"",IF(F46="",0,F46*IF($D46=$G$2,1,0))+IF(F54="",0,F54*IF($D54=$G$2,1,0))+IF(F59="",0,F59*IF($D59=$G$2,1,0))+IF(F64="",0,F64*IF($D64=$G$2,1,0)))</f>
        <v>0</v>
      </c>
      <c r="G67" s="1181">
        <f>IF('Deckblatt Gruender|Data Founder'!$M$1=1,"",IF(G46="",0,G46*IF($D46=$G$2,1,0))+IF(G54="",0,G54*IF($D54=$G$2,1,0))+IF(G59="",0,G59*IF($D59=$G$2,1,0))+IF(G64="",0,G64*IF($D64=$G$2,1,0)))</f>
        <v>0</v>
      </c>
      <c r="H67" s="1181">
        <f>IF('Deckblatt Gruender|Data Founder'!$M$1=1,"",IF(H46="",0,H46*IF($D46=$G$2,1,0))+IF(H54="",0,H54*IF($D54=$G$2,1,0))+IF(H59="",0,H59*IF($D59=$G$2,1,0))+IF(H64="",0,H64*IF($D64=$G$2,1,0)))</f>
        <v>0</v>
      </c>
      <c r="I67" s="1181">
        <f>IF('Deckblatt Gruender|Data Founder'!$M$1=1,"",IF(I46="",0,I46*IF($D46=$G$2,1,0))+IF(I54="",0,I54*IF($D54=$G$2,1,0))+IF(I59="",0,I59*IF($D59=$G$2,1,0))+IF(I64="",0,I64*IF($D64=$G$2,1,0)))</f>
        <v>0</v>
      </c>
      <c r="J67" s="1181">
        <f>IF('Deckblatt Gruender|Data Founder'!$M$1=1,"",IF(J46="",0,J46*IF($D46=$G$2,1,0))+IF(J54="",0,J54*IF($D54=$G$2,1,0))+IF(J59="",0,J59*IF($D59=$G$2,1,0))+IF(J64="",0,J64*IF($D64=$G$2,1,0)))</f>
        <v>0</v>
      </c>
      <c r="K67" s="1181">
        <f>IF('Deckblatt Gruender|Data Founder'!$M$1=1,"",IF(K46="",0,K46*IF($D46=$G$2,1,0))+IF(K54="",0,K54*IF($D54=$G$2,1,0))+IF(K59="",0,K59*IF($D59=$G$2,1,0))+IF(K64="",0,K64*IF($D64=$G$2,1,0)))</f>
        <v>0</v>
      </c>
      <c r="L67" s="1181">
        <f>IF('Deckblatt Gruender|Data Founder'!$M$1=1,"",IF(L46="",0,L46*IF($D46=$G$2,1,0))+IF(L54="",0,L54*IF($D54=$G$2,1,0))+IF(L59="",0,L59*IF($D59=$G$2,1,0))+IF(L64="",0,L64*IF($D64=$G$2,1,0)))</f>
        <v>0</v>
      </c>
      <c r="M67" s="1181">
        <f>IF('Deckblatt Gruender|Data Founder'!$M$1=1,"",IF(M46="",0,M46*IF($D46=$G$2,1,0))+IF(M54="",0,M54*IF($D54=$G$2,1,0))+IF(M59="",0,M59*IF($D59=$G$2,1,0))+IF(M64="",0,M64*IF($D64=$G$2,1,0)))</f>
        <v>0</v>
      </c>
      <c r="N67" s="1181">
        <f>IF('Deckblatt Gruender|Data Founder'!$M$1=1,"",IF(N46="",0,N46*IF($D46=$G$2,1,0))+IF(N54="",0,N54*IF($D54=$G$2,1,0))+IF(N59="",0,N59*IF($D59=$G$2,1,0))+IF(N64="",0,N64*IF($D64=$G$2,1,0)))</f>
        <v>0</v>
      </c>
      <c r="O67" s="1181">
        <f>IF('Deckblatt Gruender|Data Founder'!$M$1=1,"",IF(O46="",0,O46*IF($D46=$G$2,1,0))+IF(O54="",0,O54*IF($D54=$G$2,1,0))+IF(O59="",0,O59*IF($D59=$G$2,1,0))+IF(O64="",0,O64*IF($D64=$G$2,1,0)))</f>
        <v>0</v>
      </c>
      <c r="P67" s="1181">
        <f>IF('Deckblatt Gruender|Data Founder'!$M$1=1,"",IF(P46="",0,P46*IF($D46=$G$2,1,0))+IF(P54="",0,P54*IF($D54=$G$2,1,0))+IF(P59="",0,P59*IF($D59=$G$2,1,0))+IF(P64="",0,P64*IF($D64=$G$2,1,0)))</f>
        <v>0</v>
      </c>
      <c r="Q67" s="1292">
        <f>IF('Deckblatt Gruender|Data Founder'!$M$1=1,"",SUM(E67:P67))</f>
        <v>0</v>
      </c>
      <c r="R67" s="57"/>
      <c r="S67" s="1095"/>
      <c r="T67" s="371"/>
      <c r="U67" s="453"/>
      <c r="V67" s="950"/>
      <c r="W67" s="914"/>
      <c r="X67" s="951"/>
      <c r="Y67" s="951"/>
      <c r="Z67" s="951"/>
      <c r="AA67" s="951"/>
      <c r="AB67" s="951"/>
      <c r="AC67" s="951"/>
      <c r="AD67" s="951"/>
      <c r="AE67" s="951"/>
      <c r="AF67" s="951"/>
      <c r="AG67" s="951"/>
      <c r="AH67" s="951"/>
      <c r="AI67" s="951"/>
      <c r="AJ67" s="949"/>
      <c r="AK67" s="914"/>
      <c r="AL67" s="371"/>
      <c r="AM67" s="371"/>
      <c r="AN67" s="388"/>
      <c r="AO67" s="388"/>
      <c r="AP67" s="388"/>
      <c r="AQ67" s="388"/>
      <c r="AR67" s="388"/>
      <c r="AS67" s="388"/>
      <c r="AT67" s="388"/>
      <c r="AU67" s="388"/>
      <c r="AV67" s="388"/>
      <c r="AW67" s="388"/>
      <c r="AX67" s="388"/>
      <c r="AY67" s="388"/>
      <c r="AZ67" s="388"/>
      <c r="BA67" s="388"/>
      <c r="BB67" s="388"/>
      <c r="BC67" s="388"/>
      <c r="BD67" s="388"/>
      <c r="BE67" s="388"/>
      <c r="BF67" s="388"/>
      <c r="BG67" s="388"/>
      <c r="BH67" s="388"/>
      <c r="BI67" s="388"/>
      <c r="BJ67" s="388"/>
      <c r="BK67" s="388"/>
      <c r="BL67" s="388"/>
      <c r="BM67" s="388"/>
      <c r="BN67" s="388"/>
      <c r="BO67" s="388"/>
      <c r="BP67" s="388"/>
      <c r="BQ67" s="388"/>
      <c r="BR67" s="388"/>
      <c r="BS67" s="388"/>
      <c r="BT67" s="388"/>
      <c r="BU67" s="388"/>
      <c r="BV67" s="388"/>
      <c r="BW67" s="388"/>
      <c r="BX67" s="388"/>
      <c r="BY67" s="388"/>
      <c r="BZ67" s="388"/>
      <c r="CA67" s="388"/>
      <c r="CB67" s="388"/>
      <c r="CC67" s="388"/>
      <c r="CD67" s="388"/>
      <c r="CE67" s="388"/>
      <c r="CF67" s="388"/>
      <c r="CG67" s="388"/>
      <c r="CH67" s="388"/>
      <c r="CI67" s="388"/>
      <c r="CJ67" s="388"/>
      <c r="CK67" s="388"/>
      <c r="CL67" s="388"/>
      <c r="CM67" s="388"/>
      <c r="CN67" s="388"/>
      <c r="CO67" s="388"/>
      <c r="CP67" s="388"/>
      <c r="CQ67" s="388"/>
      <c r="CR67" s="388"/>
      <c r="CS67" s="388"/>
      <c r="CT67" s="388"/>
      <c r="CU67" s="388"/>
      <c r="CV67" s="323" t="str">
        <f>"Summe "&amp; IF($D$2="mit MwSt","im Umsatz enthaltene MwSt ","nicht im Umsatz enthaltene MwSt ") &amp; "("&amp;$G$2*100 &amp; "% )"</f>
        <v>Summe nicht im Umsatz enthaltene MwSt (19% )</v>
      </c>
      <c r="CW67" s="323" t="str">
        <f>"Sum of "&amp;IF($D$2="mit  MwSt","additional VAT ","included VAT ")&amp; "("&amp;$G$2*100 &amp; "%)"</f>
        <v>Sum of included VAT (19%)</v>
      </c>
      <c r="CX67" s="867"/>
      <c r="CY67" s="868"/>
      <c r="CZ67" s="868"/>
      <c r="DA67" s="868"/>
      <c r="DB67" s="868"/>
      <c r="DC67" s="868"/>
      <c r="DD67" s="868"/>
      <c r="DE67" s="868"/>
      <c r="DF67" s="868"/>
      <c r="DG67" s="868"/>
      <c r="DH67" s="868"/>
      <c r="DI67" s="868"/>
      <c r="DJ67" s="868"/>
      <c r="DK67" s="868"/>
      <c r="DL67" s="839"/>
      <c r="DM67" s="839"/>
    </row>
    <row r="68" spans="1:117" ht="15" thickTop="1" x14ac:dyDescent="0.2">
      <c r="B68" s="377"/>
      <c r="C68" s="378" t="str">
        <f t="shared" si="27"/>
        <v>Gesamtumsätze</v>
      </c>
      <c r="D68" s="379"/>
      <c r="E68" s="1174">
        <f t="shared" ref="E68:P68" si="29">E47+E55+E60+E65</f>
        <v>0</v>
      </c>
      <c r="F68" s="1174">
        <f t="shared" si="29"/>
        <v>0</v>
      </c>
      <c r="G68" s="1174">
        <f t="shared" si="29"/>
        <v>0</v>
      </c>
      <c r="H68" s="1174">
        <f t="shared" si="29"/>
        <v>0</v>
      </c>
      <c r="I68" s="1174">
        <f t="shared" si="29"/>
        <v>0</v>
      </c>
      <c r="J68" s="1174">
        <f t="shared" si="29"/>
        <v>0</v>
      </c>
      <c r="K68" s="1174">
        <f t="shared" si="29"/>
        <v>0</v>
      </c>
      <c r="L68" s="1174">
        <f t="shared" si="29"/>
        <v>0</v>
      </c>
      <c r="M68" s="1174">
        <f t="shared" si="29"/>
        <v>0</v>
      </c>
      <c r="N68" s="1174">
        <f t="shared" si="29"/>
        <v>0</v>
      </c>
      <c r="O68" s="1174">
        <f t="shared" si="29"/>
        <v>0</v>
      </c>
      <c r="P68" s="1174">
        <f t="shared" si="29"/>
        <v>0</v>
      </c>
      <c r="Q68" s="1175">
        <f>SUM(E68:P68)</f>
        <v>0</v>
      </c>
      <c r="U68" s="453"/>
      <c r="V68" s="948"/>
      <c r="W68" s="914"/>
      <c r="X68" s="949"/>
      <c r="Y68" s="949"/>
      <c r="Z68" s="949"/>
      <c r="AA68" s="949"/>
      <c r="AB68" s="949"/>
      <c r="AC68" s="949"/>
      <c r="AD68" s="949"/>
      <c r="AE68" s="949"/>
      <c r="AF68" s="949"/>
      <c r="AG68" s="949"/>
      <c r="AH68" s="949"/>
      <c r="AI68" s="949"/>
      <c r="AJ68" s="949"/>
      <c r="AK68" s="186"/>
      <c r="CV68" s="915" t="s">
        <v>404</v>
      </c>
      <c r="CW68" s="917" t="s">
        <v>406</v>
      </c>
      <c r="CX68" s="853"/>
    </row>
    <row r="69" spans="1:117" ht="15" thickBot="1" x14ac:dyDescent="0.25">
      <c r="B69" s="380"/>
      <c r="C69" s="327" t="str">
        <f t="shared" si="27"/>
        <v>Gesamtumsätze akkumuliert</v>
      </c>
      <c r="D69" s="969"/>
      <c r="E69" s="1176">
        <f>E68</f>
        <v>0</v>
      </c>
      <c r="F69" s="1176">
        <f t="shared" ref="F69:P69" si="30">E69+F68</f>
        <v>0</v>
      </c>
      <c r="G69" s="1176">
        <f t="shared" si="30"/>
        <v>0</v>
      </c>
      <c r="H69" s="1176">
        <f t="shared" si="30"/>
        <v>0</v>
      </c>
      <c r="I69" s="1176">
        <f t="shared" si="30"/>
        <v>0</v>
      </c>
      <c r="J69" s="1176">
        <f t="shared" si="30"/>
        <v>0</v>
      </c>
      <c r="K69" s="1176">
        <f t="shared" si="30"/>
        <v>0</v>
      </c>
      <c r="L69" s="1176">
        <f t="shared" si="30"/>
        <v>0</v>
      </c>
      <c r="M69" s="1176">
        <f t="shared" si="30"/>
        <v>0</v>
      </c>
      <c r="N69" s="1176">
        <f t="shared" si="30"/>
        <v>0</v>
      </c>
      <c r="O69" s="1176">
        <f t="shared" si="30"/>
        <v>0</v>
      </c>
      <c r="P69" s="1176">
        <f t="shared" si="30"/>
        <v>0</v>
      </c>
      <c r="Q69" s="1177"/>
      <c r="U69" s="585"/>
      <c r="V69" s="950"/>
      <c r="W69" s="952"/>
      <c r="X69" s="953"/>
      <c r="Y69" s="953"/>
      <c r="Z69" s="953"/>
      <c r="AA69" s="953"/>
      <c r="AB69" s="953"/>
      <c r="AC69" s="953"/>
      <c r="AD69" s="953"/>
      <c r="AE69" s="953"/>
      <c r="AF69" s="953"/>
      <c r="AG69" s="953"/>
      <c r="AH69" s="953"/>
      <c r="AI69" s="953"/>
      <c r="AJ69" s="953"/>
      <c r="AK69" s="186"/>
      <c r="CV69" s="915" t="s">
        <v>405</v>
      </c>
      <c r="CW69" s="917" t="s">
        <v>407</v>
      </c>
      <c r="CX69" s="853"/>
    </row>
    <row r="70" spans="1:117" s="176" customFormat="1" ht="42" customHeight="1" x14ac:dyDescent="0.2"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1045"/>
      <c r="R70" s="57"/>
      <c r="S70" s="1095"/>
      <c r="CV70" s="180" t="str">
        <f ca="1">"Umsätze, Honorare, sonst.Einnahmen (" &amp; 'Deckblatt Gruender|Data Founder'!$J$1 &amp; ") für " &amp; '1 Pers.Ausgaben|Pers Expenses'!$C$4 &amp;"-"&amp;  '1 Pers.Ausgaben|Pers Expenses'!$C$4+4</f>
        <v>Umsätze, Honorare, sonst.Einnahmen (ohne MwSt) für 2019-2023</v>
      </c>
      <c r="CW70" s="180" t="str">
        <f ca="1">"Sales, Fees, other Income for " &amp; '1 Pers.Ausgaben|Pers Expenses'!$C$4&amp; "-"&amp; '1 Pers.Ausgaben|Pers Expenses'!$C$4+4</f>
        <v>Sales, Fees, other Income for 2019-2023</v>
      </c>
      <c r="CX70" s="867"/>
      <c r="CY70" s="868"/>
      <c r="CZ70" s="868"/>
      <c r="DA70" s="868"/>
      <c r="DB70" s="868"/>
      <c r="DC70" s="868"/>
      <c r="DD70" s="868"/>
      <c r="DE70" s="868"/>
      <c r="DF70" s="868"/>
      <c r="DG70" s="868"/>
      <c r="DH70" s="868"/>
      <c r="DI70" s="868"/>
      <c r="DJ70" s="868"/>
      <c r="DK70" s="868"/>
      <c r="DL70" s="177"/>
      <c r="DM70" s="177"/>
    </row>
    <row r="71" spans="1:117" s="176" customFormat="1" ht="23.25" thickBot="1" x14ac:dyDescent="0.35">
      <c r="B71" s="298" t="str">
        <f ca="1">IF($C$4="English",CW71,CV71)</f>
        <v>2b Umsätze, Honorare, sonst. Einnahmen (ohne MwSt) für die Jahre 2019 - 2023</v>
      </c>
      <c r="E71" s="201"/>
      <c r="F71" s="201"/>
      <c r="G71" s="201"/>
      <c r="H71" s="201"/>
      <c r="I71" s="201"/>
      <c r="J71" s="201"/>
      <c r="K71" s="201"/>
      <c r="L71" s="201"/>
      <c r="M71" s="201"/>
      <c r="N71" s="1295" t="str">
        <f ca="1">IF(C4="English",CW70,CV70)</f>
        <v>Umsätze, Honorare, sonst.Einnahmen (ohne MwSt) für 2019-2023</v>
      </c>
      <c r="O71" s="201"/>
      <c r="P71" s="201"/>
      <c r="Q71" s="201"/>
      <c r="R71" s="57"/>
      <c r="S71" s="1095"/>
      <c r="CV71" s="404" t="str">
        <f ca="1">"2b Umsätze, Honorare, sonst. Einnahmen (" &amp; 'Deckblatt Gruender|Data Founder'!$J$1&amp; ") für die Jahre " &amp; '1 Pers.Ausgaben|Pers Expenses'!$C$4 &amp; " - " &amp; '1 Pers.Ausgaben|Pers Expenses'!$C$4+4</f>
        <v>2b Umsätze, Honorare, sonst. Einnahmen (ohne MwSt) für die Jahre 2019 - 2023</v>
      </c>
      <c r="CW71" s="404" t="str">
        <f ca="1">"2b Sales, Fees, other Income (" &amp; 'Deckblatt Gruender|Data Founder'!$K$1&amp; ") for the Years " &amp; '1 Pers.Ausgaben|Pers Expenses'!$C$4 &amp; " - " &amp; '1 Pers.Ausgaben|Pers Expenses'!$C$4+4</f>
        <v>2b Sales, Fees, other Income (w/o VAT) for the Years 2019 - 2023</v>
      </c>
      <c r="CX71" s="853"/>
      <c r="CY71" s="852"/>
      <c r="CZ71" s="852"/>
      <c r="DA71" s="852"/>
      <c r="DB71" s="852"/>
      <c r="DC71" s="852"/>
      <c r="DD71" s="852"/>
      <c r="DE71" s="852"/>
      <c r="DF71" s="852"/>
      <c r="DG71" s="852"/>
      <c r="DH71" s="852"/>
      <c r="DI71" s="852"/>
      <c r="DJ71" s="852"/>
      <c r="DK71" s="852"/>
      <c r="DL71" s="177"/>
      <c r="DM71" s="177"/>
    </row>
    <row r="72" spans="1:117" s="176" customFormat="1" ht="15" thickBot="1" x14ac:dyDescent="0.25">
      <c r="B72" s="186"/>
      <c r="C72" s="384"/>
      <c r="D72" s="384"/>
      <c r="E72" s="224"/>
      <c r="F72" s="224"/>
      <c r="G72" s="224"/>
      <c r="H72" s="224"/>
      <c r="I72" s="224"/>
      <c r="J72" s="224"/>
      <c r="K72" s="201"/>
      <c r="L72" s="201"/>
      <c r="M72" s="201"/>
      <c r="O72" s="201"/>
      <c r="P72" s="201"/>
      <c r="Q72" s="201"/>
      <c r="R72" s="57"/>
      <c r="S72" s="1094"/>
      <c r="U72" s="58" t="s">
        <v>309</v>
      </c>
      <c r="V72" s="167" t="str">
        <f>C73</f>
        <v>Einnahmeart</v>
      </c>
      <c r="W72" s="167" t="str">
        <f>IF($C$4="English","VAT", "MwSt")</f>
        <v>MwSt</v>
      </c>
      <c r="X72" s="159">
        <f ca="1">E73+2</f>
        <v>2021</v>
      </c>
      <c r="Y72" s="159">
        <f ca="1">X72+1</f>
        <v>2022</v>
      </c>
      <c r="Z72" s="160">
        <f ca="1">Y72+1</f>
        <v>2023</v>
      </c>
      <c r="CV72" s="918"/>
      <c r="CW72" s="305"/>
      <c r="CX72" s="853"/>
      <c r="CY72" s="852"/>
      <c r="CZ72" s="852"/>
      <c r="DA72" s="852"/>
      <c r="DB72" s="852"/>
      <c r="DC72" s="852"/>
      <c r="DD72" s="852"/>
      <c r="DE72" s="852"/>
      <c r="DF72" s="852"/>
      <c r="DG72" s="852"/>
      <c r="DH72" s="852"/>
      <c r="DI72" s="852"/>
      <c r="DJ72" s="852"/>
      <c r="DK72" s="852"/>
      <c r="DL72" s="177"/>
      <c r="DM72" s="177"/>
    </row>
    <row r="73" spans="1:117" s="60" customFormat="1" ht="15" thickBot="1" x14ac:dyDescent="0.25">
      <c r="A73" s="57"/>
      <c r="B73" s="58" t="str">
        <f>B5</f>
        <v>No.</v>
      </c>
      <c r="C73" s="58" t="str">
        <f>C5</f>
        <v>Einnahmeart</v>
      </c>
      <c r="D73" s="167" t="str">
        <f>D5</f>
        <v>MwSt</v>
      </c>
      <c r="E73" s="984">
        <f ca="1">'1 Pers.Ausgaben|Pers Expenses'!C4</f>
        <v>2019</v>
      </c>
      <c r="F73" s="984">
        <f ca="1">E73+1</f>
        <v>2020</v>
      </c>
      <c r="G73" s="215">
        <f ca="1">F73+1</f>
        <v>2021</v>
      </c>
      <c r="H73" s="215">
        <f ca="1">G73+1</f>
        <v>2022</v>
      </c>
      <c r="I73" s="391">
        <f ca="1">H73+1</f>
        <v>2023</v>
      </c>
      <c r="J73" s="392"/>
      <c r="K73" s="201"/>
      <c r="L73" s="201"/>
      <c r="M73" s="201"/>
      <c r="N73" s="201"/>
      <c r="O73" s="201"/>
      <c r="P73" s="201"/>
      <c r="Q73" s="201"/>
      <c r="R73" s="57"/>
      <c r="S73" s="1094"/>
      <c r="T73" s="57"/>
      <c r="U73" s="947" t="s">
        <v>509</v>
      </c>
      <c r="V73" s="954" t="str">
        <f>C79</f>
        <v>Umsätze aus Nebenrechnung Gruppe 1</v>
      </c>
      <c r="W73" s="912">
        <f>D80</f>
        <v>0.19</v>
      </c>
      <c r="X73" s="367"/>
      <c r="Y73" s="367"/>
      <c r="Z73" s="368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180"/>
      <c r="CW73" s="180"/>
      <c r="CX73" s="297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87"/>
      <c r="DM73" s="287"/>
    </row>
    <row r="74" spans="1:117" s="180" customFormat="1" x14ac:dyDescent="0.2">
      <c r="A74" s="176"/>
      <c r="B74" s="369">
        <v>1</v>
      </c>
      <c r="C74" s="1503" t="str">
        <f>C6</f>
        <v>Umsatz Produktgruppe 1</v>
      </c>
      <c r="D74" s="1504">
        <f>D40</f>
        <v>0.19</v>
      </c>
      <c r="E74" s="1178"/>
      <c r="F74" s="1178"/>
      <c r="G74" s="1166"/>
      <c r="H74" s="1166"/>
      <c r="I74" s="1166"/>
      <c r="J74" s="392"/>
      <c r="K74" s="1610"/>
      <c r="L74" s="224"/>
      <c r="M74" s="224"/>
      <c r="N74" s="224"/>
      <c r="O74" s="224"/>
      <c r="P74" s="224"/>
      <c r="Q74" s="224"/>
      <c r="R74" s="57"/>
      <c r="S74" s="1092"/>
      <c r="T74" s="186"/>
      <c r="U74" s="970" t="s">
        <v>543</v>
      </c>
      <c r="V74" s="871"/>
      <c r="W74" s="186"/>
      <c r="X74" s="386"/>
      <c r="Y74" s="386"/>
      <c r="Z74" s="945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0" t="str">
        <f ca="1">"Umsätze und Einnahmen (" &amp; 'Deckblatt Gruender|Data Founder'!$J$1 &amp; ") für die Jahre " &amp; '1 Pers.Ausgaben|Pers Expenses'!$C$4 &amp;" und "&amp;  '1 Pers.Ausgaben|Pers Expenses'!$C$4+1&amp;" (EUR)"</f>
        <v>Umsätze und Einnahmen (ohne MwSt) für die Jahre 2019 und 2020 (EUR)</v>
      </c>
      <c r="CW74" s="180" t="str">
        <f ca="1">"Sales and Income (" &amp; 'Deckblatt Gruender|Data Founder'!$K$1&amp; ") for the Years " &amp; '1 Pers.Ausgaben|Pers Expenses'!$C$4&amp; " and "&amp; '1 Pers.Ausgaben|Pers Expenses'!$C$4+1&amp;" (EUR)"</f>
        <v>Sales and Income (w/o VAT) for the Years 2019 and 2020 (EUR)</v>
      </c>
      <c r="CX74" s="297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387"/>
      <c r="DM74" s="387"/>
    </row>
    <row r="75" spans="1:117" s="180" customFormat="1" x14ac:dyDescent="0.2">
      <c r="A75" s="176"/>
      <c r="B75" s="913" t="s">
        <v>505</v>
      </c>
      <c r="C75" s="1502" t="str">
        <f>IF(C41="","",C41)</f>
        <v/>
      </c>
      <c r="D75" s="1397"/>
      <c r="E75" s="1406">
        <f>Q7</f>
        <v>0</v>
      </c>
      <c r="F75" s="1406">
        <f t="shared" ref="F75:F80" si="31">Q41</f>
        <v>0</v>
      </c>
      <c r="G75" s="1393"/>
      <c r="H75" s="1393"/>
      <c r="I75" s="1396"/>
      <c r="J75" s="392"/>
      <c r="K75" s="1610"/>
      <c r="L75" s="224"/>
      <c r="M75" s="224"/>
      <c r="N75" s="224"/>
      <c r="O75" s="224"/>
      <c r="P75" s="224"/>
      <c r="Q75" s="224"/>
      <c r="R75" s="57"/>
      <c r="S75" s="1556"/>
      <c r="T75" s="186"/>
      <c r="U75" s="970" t="s">
        <v>544</v>
      </c>
      <c r="V75" s="871"/>
      <c r="W75" s="186"/>
      <c r="X75" s="386"/>
      <c r="Y75" s="386"/>
      <c r="Z75" s="945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297"/>
      <c r="CW75" s="297"/>
      <c r="CX75" s="297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387"/>
      <c r="DM75" s="387"/>
    </row>
    <row r="76" spans="1:117" s="180" customFormat="1" x14ac:dyDescent="0.2">
      <c r="A76" s="176"/>
      <c r="B76" s="913" t="s">
        <v>506</v>
      </c>
      <c r="C76" s="1405" t="str">
        <f>IF(C42="","",C42)</f>
        <v/>
      </c>
      <c r="D76" s="1397"/>
      <c r="E76" s="1406">
        <f t="shared" ref="E76:E80" si="32">Q8</f>
        <v>0</v>
      </c>
      <c r="F76" s="1406">
        <f t="shared" si="31"/>
        <v>0</v>
      </c>
      <c r="G76" s="1393"/>
      <c r="H76" s="1393"/>
      <c r="I76" s="1396"/>
      <c r="J76" s="392"/>
      <c r="K76" s="1610"/>
      <c r="L76" s="224"/>
      <c r="M76" s="224"/>
      <c r="N76" s="224"/>
      <c r="O76" s="224"/>
      <c r="P76" s="224"/>
      <c r="Q76" s="224"/>
      <c r="R76" s="57"/>
      <c r="S76" s="1556"/>
      <c r="T76" s="186"/>
      <c r="U76" s="970" t="s">
        <v>545</v>
      </c>
      <c r="V76" s="871"/>
      <c r="W76" s="186"/>
      <c r="X76" s="386"/>
      <c r="Y76" s="386"/>
      <c r="Z76" s="945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297"/>
      <c r="CW76" s="297"/>
      <c r="CX76" s="297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387"/>
      <c r="DM76" s="387"/>
    </row>
    <row r="77" spans="1:117" s="180" customFormat="1" x14ac:dyDescent="0.2">
      <c r="A77" s="176"/>
      <c r="B77" s="913" t="s">
        <v>507</v>
      </c>
      <c r="C77" s="1405" t="str">
        <f>IF(C43="","",C43)</f>
        <v/>
      </c>
      <c r="D77" s="1397"/>
      <c r="E77" s="1406">
        <f t="shared" si="32"/>
        <v>0</v>
      </c>
      <c r="F77" s="1406">
        <f t="shared" si="31"/>
        <v>0</v>
      </c>
      <c r="G77" s="1393"/>
      <c r="H77" s="1393"/>
      <c r="I77" s="1396"/>
      <c r="J77" s="392"/>
      <c r="K77" s="224"/>
      <c r="L77" s="224"/>
      <c r="M77" s="224"/>
      <c r="N77" s="224"/>
      <c r="O77" s="224"/>
      <c r="P77" s="224"/>
      <c r="Q77" s="224"/>
      <c r="R77" s="57"/>
      <c r="S77" s="1556"/>
      <c r="T77" s="186"/>
      <c r="U77" s="970" t="s">
        <v>546</v>
      </c>
      <c r="V77" s="871"/>
      <c r="W77" s="186"/>
      <c r="X77" s="386"/>
      <c r="Y77" s="386"/>
      <c r="Z77" s="945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297"/>
      <c r="CW77" s="297"/>
      <c r="CX77" s="297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387"/>
      <c r="DM77" s="387"/>
    </row>
    <row r="78" spans="1:117" s="180" customFormat="1" x14ac:dyDescent="0.2">
      <c r="A78" s="176"/>
      <c r="B78" s="913" t="s">
        <v>508</v>
      </c>
      <c r="C78" s="1405" t="str">
        <f>IF(C44="","",C44)</f>
        <v/>
      </c>
      <c r="D78" s="1397"/>
      <c r="E78" s="1406">
        <f t="shared" si="32"/>
        <v>0</v>
      </c>
      <c r="F78" s="1406">
        <f t="shared" si="31"/>
        <v>0</v>
      </c>
      <c r="G78" s="1393"/>
      <c r="H78" s="1393"/>
      <c r="I78" s="1396"/>
      <c r="J78" s="392"/>
      <c r="K78" s="224"/>
      <c r="L78" s="224"/>
      <c r="M78" s="224"/>
      <c r="N78" s="224"/>
      <c r="O78" s="224"/>
      <c r="P78" s="224"/>
      <c r="Q78" s="224"/>
      <c r="R78" s="57"/>
      <c r="S78" s="1556"/>
      <c r="T78" s="186"/>
      <c r="U78" s="970" t="s">
        <v>547</v>
      </c>
      <c r="V78" s="871"/>
      <c r="W78" s="186"/>
      <c r="X78" s="386"/>
      <c r="Y78" s="386"/>
      <c r="Z78" s="945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297"/>
      <c r="CW78" s="297"/>
      <c r="CX78" s="297"/>
      <c r="CY78" s="205"/>
      <c r="CZ78" s="205"/>
      <c r="DA78" s="205"/>
      <c r="DB78" s="205"/>
      <c r="DC78" s="205"/>
      <c r="DD78" s="205"/>
      <c r="DE78" s="205"/>
      <c r="DF78" s="205"/>
      <c r="DG78" s="205"/>
      <c r="DH78" s="205"/>
      <c r="DI78" s="205"/>
      <c r="DJ78" s="205"/>
      <c r="DK78" s="205"/>
      <c r="DL78" s="387"/>
      <c r="DM78" s="387"/>
    </row>
    <row r="79" spans="1:117" s="180" customFormat="1" x14ac:dyDescent="0.2">
      <c r="A79" s="176"/>
      <c r="B79" s="913" t="s">
        <v>509</v>
      </c>
      <c r="C79" s="1036" t="str">
        <f>C11</f>
        <v>Umsätze aus Nebenrechnung Gruppe 1</v>
      </c>
      <c r="D79" s="1397"/>
      <c r="E79" s="1179">
        <f t="shared" si="32"/>
        <v>0</v>
      </c>
      <c r="F79" s="1179">
        <f t="shared" si="31"/>
        <v>0</v>
      </c>
      <c r="G79" s="1169" t="str">
        <f>X79</f>
        <v/>
      </c>
      <c r="H79" s="1169" t="str">
        <f>Y79</f>
        <v/>
      </c>
      <c r="I79" s="1169" t="str">
        <f>Z79</f>
        <v/>
      </c>
      <c r="J79" s="392"/>
      <c r="K79" s="224"/>
      <c r="L79" s="224"/>
      <c r="M79" s="224"/>
      <c r="N79" s="224"/>
      <c r="O79" s="224"/>
      <c r="P79" s="224"/>
      <c r="Q79" s="224"/>
      <c r="R79" s="57"/>
      <c r="S79" s="1556"/>
      <c r="T79" s="186"/>
      <c r="U79" s="966"/>
      <c r="V79" s="956" t="str">
        <f>V45</f>
        <v>Summe Nebenrechnung Gruppe1</v>
      </c>
      <c r="W79" s="957"/>
      <c r="X79" s="958" t="str">
        <f>IF(SUM(X74:X78)=0,"",SUM(X74:X78))</f>
        <v/>
      </c>
      <c r="Y79" s="958" t="str">
        <f>IF(SUM(Y74:Y78)=0,"",SUM(Y74:Y78))</f>
        <v/>
      </c>
      <c r="Z79" s="1088" t="str">
        <f>IF(SUM(Z74:Z78)=0,"",SUM(Z74:Z78))</f>
        <v/>
      </c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297"/>
      <c r="CW79" s="297"/>
      <c r="CX79" s="297"/>
      <c r="CY79" s="205"/>
      <c r="CZ79" s="205"/>
      <c r="DA79" s="205"/>
      <c r="DB79" s="205"/>
      <c r="DC79" s="205"/>
      <c r="DD79" s="205"/>
      <c r="DE79" s="205"/>
      <c r="DF79" s="205"/>
      <c r="DG79" s="205"/>
      <c r="DH79" s="205"/>
      <c r="DI79" s="205"/>
      <c r="DJ79" s="205"/>
      <c r="DK79" s="205"/>
      <c r="DL79" s="387"/>
      <c r="DM79" s="387"/>
    </row>
    <row r="80" spans="1:117" s="180" customFormat="1" hidden="1" x14ac:dyDescent="0.2">
      <c r="A80" s="176"/>
      <c r="B80" s="964"/>
      <c r="C80" s="965" t="str">
        <f>C12</f>
        <v>auf Rechnung ausgewiesener MwSt-Betrag</v>
      </c>
      <c r="D80" s="985">
        <f>D6</f>
        <v>0.19</v>
      </c>
      <c r="E80" s="1277" t="str">
        <f t="shared" si="32"/>
        <v/>
      </c>
      <c r="F80" s="1277" t="str">
        <f t="shared" si="31"/>
        <v/>
      </c>
      <c r="G80" s="1170" t="str">
        <f>IF(OR(SUM(G75:G79)=0,'Deckblatt Gruender|Data Founder'!$M$1=1),"",IF('Deckblatt Gruender|Data Founder'!$M$1=2,SUM(G75:G79)-SUM(G75:G79)/(1+$D80),SUM(G75:G79)*($D80)))</f>
        <v/>
      </c>
      <c r="H80" s="1170" t="str">
        <f>IF(OR(SUM(H75:H79)=0,'Deckblatt Gruender|Data Founder'!$M$1=1),"",IF('Deckblatt Gruender|Data Founder'!$M$1=2,SUM(H75:H79)-SUM(H75:H79)/(1+$D80),SUM(H75:H79)*($D80)))</f>
        <v/>
      </c>
      <c r="I80" s="1170" t="str">
        <f>IF(OR(SUM(I75:I79)=0,'Deckblatt Gruender|Data Founder'!$M$1=1),"",IF('Deckblatt Gruender|Data Founder'!$M$1=2,SUM(I75:I79)-SUM(I75:I79)/(1+$D80),SUM(I75:I79)*($D80)))</f>
        <v/>
      </c>
      <c r="J80" s="392"/>
      <c r="K80" s="224"/>
      <c r="L80" s="224"/>
      <c r="M80" s="224"/>
      <c r="N80" s="224"/>
      <c r="O80" s="224"/>
      <c r="P80" s="224"/>
      <c r="Q80" s="224"/>
      <c r="R80" s="57"/>
      <c r="S80" s="1093"/>
      <c r="T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297"/>
      <c r="CW80" s="297"/>
      <c r="CX80" s="297"/>
      <c r="CY80" s="205"/>
      <c r="CZ80" s="205"/>
      <c r="DA80" s="205"/>
      <c r="DB80" s="205"/>
      <c r="DC80" s="205"/>
      <c r="DD80" s="205"/>
      <c r="DE80" s="205"/>
      <c r="DF80" s="205"/>
      <c r="DG80" s="205"/>
      <c r="DH80" s="205"/>
      <c r="DI80" s="205"/>
      <c r="DJ80" s="205"/>
      <c r="DK80" s="205"/>
      <c r="DL80" s="387"/>
      <c r="DM80" s="387"/>
    </row>
    <row r="81" spans="1:117" s="180" customFormat="1" ht="15" thickBot="1" x14ac:dyDescent="0.25">
      <c r="A81" s="176"/>
      <c r="B81" s="1495"/>
      <c r="C81" s="1500" t="str">
        <f>C13</f>
        <v>Summe Umsatz Produktgruppe 1</v>
      </c>
      <c r="D81" s="1497"/>
      <c r="E81" s="1501">
        <f>Q13</f>
        <v>0</v>
      </c>
      <c r="F81" s="1498">
        <f>Q47</f>
        <v>0</v>
      </c>
      <c r="G81" s="1498">
        <f>SUM(G75:G79)</f>
        <v>0</v>
      </c>
      <c r="H81" s="1498">
        <f>SUM(H75:H79)</f>
        <v>0</v>
      </c>
      <c r="I81" s="1499">
        <f>SUM(I75:I79)</f>
        <v>0</v>
      </c>
      <c r="J81" s="392"/>
      <c r="K81" s="224"/>
      <c r="L81" s="224"/>
      <c r="M81" s="224"/>
      <c r="N81" s="224"/>
      <c r="O81" s="224"/>
      <c r="P81" s="224"/>
      <c r="Q81" s="224"/>
      <c r="R81" s="57"/>
      <c r="S81" s="1093"/>
      <c r="T81" s="186"/>
      <c r="U81" s="967" t="s">
        <v>514</v>
      </c>
      <c r="V81" s="955" t="str">
        <f>C87</f>
        <v>Umsätze aus Nebenrechnung Gruppe 2</v>
      </c>
      <c r="W81" s="912">
        <f>D88</f>
        <v>0.19</v>
      </c>
      <c r="X81" s="367"/>
      <c r="Y81" s="367"/>
      <c r="Z81" s="368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297"/>
      <c r="CW81" s="297"/>
      <c r="CX81" s="297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387"/>
      <c r="DM81" s="387"/>
    </row>
    <row r="82" spans="1:117" s="180" customFormat="1" x14ac:dyDescent="0.2">
      <c r="A82" s="176"/>
      <c r="B82" s="314">
        <v>2</v>
      </c>
      <c r="C82" s="1503" t="str">
        <f>C14</f>
        <v>Umsatz Produktgruppe 2</v>
      </c>
      <c r="D82" s="1504">
        <f>D48</f>
        <v>0.19</v>
      </c>
      <c r="E82" s="1182"/>
      <c r="F82" s="1182"/>
      <c r="G82" s="1169"/>
      <c r="H82" s="1169"/>
      <c r="I82" s="1169"/>
      <c r="J82" s="392"/>
      <c r="K82" s="224"/>
      <c r="L82" s="224"/>
      <c r="M82" s="224"/>
      <c r="N82" s="224"/>
      <c r="O82" s="224"/>
      <c r="P82" s="224"/>
      <c r="Q82" s="224"/>
      <c r="R82" s="57"/>
      <c r="S82" s="1093"/>
      <c r="T82" s="186"/>
      <c r="U82" s="970" t="s">
        <v>548</v>
      </c>
      <c r="V82" s="871"/>
      <c r="W82" s="330"/>
      <c r="X82" s="386"/>
      <c r="Y82" s="386"/>
      <c r="Z82" s="945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297"/>
      <c r="CW82" s="297"/>
      <c r="CX82" s="297"/>
      <c r="CY82" s="205"/>
      <c r="CZ82" s="205"/>
      <c r="DA82" s="205"/>
      <c r="DB82" s="205"/>
      <c r="DC82" s="205"/>
      <c r="DD82" s="205"/>
      <c r="DE82" s="205"/>
      <c r="DF82" s="205"/>
      <c r="DG82" s="205"/>
      <c r="DH82" s="205"/>
      <c r="DI82" s="205"/>
      <c r="DJ82" s="205"/>
      <c r="DK82" s="205"/>
      <c r="DL82" s="387"/>
      <c r="DM82" s="387"/>
    </row>
    <row r="83" spans="1:117" s="180" customFormat="1" x14ac:dyDescent="0.2">
      <c r="A83" s="176"/>
      <c r="B83" s="913" t="s">
        <v>510</v>
      </c>
      <c r="C83" s="1405" t="str">
        <f>IF(C49="","",C49)</f>
        <v/>
      </c>
      <c r="D83" s="1401"/>
      <c r="E83" s="1406">
        <f t="shared" ref="E83:E89" si="33">Q15</f>
        <v>0</v>
      </c>
      <c r="F83" s="1406">
        <f t="shared" ref="F83:F89" si="34">Q49</f>
        <v>0</v>
      </c>
      <c r="G83" s="1393"/>
      <c r="H83" s="1393"/>
      <c r="I83" s="1396"/>
      <c r="J83" s="392"/>
      <c r="K83" s="224"/>
      <c r="L83" s="224"/>
      <c r="M83" s="224"/>
      <c r="N83" s="224"/>
      <c r="O83" s="224"/>
      <c r="P83" s="224"/>
      <c r="Q83" s="224"/>
      <c r="R83" s="57"/>
      <c r="S83" s="1556"/>
      <c r="T83" s="186"/>
      <c r="U83" s="970" t="s">
        <v>549</v>
      </c>
      <c r="V83" s="871"/>
      <c r="W83" s="186"/>
      <c r="X83" s="386"/>
      <c r="Y83" s="386"/>
      <c r="Z83" s="945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297"/>
      <c r="CW83" s="297"/>
      <c r="CX83" s="297"/>
      <c r="CY83" s="205"/>
      <c r="CZ83" s="205"/>
      <c r="DA83" s="205"/>
      <c r="DB83" s="205"/>
      <c r="DC83" s="205"/>
      <c r="DD83" s="205"/>
      <c r="DE83" s="205"/>
      <c r="DF83" s="205"/>
      <c r="DG83" s="205"/>
      <c r="DH83" s="205"/>
      <c r="DI83" s="205"/>
      <c r="DJ83" s="205"/>
      <c r="DK83" s="205"/>
      <c r="DL83" s="387"/>
      <c r="DM83" s="387"/>
    </row>
    <row r="84" spans="1:117" s="180" customFormat="1" x14ac:dyDescent="0.2">
      <c r="A84" s="176"/>
      <c r="B84" s="913" t="s">
        <v>511</v>
      </c>
      <c r="C84" s="1405" t="str">
        <f>IF(C50="","",C50)</f>
        <v/>
      </c>
      <c r="D84" s="1397"/>
      <c r="E84" s="1406">
        <f t="shared" si="33"/>
        <v>0</v>
      </c>
      <c r="F84" s="1406">
        <f t="shared" si="34"/>
        <v>0</v>
      </c>
      <c r="G84" s="1393"/>
      <c r="H84" s="1393"/>
      <c r="I84" s="1396"/>
      <c r="J84" s="392"/>
      <c r="K84" s="224"/>
      <c r="L84" s="224"/>
      <c r="M84" s="224"/>
      <c r="N84" s="224"/>
      <c r="O84" s="224"/>
      <c r="P84" s="224"/>
      <c r="Q84" s="224"/>
      <c r="R84" s="57"/>
      <c r="S84" s="1556"/>
      <c r="T84" s="186"/>
      <c r="U84" s="970" t="s">
        <v>550</v>
      </c>
      <c r="V84" s="871"/>
      <c r="W84" s="186"/>
      <c r="X84" s="386"/>
      <c r="Y84" s="386"/>
      <c r="Z84" s="945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297"/>
      <c r="CW84" s="297"/>
      <c r="CX84" s="297"/>
      <c r="CY84" s="205"/>
      <c r="CZ84" s="205"/>
      <c r="DA84" s="205"/>
      <c r="DB84" s="205"/>
      <c r="DC84" s="205"/>
      <c r="DD84" s="205"/>
      <c r="DE84" s="205"/>
      <c r="DF84" s="205"/>
      <c r="DG84" s="205"/>
      <c r="DH84" s="205"/>
      <c r="DI84" s="205"/>
      <c r="DJ84" s="205"/>
      <c r="DK84" s="205"/>
      <c r="DL84" s="387"/>
      <c r="DM84" s="387"/>
    </row>
    <row r="85" spans="1:117" s="180" customFormat="1" x14ac:dyDescent="0.2">
      <c r="A85" s="176"/>
      <c r="B85" s="913" t="s">
        <v>512</v>
      </c>
      <c r="C85" s="1405" t="str">
        <f>IF(C51="","",C51)</f>
        <v/>
      </c>
      <c r="D85" s="1397"/>
      <c r="E85" s="1406">
        <f t="shared" si="33"/>
        <v>0</v>
      </c>
      <c r="F85" s="1406">
        <f t="shared" si="34"/>
        <v>0</v>
      </c>
      <c r="G85" s="1393"/>
      <c r="H85" s="1393"/>
      <c r="I85" s="1396"/>
      <c r="J85" s="392"/>
      <c r="K85" s="224"/>
      <c r="L85" s="224"/>
      <c r="M85" s="224"/>
      <c r="N85" s="224"/>
      <c r="O85" s="224"/>
      <c r="P85" s="224"/>
      <c r="Q85" s="224"/>
      <c r="R85" s="57"/>
      <c r="S85" s="1556"/>
      <c r="T85" s="186"/>
      <c r="U85" s="970" t="s">
        <v>551</v>
      </c>
      <c r="V85" s="871"/>
      <c r="W85" s="186"/>
      <c r="X85" s="386"/>
      <c r="Y85" s="386"/>
      <c r="Z85" s="945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297"/>
      <c r="CW85" s="297"/>
      <c r="CX85" s="297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387"/>
      <c r="DM85" s="387"/>
    </row>
    <row r="86" spans="1:117" s="180" customFormat="1" x14ac:dyDescent="0.2">
      <c r="A86" s="176"/>
      <c r="B86" s="913" t="s">
        <v>513</v>
      </c>
      <c r="C86" s="1405" t="str">
        <f>IF(C52="","",C52)</f>
        <v/>
      </c>
      <c r="D86" s="1397"/>
      <c r="E86" s="1406">
        <f t="shared" si="33"/>
        <v>0</v>
      </c>
      <c r="F86" s="1406">
        <f t="shared" si="34"/>
        <v>0</v>
      </c>
      <c r="G86" s="1393"/>
      <c r="H86" s="1393"/>
      <c r="I86" s="1396"/>
      <c r="J86" s="392"/>
      <c r="K86" s="224"/>
      <c r="L86" s="224"/>
      <c r="M86" s="224"/>
      <c r="N86" s="224"/>
      <c r="O86" s="224"/>
      <c r="P86" s="224"/>
      <c r="Q86" s="224"/>
      <c r="R86" s="57"/>
      <c r="S86" s="1556"/>
      <c r="T86" s="186"/>
      <c r="U86" s="970" t="s">
        <v>552</v>
      </c>
      <c r="V86" s="871"/>
      <c r="W86" s="186"/>
      <c r="X86" s="386"/>
      <c r="Y86" s="386"/>
      <c r="Z86" s="945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297"/>
      <c r="CW86" s="297"/>
      <c r="CX86" s="297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387"/>
      <c r="DM86" s="387"/>
    </row>
    <row r="87" spans="1:117" s="180" customFormat="1" ht="15" thickBot="1" x14ac:dyDescent="0.25">
      <c r="A87" s="176"/>
      <c r="B87" s="913" t="s">
        <v>514</v>
      </c>
      <c r="C87" s="1404" t="str">
        <f>C19</f>
        <v>Umsätze aus Nebenrechnung Gruppe 2</v>
      </c>
      <c r="D87" s="1402"/>
      <c r="E87" s="1183">
        <f t="shared" si="33"/>
        <v>0</v>
      </c>
      <c r="F87" s="1183">
        <f t="shared" si="34"/>
        <v>0</v>
      </c>
      <c r="G87" s="1169" t="str">
        <f>X87</f>
        <v/>
      </c>
      <c r="H87" s="1169" t="str">
        <f>Y87</f>
        <v/>
      </c>
      <c r="I87" s="1169" t="str">
        <f>Z87</f>
        <v/>
      </c>
      <c r="J87" s="392"/>
      <c r="K87" s="224"/>
      <c r="L87" s="224"/>
      <c r="M87" s="224"/>
      <c r="N87" s="224"/>
      <c r="O87" s="224"/>
      <c r="P87" s="224"/>
      <c r="Q87" s="224"/>
      <c r="R87" s="57"/>
      <c r="S87" s="1556"/>
      <c r="T87" s="186"/>
      <c r="U87" s="968"/>
      <c r="V87" s="960" t="str">
        <f>V53</f>
        <v>Summe Nebenrechnung Gruppe2</v>
      </c>
      <c r="W87" s="961"/>
      <c r="X87" s="962" t="str">
        <f>IF(SUM(X82:X86)=0,"",SUM(X82:X86))</f>
        <v/>
      </c>
      <c r="Y87" s="962" t="str">
        <f>IF(SUM(Y82:Y86)=0,"",SUM(Y82:Y86))</f>
        <v/>
      </c>
      <c r="Z87" s="1089" t="str">
        <f>IF(SUM(Z82:Z86)=0,"",SUM(Z82:Z86))</f>
        <v/>
      </c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297"/>
      <c r="CW87" s="297"/>
      <c r="CX87" s="297"/>
      <c r="CY87" s="205"/>
      <c r="CZ87" s="205"/>
      <c r="DA87" s="205"/>
      <c r="DB87" s="205"/>
      <c r="DC87" s="205"/>
      <c r="DD87" s="205"/>
      <c r="DE87" s="205"/>
      <c r="DF87" s="205"/>
      <c r="DG87" s="205"/>
      <c r="DH87" s="205"/>
      <c r="DI87" s="205"/>
      <c r="DJ87" s="205"/>
      <c r="DK87" s="205"/>
      <c r="DL87" s="387"/>
      <c r="DM87" s="387"/>
    </row>
    <row r="88" spans="1:117" s="180" customFormat="1" hidden="1" x14ac:dyDescent="0.2">
      <c r="A88" s="176"/>
      <c r="B88" s="964"/>
      <c r="C88" s="1403" t="str">
        <f>C20</f>
        <v>auf Rechnung ausgewiesener MwSt-Betrag</v>
      </c>
      <c r="D88" s="985">
        <f>D14</f>
        <v>0.19</v>
      </c>
      <c r="E88" s="1277" t="str">
        <f t="shared" si="33"/>
        <v/>
      </c>
      <c r="F88" s="1277" t="str">
        <f t="shared" si="34"/>
        <v/>
      </c>
      <c r="G88" s="1170" t="str">
        <f>IF(OR(SUM(G83:G87)=0,'Deckblatt Gruender|Data Founder'!$M$1=1),"",IF('Deckblatt Gruender|Data Founder'!$M$1=2,SUM(G83:G87)-SUM(G83:G87)/(1+$D88),SUM(G83:G87)*($D88)))</f>
        <v/>
      </c>
      <c r="H88" s="1170" t="str">
        <f>IF(OR(SUM(H83:H87)=0,'Deckblatt Gruender|Data Founder'!$M$1=1),"",IF('Deckblatt Gruender|Data Founder'!$M$1=2,SUM(H83:H87)-SUM(H83:H87)/(1+$D88),SUM(H83:H87)*($D88)))</f>
        <v/>
      </c>
      <c r="I88" s="1170" t="str">
        <f>IF(OR(SUM(I83:I87)=0,'Deckblatt Gruender|Data Founder'!$M$1=1),"",IF('Deckblatt Gruender|Data Founder'!$M$1=2,SUM(I83:I87)-SUM(I83:I87)/(1+$D88),SUM(I83:I87)*($D88)))</f>
        <v/>
      </c>
      <c r="J88" s="392"/>
      <c r="K88" s="224"/>
      <c r="L88" s="224"/>
      <c r="M88" s="224"/>
      <c r="N88" s="224"/>
      <c r="O88" s="224"/>
      <c r="P88" s="224"/>
      <c r="Q88" s="224"/>
      <c r="R88" s="57"/>
      <c r="S88" s="1093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297"/>
      <c r="CW88" s="297"/>
      <c r="CX88" s="297"/>
      <c r="CY88" s="205"/>
      <c r="CZ88" s="205"/>
      <c r="DA88" s="205"/>
      <c r="DB88" s="205"/>
      <c r="DC88" s="205"/>
      <c r="DD88" s="205"/>
      <c r="DE88" s="205"/>
      <c r="DF88" s="205"/>
      <c r="DG88" s="205"/>
      <c r="DH88" s="205"/>
      <c r="DI88" s="205"/>
      <c r="DJ88" s="205"/>
      <c r="DK88" s="205"/>
      <c r="DL88" s="387"/>
      <c r="DM88" s="387"/>
    </row>
    <row r="89" spans="1:117" s="180" customFormat="1" ht="15" thickBot="1" x14ac:dyDescent="0.25">
      <c r="A89" s="176"/>
      <c r="B89" s="1495"/>
      <c r="C89" s="1500" t="str">
        <f>C21</f>
        <v>Summe Umsatz Produktgruppe 2</v>
      </c>
      <c r="D89" s="1497"/>
      <c r="E89" s="1501">
        <f t="shared" si="33"/>
        <v>0</v>
      </c>
      <c r="F89" s="1498">
        <f t="shared" si="34"/>
        <v>0</v>
      </c>
      <c r="G89" s="1498">
        <f>SUM(G83:G87)</f>
        <v>0</v>
      </c>
      <c r="H89" s="1498">
        <f>SUM(H83:H87)</f>
        <v>0</v>
      </c>
      <c r="I89" s="1499">
        <f>SUM(I83:I87)</f>
        <v>0</v>
      </c>
      <c r="J89" s="392"/>
      <c r="K89" s="224"/>
      <c r="L89" s="224"/>
      <c r="M89" s="224"/>
      <c r="N89" s="224"/>
      <c r="O89" s="224"/>
      <c r="P89" s="224"/>
      <c r="Q89" s="224"/>
      <c r="R89" s="57"/>
      <c r="S89" s="1093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297"/>
      <c r="CW89" s="297"/>
      <c r="CX89" s="297"/>
      <c r="CY89" s="205"/>
      <c r="CZ89" s="205"/>
      <c r="DA89" s="205"/>
      <c r="DB89" s="205"/>
      <c r="DC89" s="205"/>
      <c r="DD89" s="205"/>
      <c r="DE89" s="205"/>
      <c r="DF89" s="205"/>
      <c r="DG89" s="205"/>
      <c r="DH89" s="205"/>
      <c r="DI89" s="205"/>
      <c r="DJ89" s="205"/>
      <c r="DK89" s="205"/>
      <c r="DL89" s="387"/>
      <c r="DM89" s="387"/>
    </row>
    <row r="90" spans="1:117" s="180" customFormat="1" x14ac:dyDescent="0.2">
      <c r="A90" s="176"/>
      <c r="B90" s="369">
        <v>3</v>
      </c>
      <c r="C90" s="1503" t="str">
        <f>C22</f>
        <v>Honorareinnahmen</v>
      </c>
      <c r="D90" s="1504">
        <f>D56</f>
        <v>7.0000000000000007E-2</v>
      </c>
      <c r="E90" s="1182"/>
      <c r="F90" s="1182"/>
      <c r="G90" s="1169"/>
      <c r="H90" s="1169"/>
      <c r="I90" s="1169"/>
      <c r="J90" s="392"/>
      <c r="K90" s="224"/>
      <c r="L90" s="224"/>
      <c r="M90" s="224"/>
      <c r="N90" s="224"/>
      <c r="O90" s="224"/>
      <c r="P90" s="224"/>
      <c r="Q90" s="224"/>
      <c r="R90" s="57"/>
      <c r="S90" s="1094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297"/>
      <c r="CW90" s="297"/>
      <c r="CX90" s="297"/>
      <c r="CY90" s="205"/>
      <c r="CZ90" s="205"/>
      <c r="DA90" s="205"/>
      <c r="DB90" s="205"/>
      <c r="DC90" s="205"/>
      <c r="DD90" s="205"/>
      <c r="DE90" s="205"/>
      <c r="DF90" s="205"/>
      <c r="DG90" s="205"/>
      <c r="DH90" s="205"/>
      <c r="DI90" s="205"/>
      <c r="DJ90" s="205"/>
      <c r="DK90" s="205"/>
      <c r="DL90" s="387"/>
      <c r="DM90" s="387"/>
    </row>
    <row r="91" spans="1:117" s="180" customFormat="1" x14ac:dyDescent="0.2">
      <c r="A91" s="176"/>
      <c r="B91" s="913" t="s">
        <v>515</v>
      </c>
      <c r="C91" s="1405" t="str">
        <f>IF(C57="","",C57)</f>
        <v/>
      </c>
      <c r="D91" s="1401"/>
      <c r="E91" s="1406">
        <f>Q23</f>
        <v>0</v>
      </c>
      <c r="F91" s="1406">
        <f>Q57</f>
        <v>0</v>
      </c>
      <c r="G91" s="1393"/>
      <c r="H91" s="1393"/>
      <c r="I91" s="1396"/>
      <c r="J91" s="392"/>
      <c r="K91" s="224"/>
      <c r="L91" s="224"/>
      <c r="M91" s="224"/>
      <c r="N91" s="224"/>
      <c r="O91" s="224"/>
      <c r="P91" s="224"/>
      <c r="Q91" s="224"/>
      <c r="R91" s="57"/>
      <c r="S91" s="155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297"/>
      <c r="CW91" s="297"/>
      <c r="CX91" s="297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387"/>
      <c r="DM91" s="387"/>
    </row>
    <row r="92" spans="1:117" x14ac:dyDescent="0.2">
      <c r="B92" s="913" t="s">
        <v>516</v>
      </c>
      <c r="C92" s="1405" t="str">
        <f>IF(C58="","",C58)</f>
        <v/>
      </c>
      <c r="D92" s="1397"/>
      <c r="E92" s="1406">
        <f>Q24</f>
        <v>0</v>
      </c>
      <c r="F92" s="1406">
        <f>Q58</f>
        <v>0</v>
      </c>
      <c r="G92" s="1393"/>
      <c r="H92" s="1393"/>
      <c r="I92" s="1396"/>
      <c r="J92" s="392"/>
      <c r="K92" s="201"/>
      <c r="L92" s="201"/>
      <c r="M92" s="201"/>
      <c r="N92" s="201"/>
      <c r="O92" s="201"/>
      <c r="P92" s="201"/>
      <c r="Q92" s="201"/>
      <c r="R92" s="95"/>
      <c r="S92" s="1556"/>
      <c r="CY92" s="205"/>
      <c r="CZ92" s="205"/>
      <c r="DA92" s="205"/>
      <c r="DB92" s="205"/>
      <c r="DC92" s="205"/>
      <c r="DD92" s="205"/>
      <c r="DE92" s="205"/>
      <c r="DF92" s="205"/>
      <c r="DG92" s="205"/>
      <c r="DH92" s="205"/>
      <c r="DI92" s="205"/>
      <c r="DJ92" s="205"/>
      <c r="DK92" s="205"/>
    </row>
    <row r="93" spans="1:117" s="370" customFormat="1" hidden="1" x14ac:dyDescent="0.2">
      <c r="A93" s="288"/>
      <c r="B93" s="964"/>
      <c r="C93" s="965" t="str">
        <f>C25</f>
        <v>auf Rechnung ausgewiesener MwSt-Betrag</v>
      </c>
      <c r="D93" s="985">
        <f>D22</f>
        <v>7.0000000000000007E-2</v>
      </c>
      <c r="E93" s="1277" t="str">
        <f>Q25</f>
        <v/>
      </c>
      <c r="F93" s="1277" t="str">
        <f>Q59</f>
        <v/>
      </c>
      <c r="G93" s="1170" t="str">
        <f>IF(OR(SUM(G91:G92)=0,'Deckblatt Gruender|Data Founder'!$M$1=1),"",IF('Deckblatt Gruender|Data Founder'!$M$1=2,SUM(G91:G92)-SUM(G91:G92)/(1+$D93),SUM(G91:G92)*($D93)))</f>
        <v/>
      </c>
      <c r="H93" s="1170" t="str">
        <f>IF(OR(SUM(H91:H92)=0,'Deckblatt Gruender|Data Founder'!$M$1=1),"",IF('Deckblatt Gruender|Data Founder'!$M$1=2,SUM(H91:H92)-SUM(H91:H92)/(1+$D93),SUM(H91:H92)*($D93)))</f>
        <v/>
      </c>
      <c r="I93" s="1170" t="str">
        <f>IF(OR(SUM(I91:I92)=0,'Deckblatt Gruender|Data Founder'!$M$1=1),"",IF('Deckblatt Gruender|Data Founder'!$M$1=2,SUM(I91:I92)-SUM(I91:I92)/(1+$D93),SUM(I91:I92)*($D93)))</f>
        <v/>
      </c>
      <c r="J93" s="393"/>
      <c r="K93" s="274"/>
      <c r="L93" s="274"/>
      <c r="M93" s="274"/>
      <c r="N93" s="274"/>
      <c r="O93" s="274"/>
      <c r="P93" s="274"/>
      <c r="Q93" s="274"/>
      <c r="R93" s="57"/>
      <c r="S93" s="1094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X93" s="297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DJ93" s="205"/>
      <c r="DK93" s="205"/>
      <c r="DL93" s="232"/>
      <c r="DM93" s="232"/>
    </row>
    <row r="94" spans="1:117" ht="15" thickBot="1" x14ac:dyDescent="0.25">
      <c r="B94" s="1495"/>
      <c r="C94" s="1500" t="str">
        <f>C26</f>
        <v>Summe Honorareinnahmen</v>
      </c>
      <c r="D94" s="1497"/>
      <c r="E94" s="1501">
        <f>Q26</f>
        <v>0</v>
      </c>
      <c r="F94" s="1498">
        <f>Q60</f>
        <v>0</v>
      </c>
      <c r="G94" s="1498">
        <f>SUM(G91:G92)</f>
        <v>0</v>
      </c>
      <c r="H94" s="1498">
        <f>SUM(H91:H92)</f>
        <v>0</v>
      </c>
      <c r="I94" s="1499">
        <f>SUM(I91:I92)</f>
        <v>0</v>
      </c>
      <c r="J94" s="392"/>
      <c r="K94" s="201"/>
      <c r="L94" s="201"/>
      <c r="M94" s="201"/>
      <c r="N94" s="201"/>
      <c r="O94" s="201"/>
      <c r="P94" s="201"/>
      <c r="Q94" s="201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</row>
    <row r="95" spans="1:117" s="370" customFormat="1" x14ac:dyDescent="0.2">
      <c r="A95" s="288"/>
      <c r="B95" s="369">
        <v>4</v>
      </c>
      <c r="C95" s="1503" t="str">
        <f>C27</f>
        <v>Sonstige Einnahmen</v>
      </c>
      <c r="D95" s="1504">
        <f>D61</f>
        <v>7.0000000000000007E-2</v>
      </c>
      <c r="E95" s="1182"/>
      <c r="F95" s="1182"/>
      <c r="G95" s="1173"/>
      <c r="H95" s="1173"/>
      <c r="I95" s="1173"/>
      <c r="J95" s="393"/>
      <c r="K95" s="274"/>
      <c r="L95" s="274"/>
      <c r="M95" s="274"/>
      <c r="N95" s="274"/>
      <c r="O95" s="274"/>
      <c r="P95" s="274"/>
      <c r="Q95" s="274"/>
      <c r="R95" s="57"/>
      <c r="S95" s="1094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97"/>
      <c r="CW95" s="297"/>
      <c r="CX95" s="297"/>
      <c r="CY95" s="205"/>
      <c r="CZ95" s="205"/>
      <c r="DA95" s="205"/>
      <c r="DB95" s="205"/>
      <c r="DC95" s="205"/>
      <c r="DD95" s="205"/>
      <c r="DE95" s="205"/>
      <c r="DF95" s="205"/>
      <c r="DG95" s="205"/>
      <c r="DH95" s="205"/>
      <c r="DI95" s="205"/>
      <c r="DJ95" s="205"/>
      <c r="DK95" s="205"/>
      <c r="DL95" s="232"/>
      <c r="DM95" s="232"/>
    </row>
    <row r="96" spans="1:117" x14ac:dyDescent="0.2">
      <c r="B96" s="913" t="s">
        <v>517</v>
      </c>
      <c r="C96" s="1405" t="str">
        <f>IF(C62="","",C62)</f>
        <v/>
      </c>
      <c r="D96" s="1401"/>
      <c r="E96" s="1406">
        <f t="shared" ref="E96:E101" si="35">Q28</f>
        <v>0</v>
      </c>
      <c r="F96" s="1406">
        <f t="shared" ref="F96:F101" si="36">Q62</f>
        <v>0</v>
      </c>
      <c r="G96" s="1393"/>
      <c r="H96" s="1393"/>
      <c r="I96" s="1396"/>
      <c r="J96" s="392"/>
      <c r="K96" s="201"/>
      <c r="L96" s="201"/>
      <c r="M96" s="201"/>
      <c r="N96" s="201"/>
      <c r="O96" s="201"/>
      <c r="P96" s="201"/>
      <c r="Q96" s="201"/>
      <c r="S96" s="1556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  <c r="DJ96" s="205"/>
      <c r="DK96" s="205"/>
    </row>
    <row r="97" spans="1:117" s="370" customFormat="1" x14ac:dyDescent="0.2">
      <c r="A97" s="288"/>
      <c r="B97" s="913" t="s">
        <v>518</v>
      </c>
      <c r="C97" s="1405" t="str">
        <f>IF(C63="","",C63)</f>
        <v/>
      </c>
      <c r="D97" s="1397"/>
      <c r="E97" s="1406">
        <f t="shared" si="35"/>
        <v>0</v>
      </c>
      <c r="F97" s="1406">
        <f t="shared" si="36"/>
        <v>0</v>
      </c>
      <c r="G97" s="1393"/>
      <c r="H97" s="1393"/>
      <c r="I97" s="1396"/>
      <c r="J97" s="393"/>
      <c r="K97" s="274"/>
      <c r="L97" s="274"/>
      <c r="M97" s="274"/>
      <c r="N97" s="274"/>
      <c r="O97" s="274"/>
      <c r="P97" s="274"/>
      <c r="Q97" s="274"/>
      <c r="R97" s="57"/>
      <c r="S97" s="1556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97"/>
      <c r="CW97" s="297"/>
      <c r="CX97" s="297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32"/>
      <c r="DM97" s="232"/>
    </row>
    <row r="98" spans="1:117" hidden="1" x14ac:dyDescent="0.2">
      <c r="B98" s="964"/>
      <c r="C98" s="1403" t="str">
        <f t="shared" ref="C98:C103" si="37">C30</f>
        <v>auf Rechnung ausgewiesener MwSt-Betrag</v>
      </c>
      <c r="D98" s="985">
        <f>D27</f>
        <v>7.0000000000000007E-2</v>
      </c>
      <c r="E98" s="1277" t="str">
        <f t="shared" si="35"/>
        <v/>
      </c>
      <c r="F98" s="1277" t="str">
        <f t="shared" si="36"/>
        <v/>
      </c>
      <c r="G98" s="1170" t="str">
        <f>IF(OR(SUM(G96:G97)=0,'Deckblatt Gruender|Data Founder'!$M$1=1),"",IF('Deckblatt Gruender|Data Founder'!$M$1=2,SUM(G96:G97)-SUM(G96:G97)/(1+$D98),SUM(G96:G97)*($D98)))</f>
        <v/>
      </c>
      <c r="H98" s="1170" t="str">
        <f>IF(OR(SUM(H96:H97)=0,'Deckblatt Gruender|Data Founder'!$M$1=1),"",IF('Deckblatt Gruender|Data Founder'!$M$1=2,SUM(H96:H97)-SUM(H96:H97)/(1+$D98),SUM(H96:H97)*($D98)))</f>
        <v/>
      </c>
      <c r="I98" s="1170" t="str">
        <f>IF(OR(SUM(I96:I97)=0,'Deckblatt Gruender|Data Founder'!$M$1=1),"",IF('Deckblatt Gruender|Data Founder'!$M$1=2,SUM(I96:I97)-SUM(I96:I97)/(1+$D98),SUM(I96:I97)*($D98)))</f>
        <v/>
      </c>
      <c r="J98" s="392"/>
      <c r="K98" s="201"/>
      <c r="L98" s="201"/>
      <c r="M98" s="201"/>
      <c r="N98" s="201"/>
      <c r="O98" s="201"/>
      <c r="P98" s="201"/>
      <c r="Q98" s="201"/>
      <c r="S98" s="1093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</row>
    <row r="99" spans="1:117" s="370" customFormat="1" ht="15" thickBot="1" x14ac:dyDescent="0.25">
      <c r="A99" s="288"/>
      <c r="B99" s="1495"/>
      <c r="C99" s="1500" t="str">
        <f t="shared" si="37"/>
        <v>Summe Sonstige Einnahmen</v>
      </c>
      <c r="D99" s="1497"/>
      <c r="E99" s="1501">
        <f t="shared" si="35"/>
        <v>0</v>
      </c>
      <c r="F99" s="1498">
        <f t="shared" si="36"/>
        <v>0</v>
      </c>
      <c r="G99" s="1498">
        <f>SUM(G96:G97)</f>
        <v>0</v>
      </c>
      <c r="H99" s="1498">
        <f>SUM(H96:H97)</f>
        <v>0</v>
      </c>
      <c r="I99" s="1499">
        <f>SUM(I96:I97)</f>
        <v>0</v>
      </c>
      <c r="J99" s="393"/>
      <c r="K99" s="274"/>
      <c r="L99" s="274"/>
      <c r="M99" s="274"/>
      <c r="N99" s="274"/>
      <c r="O99" s="274"/>
      <c r="P99" s="274"/>
      <c r="Q99" s="274"/>
      <c r="R99" s="57"/>
      <c r="S99" s="177" t="s">
        <v>247</v>
      </c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97"/>
      <c r="CW99" s="297"/>
      <c r="CX99" s="297"/>
      <c r="CY99" s="205"/>
      <c r="CZ99" s="205"/>
      <c r="DA99" s="205"/>
      <c r="DB99" s="205"/>
      <c r="DC99" s="205"/>
      <c r="DD99" s="205"/>
      <c r="DE99" s="205"/>
      <c r="DF99" s="205"/>
      <c r="DG99" s="205"/>
      <c r="DH99" s="205"/>
      <c r="DI99" s="205"/>
      <c r="DJ99" s="205"/>
      <c r="DK99" s="205"/>
      <c r="DL99" s="232"/>
      <c r="DM99" s="232"/>
    </row>
    <row r="100" spans="1:117" x14ac:dyDescent="0.2">
      <c r="B100" s="372"/>
      <c r="C100" s="373" t="str">
        <f t="shared" si="37"/>
        <v>auf Rechnung ausgewiesener MwSt-Betrag</v>
      </c>
      <c r="D100" s="986">
        <f>D32</f>
        <v>7.0000000000000007E-2</v>
      </c>
      <c r="E100" s="1180">
        <f t="shared" si="35"/>
        <v>0</v>
      </c>
      <c r="F100" s="1180">
        <f t="shared" si="36"/>
        <v>0</v>
      </c>
      <c r="G100" s="1181">
        <f>IF('Deckblatt Gruender|Data Founder'!$M$1=1,"",IF(G80="",0,G80*IF($D80=$F$2,1,0))+IF(G88="",0,G88*IF($D88=$F$2,1,0))+IF(G93="",0,G93*IF($D93=$F$2,1,0))+IF(G98="",0,G98*IF($D98=$F$2,1,0)))</f>
        <v>0</v>
      </c>
      <c r="H100" s="1181">
        <f>IF('Deckblatt Gruender|Data Founder'!$M$1=1,"",IF(H80="",0,H80*IF($D80=$F$2,1,0))+IF(H88="",0,H88*IF($D88=$F$2,1,0))+IF(H93="",0,H93*IF($D93=$F$2,1,0))+IF(H98="",0,H98*IF($D98=$F$2,1,0)))</f>
        <v>0</v>
      </c>
      <c r="I100" s="1181">
        <f>IF('Deckblatt Gruender|Data Founder'!$M$1=1,"",IF(I80="",0,I80*IF($D80=$F$2,1,0))+IF(I88="",0,I88*IF($D88=$F$2,1,0))+IF(I93="",0,I93*IF($D93=$F$2,1,0))+IF(I98="",0,I98*IF($D98=$F$2,1,0)))</f>
        <v>0</v>
      </c>
      <c r="J100" s="392"/>
      <c r="K100" s="201"/>
      <c r="L100" s="201"/>
      <c r="M100" s="201"/>
      <c r="N100" s="201"/>
      <c r="O100" s="201"/>
      <c r="P100" s="201"/>
      <c r="Q100" s="201"/>
      <c r="CY100" s="205"/>
      <c r="CZ100" s="205"/>
      <c r="DA100" s="205"/>
      <c r="DB100" s="205"/>
      <c r="DC100" s="205"/>
      <c r="DD100" s="205"/>
      <c r="DE100" s="205"/>
      <c r="DF100" s="205"/>
      <c r="DG100" s="205"/>
      <c r="DH100" s="205"/>
      <c r="DI100" s="205"/>
      <c r="DJ100" s="205"/>
      <c r="DK100" s="205"/>
    </row>
    <row r="101" spans="1:117" ht="15" thickBot="1" x14ac:dyDescent="0.25">
      <c r="B101" s="375"/>
      <c r="C101" s="373" t="str">
        <f t="shared" si="37"/>
        <v>auf Rechnung ausgewiesener MwSt-Betrag</v>
      </c>
      <c r="D101" s="987">
        <f>D33</f>
        <v>0.19</v>
      </c>
      <c r="E101" s="1180">
        <f t="shared" si="35"/>
        <v>0</v>
      </c>
      <c r="F101" s="1180">
        <f t="shared" si="36"/>
        <v>0</v>
      </c>
      <c r="G101" s="1181">
        <f>IF('Deckblatt Gruender|Data Founder'!$M$1=1,"",IF(G80="",0,G80*IF($D80=$G$2,1,0))+IF(G88="",0,G88*IF($D88=$G$2,1,0))+IF(G93="",0,G93*IF($D93=$G$2,1,0))+IF(G98="",0,G98*IF($D98=$G$2,1,0)))</f>
        <v>0</v>
      </c>
      <c r="H101" s="1181">
        <f>IF('Deckblatt Gruender|Data Founder'!$M$1=1,"",IF(H80="",0,H80*IF($D80=$G$2,1,0))+IF(H88="",0,H88*IF($D88=$G$2,1,0))+IF(H93="",0,H93*IF($D93=$G$2,1,0))+IF(H98="",0,H98*IF($D98=$G$2,1,0)))</f>
        <v>0</v>
      </c>
      <c r="I101" s="1181">
        <f>IF('Deckblatt Gruender|Data Founder'!$M$1=1,"",IF(I80="",0,I80*IF($D80=$G$2,1,0))+IF(I88="",0,I88*IF($D88=$G$2,1,0))+IF(I93="",0,I93*IF($D93=$G$2,1,0))+IF(I98="",0,I98*IF($D98=$G$2,1,0)))</f>
        <v>0</v>
      </c>
      <c r="J101" s="392"/>
      <c r="K101" s="201"/>
      <c r="L101" s="201"/>
      <c r="M101" s="201"/>
      <c r="N101" s="201"/>
      <c r="O101" s="201"/>
      <c r="P101" s="201"/>
      <c r="Q101" s="201"/>
      <c r="CY101" s="205"/>
      <c r="CZ101" s="205"/>
      <c r="DA101" s="205"/>
      <c r="DB101" s="205"/>
      <c r="DC101" s="205"/>
      <c r="DD101" s="205"/>
      <c r="DE101" s="205"/>
      <c r="DF101" s="205"/>
      <c r="DG101" s="205"/>
      <c r="DH101" s="205"/>
      <c r="DI101" s="205"/>
      <c r="DJ101" s="205"/>
      <c r="DK101" s="205"/>
    </row>
    <row r="102" spans="1:117" ht="15" thickTop="1" x14ac:dyDescent="0.2">
      <c r="B102" s="377"/>
      <c r="C102" s="378" t="str">
        <f t="shared" si="37"/>
        <v>Gesamtumsätze</v>
      </c>
      <c r="D102" s="379"/>
      <c r="E102" s="1184">
        <f>E81+E89+E94+E99</f>
        <v>0</v>
      </c>
      <c r="F102" s="1184">
        <f>F81+F89+F94+F99</f>
        <v>0</v>
      </c>
      <c r="G102" s="1174">
        <f>G81+G89+G94+G99</f>
        <v>0</v>
      </c>
      <c r="H102" s="1174">
        <f>H81+H89+H94+H99</f>
        <v>0</v>
      </c>
      <c r="I102" s="1174">
        <f>I81+I89+I94+I99</f>
        <v>0</v>
      </c>
      <c r="J102" s="392"/>
      <c r="K102" s="201"/>
      <c r="L102" s="201"/>
      <c r="M102" s="201"/>
      <c r="N102" s="201"/>
      <c r="O102" s="201"/>
      <c r="P102" s="201"/>
      <c r="Q102" s="201"/>
      <c r="CY102" s="205"/>
      <c r="CZ102" s="205"/>
      <c r="DA102" s="205"/>
      <c r="DB102" s="205"/>
      <c r="DC102" s="205"/>
      <c r="DD102" s="205"/>
      <c r="DE102" s="205"/>
      <c r="DF102" s="205"/>
      <c r="DG102" s="205"/>
      <c r="DH102" s="205"/>
      <c r="DI102" s="205"/>
      <c r="DJ102" s="205"/>
      <c r="DK102" s="205"/>
    </row>
    <row r="103" spans="1:117" ht="15" thickBot="1" x14ac:dyDescent="0.25">
      <c r="B103" s="380"/>
      <c r="C103" s="327" t="str">
        <f t="shared" si="37"/>
        <v>Gesamtumsätze akkumuliert</v>
      </c>
      <c r="D103" s="969"/>
      <c r="E103" s="1185">
        <f>E102</f>
        <v>0</v>
      </c>
      <c r="F103" s="1185">
        <f>F102</f>
        <v>0</v>
      </c>
      <c r="G103" s="1176">
        <f>F103+G102</f>
        <v>0</v>
      </c>
      <c r="H103" s="1176">
        <f>G103+H102</f>
        <v>0</v>
      </c>
      <c r="I103" s="1176">
        <f>H103+I102</f>
        <v>0</v>
      </c>
      <c r="J103" s="392"/>
      <c r="K103" s="201"/>
      <c r="L103" s="201"/>
      <c r="M103" s="201"/>
      <c r="N103" s="201"/>
      <c r="O103" s="201"/>
      <c r="P103" s="201"/>
      <c r="Q103" s="201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</row>
    <row r="104" spans="1:117" s="176" customFormat="1" x14ac:dyDescent="0.2"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57"/>
      <c r="S104" s="1094"/>
      <c r="CV104" s="297"/>
      <c r="CW104" s="297"/>
      <c r="CX104" s="297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177"/>
      <c r="DM104" s="177"/>
    </row>
    <row r="105" spans="1:117" s="176" customFormat="1" x14ac:dyDescent="0.2"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57"/>
      <c r="S105" s="1094"/>
      <c r="CV105" s="297"/>
      <c r="CW105" s="297"/>
      <c r="CX105" s="297"/>
      <c r="CY105" s="205"/>
      <c r="CZ105" s="205"/>
      <c r="DA105" s="205"/>
      <c r="DB105" s="205"/>
      <c r="DC105" s="205"/>
      <c r="DD105" s="205"/>
      <c r="DE105" s="205"/>
      <c r="DF105" s="205"/>
      <c r="DG105" s="205"/>
      <c r="DH105" s="205"/>
      <c r="DI105" s="205"/>
      <c r="DJ105" s="205"/>
      <c r="DK105" s="205"/>
      <c r="DL105" s="177"/>
      <c r="DM105" s="177"/>
    </row>
    <row r="106" spans="1:117" s="176" customFormat="1" x14ac:dyDescent="0.2"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57"/>
      <c r="S106" s="1094"/>
      <c r="CV106" s="297"/>
      <c r="CW106" s="297"/>
      <c r="CX106" s="297"/>
      <c r="CY106" s="205"/>
      <c r="CZ106" s="205"/>
      <c r="DA106" s="205"/>
      <c r="DB106" s="205"/>
      <c r="DC106" s="205"/>
      <c r="DD106" s="205"/>
      <c r="DE106" s="205"/>
      <c r="DF106" s="205"/>
      <c r="DG106" s="205"/>
      <c r="DH106" s="205"/>
      <c r="DI106" s="205"/>
      <c r="DJ106" s="205"/>
      <c r="DK106" s="205"/>
      <c r="DL106" s="177"/>
      <c r="DM106" s="177"/>
    </row>
    <row r="107" spans="1:117" s="176" customFormat="1" x14ac:dyDescent="0.2"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57"/>
      <c r="S107" s="1094"/>
      <c r="CV107" s="297"/>
      <c r="CW107" s="297"/>
      <c r="CX107" s="297"/>
      <c r="CY107" s="205"/>
      <c r="CZ107" s="205"/>
      <c r="DA107" s="205"/>
      <c r="DB107" s="205"/>
      <c r="DC107" s="205"/>
      <c r="DD107" s="205"/>
      <c r="DE107" s="205"/>
      <c r="DF107" s="205"/>
      <c r="DG107" s="205"/>
      <c r="DH107" s="205"/>
      <c r="DI107" s="205"/>
      <c r="DJ107" s="205"/>
      <c r="DK107" s="205"/>
      <c r="DL107" s="177"/>
      <c r="DM107" s="177"/>
    </row>
    <row r="108" spans="1:117" s="176" customFormat="1" x14ac:dyDescent="0.2">
      <c r="E108" s="201"/>
      <c r="F108" s="201"/>
      <c r="G108" s="201"/>
      <c r="H108" s="201"/>
      <c r="J108" s="201"/>
      <c r="K108" s="201"/>
      <c r="L108" s="201"/>
      <c r="M108" s="201"/>
      <c r="N108" s="201"/>
      <c r="O108" s="201"/>
      <c r="P108" s="201"/>
      <c r="Q108" s="201"/>
      <c r="R108" s="57"/>
      <c r="S108" s="1094"/>
      <c r="CV108" s="297"/>
      <c r="CW108" s="297"/>
      <c r="CX108" s="297"/>
      <c r="CY108" s="205"/>
      <c r="CZ108" s="205"/>
      <c r="DA108" s="205"/>
      <c r="DB108" s="205"/>
      <c r="DC108" s="205"/>
      <c r="DD108" s="205"/>
      <c r="DE108" s="205"/>
      <c r="DF108" s="205"/>
      <c r="DG108" s="205"/>
      <c r="DH108" s="205"/>
      <c r="DI108" s="205"/>
      <c r="DJ108" s="205"/>
      <c r="DK108" s="205"/>
      <c r="DL108" s="177"/>
      <c r="DM108" s="177"/>
    </row>
    <row r="109" spans="1:117" s="176" customFormat="1" ht="24.75" x14ac:dyDescent="0.3">
      <c r="E109" s="201"/>
      <c r="F109" s="201"/>
      <c r="G109" s="201"/>
      <c r="H109" s="201"/>
      <c r="I109" s="1294" t="str">
        <f ca="1">IF($C$4="English",CW74,CV74)</f>
        <v>Umsätze und Einnahmen (ohne MwSt) für die Jahre 2019 und 2020 (EUR)</v>
      </c>
      <c r="J109" s="201"/>
      <c r="K109" s="201"/>
      <c r="L109" s="201"/>
      <c r="M109" s="201"/>
      <c r="N109" s="201"/>
      <c r="O109" s="201"/>
      <c r="P109" s="201"/>
      <c r="Q109" s="201"/>
      <c r="R109" s="57"/>
      <c r="S109" s="1094"/>
      <c r="CV109" s="297"/>
      <c r="CW109" s="297"/>
      <c r="CX109" s="297"/>
      <c r="CY109" s="205"/>
      <c r="CZ109" s="205"/>
      <c r="DA109" s="205"/>
      <c r="DB109" s="205"/>
      <c r="DC109" s="205"/>
      <c r="DD109" s="205"/>
      <c r="DE109" s="205"/>
      <c r="DF109" s="205"/>
      <c r="DG109" s="205"/>
      <c r="DH109" s="205"/>
      <c r="DI109" s="205"/>
      <c r="DJ109" s="205"/>
      <c r="DK109" s="205"/>
      <c r="DL109" s="177"/>
      <c r="DM109" s="177"/>
    </row>
    <row r="110" spans="1:117" s="176" customFormat="1" x14ac:dyDescent="0.2"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57"/>
      <c r="S110" s="1094"/>
      <c r="CV110" s="297"/>
      <c r="CW110" s="297"/>
      <c r="CX110" s="297"/>
      <c r="CY110" s="205"/>
      <c r="CZ110" s="205"/>
      <c r="DA110" s="205"/>
      <c r="DB110" s="205"/>
      <c r="DC110" s="205"/>
      <c r="DD110" s="205"/>
      <c r="DE110" s="205"/>
      <c r="DF110" s="205"/>
      <c r="DG110" s="205"/>
      <c r="DH110" s="205"/>
      <c r="DI110" s="205"/>
      <c r="DJ110" s="205"/>
      <c r="DK110" s="205"/>
      <c r="DL110" s="177"/>
      <c r="DM110" s="177"/>
    </row>
    <row r="111" spans="1:117" s="176" customFormat="1" x14ac:dyDescent="0.2">
      <c r="A111" s="186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57"/>
      <c r="S111" s="1094"/>
      <c r="CV111" s="297"/>
      <c r="CW111" s="297"/>
      <c r="CX111" s="297"/>
      <c r="CY111" s="205"/>
      <c r="CZ111" s="205"/>
      <c r="DA111" s="205"/>
      <c r="DB111" s="205"/>
      <c r="DC111" s="205"/>
      <c r="DD111" s="205"/>
      <c r="DE111" s="205"/>
      <c r="DF111" s="205"/>
      <c r="DG111" s="205"/>
      <c r="DH111" s="205"/>
      <c r="DI111" s="205"/>
      <c r="DJ111" s="205"/>
      <c r="DK111" s="205"/>
      <c r="DL111" s="177"/>
      <c r="DM111" s="177"/>
    </row>
    <row r="112" spans="1:117" s="176" customFormat="1" x14ac:dyDescent="0.2"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57"/>
      <c r="S112" s="1094"/>
      <c r="CV112" s="297"/>
      <c r="CW112" s="297"/>
      <c r="CX112" s="297"/>
      <c r="CY112" s="205"/>
      <c r="CZ112" s="205"/>
      <c r="DA112" s="205"/>
      <c r="DB112" s="205"/>
      <c r="DC112" s="205"/>
      <c r="DD112" s="205"/>
      <c r="DE112" s="205"/>
      <c r="DF112" s="205"/>
      <c r="DG112" s="205"/>
      <c r="DH112" s="205"/>
      <c r="DI112" s="205"/>
      <c r="DJ112" s="205"/>
      <c r="DK112" s="205"/>
      <c r="DL112" s="177"/>
      <c r="DM112" s="177"/>
    </row>
    <row r="113" spans="5:117" s="176" customFormat="1" x14ac:dyDescent="0.2"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57"/>
      <c r="S113" s="1094"/>
      <c r="CV113" s="297"/>
      <c r="CW113" s="297"/>
      <c r="CX113" s="297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177"/>
      <c r="DM113" s="177"/>
    </row>
    <row r="114" spans="5:117" s="176" customFormat="1" x14ac:dyDescent="0.2"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57"/>
      <c r="S114" s="1094"/>
      <c r="CV114" s="297"/>
      <c r="CW114" s="297"/>
      <c r="CX114" s="297"/>
      <c r="CY114" s="205"/>
      <c r="CZ114" s="205"/>
      <c r="DA114" s="205"/>
      <c r="DB114" s="205"/>
      <c r="DC114" s="205"/>
      <c r="DD114" s="205"/>
      <c r="DE114" s="205"/>
      <c r="DF114" s="205"/>
      <c r="DG114" s="205"/>
      <c r="DH114" s="205"/>
      <c r="DI114" s="205"/>
      <c r="DJ114" s="205"/>
      <c r="DK114" s="205"/>
      <c r="DL114" s="177"/>
      <c r="DM114" s="177"/>
    </row>
    <row r="115" spans="5:117" s="176" customFormat="1" x14ac:dyDescent="0.2"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57"/>
      <c r="S115" s="1094"/>
      <c r="CV115" s="297"/>
      <c r="CW115" s="297"/>
      <c r="CX115" s="297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205"/>
      <c r="DK115" s="205"/>
      <c r="DL115" s="177"/>
      <c r="DM115" s="177"/>
    </row>
    <row r="116" spans="5:117" s="176" customFormat="1" x14ac:dyDescent="0.2"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57"/>
      <c r="S116" s="1094"/>
      <c r="CV116" s="297"/>
      <c r="CW116" s="297"/>
      <c r="CX116" s="297"/>
      <c r="CY116" s="205"/>
      <c r="CZ116" s="205"/>
      <c r="DA116" s="205"/>
      <c r="DB116" s="205"/>
      <c r="DC116" s="205"/>
      <c r="DD116" s="205"/>
      <c r="DE116" s="205"/>
      <c r="DF116" s="205"/>
      <c r="DG116" s="205"/>
      <c r="DH116" s="205"/>
      <c r="DI116" s="205"/>
      <c r="DJ116" s="205"/>
      <c r="DK116" s="205"/>
      <c r="DL116" s="177"/>
      <c r="DM116" s="177"/>
    </row>
    <row r="117" spans="5:117" s="176" customFormat="1" x14ac:dyDescent="0.2"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57"/>
      <c r="S117" s="1094"/>
      <c r="CV117" s="297"/>
      <c r="CW117" s="297"/>
      <c r="CX117" s="297"/>
      <c r="CY117" s="205"/>
      <c r="CZ117" s="205"/>
      <c r="DA117" s="205"/>
      <c r="DB117" s="205"/>
      <c r="DC117" s="205"/>
      <c r="DD117" s="205"/>
      <c r="DE117" s="205"/>
      <c r="DF117" s="205"/>
      <c r="DG117" s="205"/>
      <c r="DH117" s="205"/>
      <c r="DI117" s="205"/>
      <c r="DJ117" s="205"/>
      <c r="DK117" s="205"/>
      <c r="DL117" s="177"/>
      <c r="DM117" s="177"/>
    </row>
    <row r="118" spans="5:117" s="176" customFormat="1" x14ac:dyDescent="0.2"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57"/>
      <c r="S118" s="1094"/>
      <c r="CV118" s="297"/>
      <c r="CW118" s="297"/>
      <c r="CX118" s="297"/>
      <c r="CY118" s="205"/>
      <c r="CZ118" s="205"/>
      <c r="DA118" s="205"/>
      <c r="DB118" s="205"/>
      <c r="DC118" s="205"/>
      <c r="DD118" s="205"/>
      <c r="DE118" s="205"/>
      <c r="DF118" s="205"/>
      <c r="DG118" s="205"/>
      <c r="DH118" s="205"/>
      <c r="DI118" s="205"/>
      <c r="DJ118" s="205"/>
      <c r="DK118" s="205"/>
      <c r="DL118" s="177"/>
      <c r="DM118" s="177"/>
    </row>
    <row r="119" spans="5:117" s="176" customFormat="1" x14ac:dyDescent="0.2"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57"/>
      <c r="S119" s="1094"/>
      <c r="CV119" s="297"/>
      <c r="CW119" s="297"/>
      <c r="CX119" s="297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177"/>
      <c r="DM119" s="177"/>
    </row>
    <row r="120" spans="5:117" s="176" customFormat="1" x14ac:dyDescent="0.2"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57"/>
      <c r="S120" s="1094"/>
      <c r="CV120" s="297"/>
      <c r="CW120" s="297"/>
      <c r="CX120" s="297"/>
      <c r="CY120" s="205"/>
      <c r="CZ120" s="205"/>
      <c r="DA120" s="205"/>
      <c r="DB120" s="205"/>
      <c r="DC120" s="205"/>
      <c r="DD120" s="205"/>
      <c r="DE120" s="205"/>
      <c r="DF120" s="205"/>
      <c r="DG120" s="205"/>
      <c r="DH120" s="205"/>
      <c r="DI120" s="205"/>
      <c r="DJ120" s="205"/>
      <c r="DK120" s="205"/>
      <c r="DL120" s="177"/>
      <c r="DM120" s="177"/>
    </row>
    <row r="121" spans="5:117" s="176" customFormat="1" x14ac:dyDescent="0.2"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57"/>
      <c r="S121" s="1094"/>
      <c r="CV121" s="297"/>
      <c r="CW121" s="297"/>
      <c r="CX121" s="297"/>
      <c r="CY121" s="205"/>
      <c r="CZ121" s="205"/>
      <c r="DA121" s="205"/>
      <c r="DB121" s="205"/>
      <c r="DC121" s="205"/>
      <c r="DD121" s="205"/>
      <c r="DE121" s="205"/>
      <c r="DF121" s="205"/>
      <c r="DG121" s="205"/>
      <c r="DH121" s="205"/>
      <c r="DI121" s="205"/>
      <c r="DJ121" s="205"/>
      <c r="DK121" s="205"/>
      <c r="DL121" s="177"/>
      <c r="DM121" s="177"/>
    </row>
    <row r="122" spans="5:117" s="176" customFormat="1" x14ac:dyDescent="0.2"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57"/>
      <c r="S122" s="1094"/>
      <c r="CV122" s="297"/>
      <c r="CW122" s="297"/>
      <c r="CX122" s="297"/>
      <c r="CY122" s="205"/>
      <c r="CZ122" s="205"/>
      <c r="DA122" s="205"/>
      <c r="DB122" s="205"/>
      <c r="DC122" s="205"/>
      <c r="DD122" s="205"/>
      <c r="DE122" s="205"/>
      <c r="DF122" s="205"/>
      <c r="DG122" s="205"/>
      <c r="DH122" s="205"/>
      <c r="DI122" s="205"/>
      <c r="DJ122" s="205"/>
      <c r="DK122" s="205"/>
      <c r="DL122" s="177"/>
      <c r="DM122" s="177"/>
    </row>
    <row r="123" spans="5:117" s="176" customFormat="1" x14ac:dyDescent="0.2"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57"/>
      <c r="S123" s="1094"/>
      <c r="CV123" s="297"/>
      <c r="CW123" s="297"/>
      <c r="CX123" s="297"/>
      <c r="CY123" s="205"/>
      <c r="CZ123" s="205"/>
      <c r="DA123" s="205"/>
      <c r="DB123" s="205"/>
      <c r="DC123" s="205"/>
      <c r="DD123" s="205"/>
      <c r="DE123" s="205"/>
      <c r="DF123" s="205"/>
      <c r="DG123" s="205"/>
      <c r="DH123" s="205"/>
      <c r="DI123" s="205"/>
      <c r="DJ123" s="205"/>
      <c r="DK123" s="205"/>
      <c r="DL123" s="177"/>
      <c r="DM123" s="177"/>
    </row>
    <row r="124" spans="5:117" s="176" customFormat="1" x14ac:dyDescent="0.2"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57"/>
      <c r="CV124" s="297"/>
      <c r="CW124" s="297"/>
      <c r="CX124" s="297"/>
      <c r="CY124" s="205"/>
      <c r="CZ124" s="205"/>
      <c r="DA124" s="205"/>
      <c r="DB124" s="205"/>
      <c r="DC124" s="205"/>
      <c r="DD124" s="205"/>
      <c r="DE124" s="205"/>
      <c r="DF124" s="205"/>
      <c r="DG124" s="205"/>
      <c r="DH124" s="205"/>
      <c r="DI124" s="205"/>
      <c r="DJ124" s="205"/>
      <c r="DK124" s="205"/>
      <c r="DL124" s="177"/>
      <c r="DM124" s="177"/>
    </row>
    <row r="125" spans="5:117" s="176" customFormat="1" x14ac:dyDescent="0.2"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57"/>
      <c r="S125" s="1090"/>
      <c r="CV125" s="297"/>
      <c r="CW125" s="297"/>
      <c r="CX125" s="297"/>
      <c r="CY125" s="205"/>
      <c r="CZ125" s="205"/>
      <c r="DA125" s="205"/>
      <c r="DB125" s="205"/>
      <c r="DC125" s="205"/>
      <c r="DD125" s="205"/>
      <c r="DE125" s="205"/>
      <c r="DF125" s="205"/>
      <c r="DG125" s="205"/>
      <c r="DH125" s="205"/>
      <c r="DI125" s="205"/>
      <c r="DJ125" s="205"/>
      <c r="DK125" s="205"/>
      <c r="DL125" s="177"/>
      <c r="DM125" s="177"/>
    </row>
    <row r="126" spans="5:117" s="176" customFormat="1" x14ac:dyDescent="0.2"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57"/>
      <c r="S126" s="1090"/>
      <c r="CV126" s="297"/>
      <c r="CW126" s="297"/>
      <c r="CX126" s="297"/>
      <c r="CY126" s="205"/>
      <c r="CZ126" s="205"/>
      <c r="DA126" s="205"/>
      <c r="DB126" s="205"/>
      <c r="DC126" s="205"/>
      <c r="DD126" s="205"/>
      <c r="DE126" s="205"/>
      <c r="DF126" s="205"/>
      <c r="DG126" s="205"/>
      <c r="DH126" s="205"/>
      <c r="DI126" s="205"/>
      <c r="DJ126" s="205"/>
      <c r="DK126" s="205"/>
      <c r="DL126" s="177"/>
      <c r="DM126" s="177"/>
    </row>
    <row r="127" spans="5:117" s="176" customFormat="1" x14ac:dyDescent="0.2"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57"/>
      <c r="S127" s="1090"/>
      <c r="CV127" s="297"/>
      <c r="CW127" s="297"/>
      <c r="CX127" s="297"/>
      <c r="CY127" s="205"/>
      <c r="CZ127" s="205"/>
      <c r="DA127" s="205"/>
      <c r="DB127" s="205"/>
      <c r="DC127" s="205"/>
      <c r="DD127" s="205"/>
      <c r="DE127" s="205"/>
      <c r="DF127" s="205"/>
      <c r="DG127" s="205"/>
      <c r="DH127" s="205"/>
      <c r="DI127" s="205"/>
      <c r="DJ127" s="205"/>
      <c r="DK127" s="205"/>
      <c r="DL127" s="177"/>
      <c r="DM127" s="177"/>
    </row>
    <row r="128" spans="5:117" s="176" customFormat="1" x14ac:dyDescent="0.2"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57"/>
      <c r="S128" s="1090"/>
      <c r="CV128" s="297"/>
      <c r="CW128" s="297"/>
      <c r="CX128" s="297"/>
      <c r="CY128" s="205"/>
      <c r="CZ128" s="205"/>
      <c r="DA128" s="205"/>
      <c r="DB128" s="205"/>
      <c r="DC128" s="205"/>
      <c r="DD128" s="205"/>
      <c r="DE128" s="205"/>
      <c r="DF128" s="205"/>
      <c r="DG128" s="205"/>
      <c r="DH128" s="205"/>
      <c r="DI128" s="205"/>
      <c r="DJ128" s="205"/>
      <c r="DK128" s="205"/>
      <c r="DL128" s="177"/>
      <c r="DM128" s="177"/>
    </row>
    <row r="129" spans="5:117" s="176" customFormat="1" x14ac:dyDescent="0.2">
      <c r="E129" s="394"/>
      <c r="F129" s="394"/>
      <c r="G129" s="394"/>
      <c r="H129" s="394"/>
      <c r="I129" s="394"/>
      <c r="J129" s="394"/>
      <c r="K129" s="394"/>
      <c r="L129" s="394"/>
      <c r="M129" s="394"/>
      <c r="N129" s="394"/>
      <c r="O129" s="394"/>
      <c r="P129" s="394"/>
      <c r="Q129" s="201"/>
      <c r="R129" s="57"/>
      <c r="S129" s="1090"/>
      <c r="CV129" s="297"/>
      <c r="CW129" s="297"/>
      <c r="CX129" s="297"/>
      <c r="CY129" s="205"/>
      <c r="CZ129" s="205"/>
      <c r="DA129" s="205"/>
      <c r="DB129" s="205"/>
      <c r="DC129" s="205"/>
      <c r="DD129" s="205"/>
      <c r="DE129" s="205"/>
      <c r="DF129" s="205"/>
      <c r="DG129" s="205"/>
      <c r="DH129" s="205"/>
      <c r="DI129" s="205"/>
      <c r="DJ129" s="205"/>
      <c r="DK129" s="205"/>
      <c r="DL129" s="177"/>
      <c r="DM129" s="177"/>
    </row>
    <row r="130" spans="5:117" s="176" customFormat="1" x14ac:dyDescent="0.2"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  <c r="P130" s="394"/>
      <c r="Q130" s="201"/>
      <c r="R130" s="57"/>
      <c r="S130" s="1090"/>
      <c r="CV130" s="297"/>
      <c r="CW130" s="297"/>
      <c r="CX130" s="297"/>
      <c r="CY130" s="205"/>
      <c r="CZ130" s="205"/>
      <c r="DA130" s="205"/>
      <c r="DB130" s="205"/>
      <c r="DC130" s="205"/>
      <c r="DD130" s="205"/>
      <c r="DE130" s="205"/>
      <c r="DF130" s="205"/>
      <c r="DG130" s="205"/>
      <c r="DH130" s="205"/>
      <c r="DI130" s="205"/>
      <c r="DJ130" s="205"/>
      <c r="DK130" s="205"/>
      <c r="DL130" s="177"/>
      <c r="DM130" s="177"/>
    </row>
    <row r="131" spans="5:117" s="176" customFormat="1" x14ac:dyDescent="0.2">
      <c r="E131" s="394"/>
      <c r="F131" s="394"/>
      <c r="G131" s="394"/>
      <c r="H131" s="394"/>
      <c r="I131" s="394"/>
      <c r="J131" s="394"/>
      <c r="K131" s="394"/>
      <c r="L131" s="394"/>
      <c r="M131" s="394"/>
      <c r="N131" s="394"/>
      <c r="O131" s="394"/>
      <c r="P131" s="394"/>
      <c r="Q131" s="201"/>
      <c r="R131" s="57"/>
      <c r="S131" s="1090"/>
      <c r="CV131" s="297"/>
      <c r="CW131" s="297"/>
      <c r="CX131" s="297"/>
      <c r="CY131" s="205"/>
      <c r="CZ131" s="205"/>
      <c r="DA131" s="205"/>
      <c r="DB131" s="205"/>
      <c r="DC131" s="205"/>
      <c r="DD131" s="205"/>
      <c r="DE131" s="205"/>
      <c r="DF131" s="205"/>
      <c r="DG131" s="205"/>
      <c r="DH131" s="205"/>
      <c r="DI131" s="205"/>
      <c r="DJ131" s="205"/>
      <c r="DK131" s="205"/>
      <c r="DL131" s="177"/>
      <c r="DM131" s="177"/>
    </row>
    <row r="132" spans="5:117" s="176" customFormat="1" x14ac:dyDescent="0.2">
      <c r="E132" s="394"/>
      <c r="F132" s="394"/>
      <c r="G132" s="394"/>
      <c r="H132" s="394"/>
      <c r="I132" s="394"/>
      <c r="J132" s="394"/>
      <c r="K132" s="394"/>
      <c r="L132" s="394"/>
      <c r="M132" s="394"/>
      <c r="N132" s="394"/>
      <c r="O132" s="394"/>
      <c r="P132" s="394"/>
      <c r="Q132" s="201"/>
      <c r="R132" s="57"/>
      <c r="S132" s="1090"/>
      <c r="CV132" s="297"/>
      <c r="CW132" s="297"/>
      <c r="CX132" s="297"/>
      <c r="CY132" s="205"/>
      <c r="CZ132" s="205"/>
      <c r="DA132" s="205"/>
      <c r="DB132" s="205"/>
      <c r="DC132" s="205"/>
      <c r="DD132" s="205"/>
      <c r="DE132" s="205"/>
      <c r="DF132" s="205"/>
      <c r="DG132" s="205"/>
      <c r="DH132" s="205"/>
      <c r="DI132" s="205"/>
      <c r="DJ132" s="205"/>
      <c r="DK132" s="205"/>
      <c r="DL132" s="177"/>
      <c r="DM132" s="177"/>
    </row>
    <row r="133" spans="5:117" s="176" customFormat="1" x14ac:dyDescent="0.2">
      <c r="E133" s="394"/>
      <c r="F133" s="394"/>
      <c r="G133" s="394"/>
      <c r="H133" s="394"/>
      <c r="I133" s="394"/>
      <c r="J133" s="394"/>
      <c r="K133" s="394"/>
      <c r="L133" s="394"/>
      <c r="M133" s="394"/>
      <c r="N133" s="394"/>
      <c r="O133" s="394"/>
      <c r="P133" s="394"/>
      <c r="Q133" s="201"/>
      <c r="R133" s="57"/>
      <c r="S133" s="1090"/>
      <c r="CV133" s="297"/>
      <c r="CW133" s="297"/>
      <c r="CX133" s="297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177"/>
      <c r="DM133" s="177"/>
    </row>
    <row r="134" spans="5:117" s="176" customFormat="1" x14ac:dyDescent="0.2">
      <c r="E134" s="394"/>
      <c r="F134" s="394"/>
      <c r="G134" s="394"/>
      <c r="H134" s="394"/>
      <c r="I134" s="394"/>
      <c r="J134" s="394"/>
      <c r="K134" s="394"/>
      <c r="L134" s="394"/>
      <c r="M134" s="394"/>
      <c r="N134" s="394"/>
      <c r="O134" s="394"/>
      <c r="P134" s="394"/>
      <c r="Q134" s="201"/>
      <c r="R134" s="57"/>
      <c r="S134" s="1090"/>
      <c r="CV134" s="297"/>
      <c r="CW134" s="297"/>
      <c r="CX134" s="297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05"/>
      <c r="DL134" s="177"/>
      <c r="DM134" s="177"/>
    </row>
    <row r="135" spans="5:117" s="176" customFormat="1" x14ac:dyDescent="0.2">
      <c r="E135" s="394"/>
      <c r="F135" s="394"/>
      <c r="G135" s="394"/>
      <c r="H135" s="394"/>
      <c r="I135" s="394"/>
      <c r="J135" s="394"/>
      <c r="K135" s="394"/>
      <c r="L135" s="394"/>
      <c r="M135" s="394"/>
      <c r="N135" s="394"/>
      <c r="O135" s="394"/>
      <c r="P135" s="394"/>
      <c r="Q135" s="201"/>
      <c r="R135" s="57"/>
      <c r="S135" s="1090"/>
      <c r="CV135" s="297"/>
      <c r="CW135" s="297"/>
      <c r="CX135" s="297"/>
      <c r="CY135" s="205"/>
      <c r="CZ135" s="205"/>
      <c r="DA135" s="205"/>
      <c r="DB135" s="205"/>
      <c r="DC135" s="205"/>
      <c r="DD135" s="205"/>
      <c r="DE135" s="205"/>
      <c r="DF135" s="205"/>
      <c r="DG135" s="205"/>
      <c r="DH135" s="205"/>
      <c r="DI135" s="205"/>
      <c r="DJ135" s="205"/>
      <c r="DK135" s="205"/>
      <c r="DL135" s="177"/>
      <c r="DM135" s="177"/>
    </row>
    <row r="136" spans="5:117" s="176" customFormat="1" x14ac:dyDescent="0.2">
      <c r="E136" s="394"/>
      <c r="F136" s="394"/>
      <c r="G136" s="394"/>
      <c r="H136" s="394"/>
      <c r="I136" s="394"/>
      <c r="J136" s="394"/>
      <c r="K136" s="394"/>
      <c r="L136" s="394"/>
      <c r="M136" s="394"/>
      <c r="N136" s="394"/>
      <c r="O136" s="394"/>
      <c r="P136" s="394"/>
      <c r="Q136" s="201"/>
      <c r="R136" s="57"/>
      <c r="S136" s="1090"/>
      <c r="CV136" s="297"/>
      <c r="CW136" s="297"/>
      <c r="CX136" s="297"/>
      <c r="CY136" s="205"/>
      <c r="CZ136" s="205"/>
      <c r="DA136" s="205"/>
      <c r="DB136" s="205"/>
      <c r="DC136" s="205"/>
      <c r="DD136" s="205"/>
      <c r="DE136" s="205"/>
      <c r="DF136" s="205"/>
      <c r="DG136" s="205"/>
      <c r="DH136" s="205"/>
      <c r="DI136" s="205"/>
      <c r="DJ136" s="205"/>
      <c r="DK136" s="205"/>
      <c r="DL136" s="177"/>
      <c r="DM136" s="177"/>
    </row>
    <row r="137" spans="5:117" s="176" customFormat="1" x14ac:dyDescent="0.2">
      <c r="Q137" s="201"/>
      <c r="R137" s="57"/>
      <c r="S137" s="1090"/>
      <c r="CV137" s="297"/>
      <c r="CW137" s="297"/>
      <c r="CX137" s="297"/>
      <c r="CY137" s="205"/>
      <c r="CZ137" s="205"/>
      <c r="DA137" s="205"/>
      <c r="DB137" s="205"/>
      <c r="DC137" s="205"/>
      <c r="DD137" s="205"/>
      <c r="DE137" s="205"/>
      <c r="DF137" s="205"/>
      <c r="DG137" s="205"/>
      <c r="DH137" s="205"/>
      <c r="DI137" s="205"/>
      <c r="DJ137" s="205"/>
      <c r="DK137" s="205"/>
      <c r="DL137" s="177"/>
      <c r="DM137" s="177"/>
    </row>
    <row r="138" spans="5:117" s="176" customFormat="1" x14ac:dyDescent="0.2">
      <c r="Q138" s="201"/>
      <c r="R138" s="57"/>
      <c r="S138" s="1090"/>
      <c r="CV138" s="297"/>
      <c r="CW138" s="297"/>
      <c r="CX138" s="297"/>
      <c r="CY138" s="205"/>
      <c r="CZ138" s="205"/>
      <c r="DA138" s="205"/>
      <c r="DB138" s="205"/>
      <c r="DC138" s="205"/>
      <c r="DD138" s="205"/>
      <c r="DE138" s="205"/>
      <c r="DF138" s="205"/>
      <c r="DG138" s="205"/>
      <c r="DH138" s="205"/>
      <c r="DI138" s="205"/>
      <c r="DJ138" s="205"/>
      <c r="DK138" s="205"/>
      <c r="DL138" s="177"/>
      <c r="DM138" s="177"/>
    </row>
    <row r="139" spans="5:117" s="176" customFormat="1" x14ac:dyDescent="0.2">
      <c r="Q139" s="201"/>
      <c r="R139" s="57"/>
      <c r="S139" s="1090"/>
      <c r="CV139" s="297"/>
      <c r="CW139" s="297"/>
      <c r="CX139" s="297"/>
      <c r="CY139" s="205"/>
      <c r="CZ139" s="205"/>
      <c r="DA139" s="205"/>
      <c r="DB139" s="205"/>
      <c r="DC139" s="205"/>
      <c r="DD139" s="205"/>
      <c r="DE139" s="205"/>
      <c r="DF139" s="205"/>
      <c r="DG139" s="205"/>
      <c r="DH139" s="205"/>
      <c r="DI139" s="205"/>
      <c r="DJ139" s="205"/>
      <c r="DK139" s="205"/>
      <c r="DL139" s="177"/>
      <c r="DM139" s="177"/>
    </row>
    <row r="140" spans="5:117" s="176" customFormat="1" x14ac:dyDescent="0.2">
      <c r="Q140" s="201"/>
      <c r="R140" s="57"/>
      <c r="S140" s="1090"/>
      <c r="CV140" s="297"/>
      <c r="CW140" s="297"/>
      <c r="CX140" s="297"/>
      <c r="CY140" s="205"/>
      <c r="CZ140" s="205"/>
      <c r="DA140" s="205"/>
      <c r="DB140" s="205"/>
      <c r="DC140" s="205"/>
      <c r="DD140" s="205"/>
      <c r="DE140" s="205"/>
      <c r="DF140" s="205"/>
      <c r="DG140" s="205"/>
      <c r="DH140" s="205"/>
      <c r="DI140" s="205"/>
      <c r="DJ140" s="205"/>
      <c r="DK140" s="205"/>
      <c r="DL140" s="177"/>
      <c r="DM140" s="177"/>
    </row>
    <row r="141" spans="5:117" s="176" customFormat="1" x14ac:dyDescent="0.2">
      <c r="Q141" s="201"/>
      <c r="R141" s="57"/>
      <c r="S141" s="1090"/>
      <c r="CV141" s="297"/>
      <c r="CW141" s="297"/>
      <c r="CX141" s="297"/>
      <c r="CY141" s="205"/>
      <c r="CZ141" s="205"/>
      <c r="DA141" s="205"/>
      <c r="DB141" s="205"/>
      <c r="DC141" s="205"/>
      <c r="DD141" s="205"/>
      <c r="DE141" s="205"/>
      <c r="DF141" s="205"/>
      <c r="DG141" s="205"/>
      <c r="DH141" s="205"/>
      <c r="DI141" s="205"/>
      <c r="DJ141" s="205"/>
      <c r="DK141" s="205"/>
      <c r="DL141" s="177"/>
      <c r="DM141" s="177"/>
    </row>
    <row r="142" spans="5:117" s="176" customFormat="1" x14ac:dyDescent="0.2">
      <c r="Q142" s="201"/>
      <c r="R142" s="57"/>
      <c r="S142" s="1090"/>
      <c r="CV142" s="297"/>
      <c r="CW142" s="297"/>
      <c r="CX142" s="297"/>
      <c r="CY142" s="205"/>
      <c r="CZ142" s="205"/>
      <c r="DA142" s="205"/>
      <c r="DB142" s="205"/>
      <c r="DC142" s="205"/>
      <c r="DD142" s="205"/>
      <c r="DE142" s="205"/>
      <c r="DF142" s="205"/>
      <c r="DG142" s="205"/>
      <c r="DH142" s="205"/>
      <c r="DI142" s="205"/>
      <c r="DJ142" s="205"/>
      <c r="DK142" s="205"/>
      <c r="DL142" s="177"/>
      <c r="DM142" s="177"/>
    </row>
    <row r="143" spans="5:117" s="176" customFormat="1" x14ac:dyDescent="0.2">
      <c r="Q143" s="201"/>
      <c r="R143" s="57"/>
      <c r="S143" s="1090"/>
      <c r="CV143" s="297"/>
      <c r="CW143" s="297"/>
      <c r="CX143" s="297"/>
      <c r="CY143" s="205"/>
      <c r="CZ143" s="205"/>
      <c r="DA143" s="205"/>
      <c r="DB143" s="205"/>
      <c r="DC143" s="205"/>
      <c r="DD143" s="205"/>
      <c r="DE143" s="205"/>
      <c r="DF143" s="205"/>
      <c r="DG143" s="205"/>
      <c r="DH143" s="205"/>
      <c r="DI143" s="205"/>
      <c r="DJ143" s="205"/>
      <c r="DK143" s="205"/>
      <c r="DL143" s="177"/>
      <c r="DM143" s="177"/>
    </row>
    <row r="144" spans="5:117" s="176" customFormat="1" x14ac:dyDescent="0.2">
      <c r="Q144" s="201"/>
      <c r="R144" s="57"/>
      <c r="S144" s="1090"/>
      <c r="CV144" s="297"/>
      <c r="CW144" s="297"/>
      <c r="CX144" s="297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05"/>
      <c r="DL144" s="177"/>
      <c r="DM144" s="177"/>
    </row>
    <row r="145" spans="5:117" s="176" customFormat="1" x14ac:dyDescent="0.2">
      <c r="Q145" s="201"/>
      <c r="R145" s="57"/>
      <c r="S145" s="1090"/>
      <c r="CV145" s="297"/>
      <c r="CW145" s="297"/>
      <c r="CX145" s="297"/>
      <c r="CY145" s="205"/>
      <c r="CZ145" s="205"/>
      <c r="DA145" s="205"/>
      <c r="DB145" s="205"/>
      <c r="DC145" s="205"/>
      <c r="DD145" s="205"/>
      <c r="DE145" s="205"/>
      <c r="DF145" s="205"/>
      <c r="DG145" s="205"/>
      <c r="DH145" s="205"/>
      <c r="DI145" s="205"/>
      <c r="DJ145" s="205"/>
      <c r="DK145" s="205"/>
      <c r="DL145" s="177"/>
      <c r="DM145" s="177"/>
    </row>
    <row r="146" spans="5:117" s="176" customFormat="1" x14ac:dyDescent="0.2"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94"/>
      <c r="P146" s="394"/>
      <c r="Q146" s="201"/>
      <c r="R146" s="57"/>
      <c r="S146" s="1090"/>
      <c r="CV146" s="297"/>
      <c r="CW146" s="297"/>
      <c r="CX146" s="297"/>
      <c r="CY146" s="205"/>
      <c r="CZ146" s="205"/>
      <c r="DA146" s="205"/>
      <c r="DB146" s="205"/>
      <c r="DC146" s="205"/>
      <c r="DD146" s="205"/>
      <c r="DE146" s="205"/>
      <c r="DF146" s="205"/>
      <c r="DG146" s="205"/>
      <c r="DH146" s="205"/>
      <c r="DI146" s="205"/>
      <c r="DJ146" s="205"/>
      <c r="DK146" s="205"/>
      <c r="DL146" s="177"/>
      <c r="DM146" s="177"/>
    </row>
    <row r="147" spans="5:117" s="176" customFormat="1" x14ac:dyDescent="0.2"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201"/>
      <c r="R147" s="57"/>
      <c r="S147" s="1090"/>
      <c r="CV147" s="297"/>
      <c r="CW147" s="297"/>
      <c r="CX147" s="297"/>
      <c r="CY147" s="205"/>
      <c r="CZ147" s="205"/>
      <c r="DA147" s="205"/>
      <c r="DB147" s="205"/>
      <c r="DC147" s="205"/>
      <c r="DD147" s="205"/>
      <c r="DE147" s="205"/>
      <c r="DF147" s="205"/>
      <c r="DG147" s="205"/>
      <c r="DH147" s="205"/>
      <c r="DI147" s="205"/>
      <c r="DJ147" s="205"/>
      <c r="DK147" s="205"/>
      <c r="DL147" s="177"/>
      <c r="DM147" s="177"/>
    </row>
    <row r="148" spans="5:117" s="176" customFormat="1" x14ac:dyDescent="0.2">
      <c r="E148" s="394"/>
      <c r="F148" s="394"/>
      <c r="G148" s="394"/>
      <c r="H148" s="394"/>
      <c r="I148" s="394"/>
      <c r="J148" s="394"/>
      <c r="K148" s="394"/>
      <c r="L148" s="394"/>
      <c r="M148" s="394"/>
      <c r="N148" s="394"/>
      <c r="O148" s="394"/>
      <c r="P148" s="394"/>
      <c r="Q148" s="201"/>
      <c r="R148" s="57"/>
      <c r="S148" s="1090"/>
      <c r="CV148" s="297"/>
      <c r="CW148" s="297"/>
      <c r="CX148" s="297"/>
      <c r="CY148" s="205"/>
      <c r="CZ148" s="205"/>
      <c r="DA148" s="205"/>
      <c r="DB148" s="205"/>
      <c r="DC148" s="205"/>
      <c r="DD148" s="205"/>
      <c r="DE148" s="205"/>
      <c r="DF148" s="205"/>
      <c r="DG148" s="205"/>
      <c r="DH148" s="205"/>
      <c r="DI148" s="205"/>
      <c r="DJ148" s="205"/>
      <c r="DK148" s="205"/>
      <c r="DL148" s="177"/>
      <c r="DM148" s="177"/>
    </row>
    <row r="149" spans="5:117" s="176" customFormat="1" x14ac:dyDescent="0.2">
      <c r="E149" s="394"/>
      <c r="F149" s="394"/>
      <c r="G149" s="394"/>
      <c r="H149" s="394"/>
      <c r="I149" s="394"/>
      <c r="J149" s="394"/>
      <c r="K149" s="394"/>
      <c r="L149" s="394"/>
      <c r="M149" s="394"/>
      <c r="N149" s="394"/>
      <c r="O149" s="394"/>
      <c r="P149" s="394"/>
      <c r="Q149" s="201"/>
      <c r="R149" s="57"/>
      <c r="S149" s="1090"/>
      <c r="CV149" s="297"/>
      <c r="CW149" s="297"/>
      <c r="CX149" s="297"/>
      <c r="CY149" s="205"/>
      <c r="CZ149" s="205"/>
      <c r="DA149" s="205"/>
      <c r="DB149" s="205"/>
      <c r="DC149" s="205"/>
      <c r="DD149" s="205"/>
      <c r="DE149" s="205"/>
      <c r="DF149" s="205"/>
      <c r="DG149" s="205"/>
      <c r="DH149" s="205"/>
      <c r="DI149" s="205"/>
      <c r="DJ149" s="205"/>
      <c r="DK149" s="205"/>
      <c r="DL149" s="177"/>
      <c r="DM149" s="177"/>
    </row>
    <row r="150" spans="5:117" s="176" customFormat="1" x14ac:dyDescent="0.2">
      <c r="E150" s="394"/>
      <c r="F150" s="394"/>
      <c r="G150" s="394"/>
      <c r="H150" s="394"/>
      <c r="I150" s="394"/>
      <c r="J150" s="394"/>
      <c r="K150" s="394"/>
      <c r="L150" s="394"/>
      <c r="M150" s="394"/>
      <c r="N150" s="394"/>
      <c r="O150" s="394"/>
      <c r="P150" s="394"/>
      <c r="Q150" s="201"/>
      <c r="R150" s="57"/>
      <c r="S150" s="1090"/>
      <c r="CV150" s="297"/>
      <c r="CW150" s="297"/>
      <c r="CX150" s="297"/>
      <c r="CY150" s="205"/>
      <c r="CZ150" s="205"/>
      <c r="DA150" s="205"/>
      <c r="DB150" s="205"/>
      <c r="DC150" s="205"/>
      <c r="DD150" s="205"/>
      <c r="DE150" s="205"/>
      <c r="DF150" s="205"/>
      <c r="DG150" s="205"/>
      <c r="DH150" s="205"/>
      <c r="DI150" s="205"/>
      <c r="DJ150" s="205"/>
      <c r="DK150" s="205"/>
      <c r="DL150" s="177"/>
      <c r="DM150" s="177"/>
    </row>
    <row r="151" spans="5:117" s="176" customFormat="1" x14ac:dyDescent="0.2">
      <c r="E151" s="394"/>
      <c r="F151" s="394"/>
      <c r="G151" s="394"/>
      <c r="H151" s="394"/>
      <c r="I151" s="394"/>
      <c r="J151" s="394"/>
      <c r="K151" s="394"/>
      <c r="L151" s="394"/>
      <c r="M151" s="394"/>
      <c r="N151" s="394"/>
      <c r="O151" s="394"/>
      <c r="P151" s="394"/>
      <c r="Q151" s="201"/>
      <c r="R151" s="57"/>
      <c r="S151" s="1090"/>
      <c r="CV151" s="297"/>
      <c r="CW151" s="297"/>
      <c r="CX151" s="297"/>
      <c r="CY151" s="205"/>
      <c r="CZ151" s="205"/>
      <c r="DA151" s="205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177"/>
      <c r="DM151" s="177"/>
    </row>
    <row r="152" spans="5:117" s="176" customFormat="1" x14ac:dyDescent="0.2">
      <c r="E152" s="394"/>
      <c r="F152" s="394"/>
      <c r="G152" s="394"/>
      <c r="H152" s="394"/>
      <c r="I152" s="394"/>
      <c r="J152" s="394"/>
      <c r="K152" s="394"/>
      <c r="L152" s="394"/>
      <c r="M152" s="394"/>
      <c r="N152" s="394"/>
      <c r="O152" s="394"/>
      <c r="P152" s="394"/>
      <c r="Q152" s="201"/>
      <c r="R152" s="57"/>
      <c r="S152" s="1090"/>
      <c r="CV152" s="297"/>
      <c r="CW152" s="297"/>
      <c r="CX152" s="297"/>
      <c r="CY152" s="205"/>
      <c r="CZ152" s="205"/>
      <c r="DA152" s="205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177"/>
      <c r="DM152" s="177"/>
    </row>
    <row r="153" spans="5:117" s="176" customFormat="1" x14ac:dyDescent="0.2">
      <c r="E153" s="394"/>
      <c r="F153" s="394"/>
      <c r="G153" s="394"/>
      <c r="H153" s="394"/>
      <c r="I153" s="394"/>
      <c r="J153" s="394"/>
      <c r="K153" s="394"/>
      <c r="L153" s="394"/>
      <c r="M153" s="394"/>
      <c r="N153" s="394"/>
      <c r="O153" s="394"/>
      <c r="P153" s="394"/>
      <c r="Q153" s="201"/>
      <c r="R153" s="57"/>
      <c r="S153" s="1090"/>
      <c r="CV153" s="297"/>
      <c r="CW153" s="297"/>
      <c r="CX153" s="297"/>
      <c r="CY153" s="205"/>
      <c r="CZ153" s="205"/>
      <c r="DA153" s="20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177"/>
      <c r="DM153" s="177"/>
    </row>
    <row r="154" spans="5:117" s="176" customFormat="1" x14ac:dyDescent="0.2">
      <c r="E154" s="394"/>
      <c r="F154" s="394"/>
      <c r="G154" s="394"/>
      <c r="H154" s="394"/>
      <c r="I154" s="394"/>
      <c r="J154" s="394"/>
      <c r="K154" s="394"/>
      <c r="L154" s="394"/>
      <c r="M154" s="394"/>
      <c r="N154" s="394"/>
      <c r="O154" s="394"/>
      <c r="P154" s="394"/>
      <c r="Q154" s="201"/>
      <c r="R154" s="57"/>
      <c r="S154" s="1090"/>
      <c r="CV154" s="297"/>
      <c r="CW154" s="297"/>
      <c r="CX154" s="297"/>
      <c r="CY154" s="852"/>
      <c r="CZ154" s="852"/>
      <c r="DA154" s="852"/>
      <c r="DB154" s="852"/>
      <c r="DC154" s="852"/>
      <c r="DD154" s="852"/>
      <c r="DE154" s="852"/>
      <c r="DF154" s="852"/>
      <c r="DG154" s="852"/>
      <c r="DH154" s="852"/>
      <c r="DI154" s="852"/>
      <c r="DJ154" s="852"/>
      <c r="DK154" s="852"/>
      <c r="DL154" s="177"/>
      <c r="DM154" s="177"/>
    </row>
    <row r="155" spans="5:117" s="176" customFormat="1" x14ac:dyDescent="0.2"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57"/>
      <c r="S155" s="1090"/>
      <c r="CV155" s="297"/>
      <c r="CW155" s="297"/>
      <c r="CX155" s="297"/>
      <c r="CY155" s="852"/>
      <c r="CZ155" s="852"/>
      <c r="DA155" s="852"/>
      <c r="DB155" s="852"/>
      <c r="DC155" s="852"/>
      <c r="DD155" s="852"/>
      <c r="DE155" s="852"/>
      <c r="DF155" s="852"/>
      <c r="DG155" s="852"/>
      <c r="DH155" s="852"/>
      <c r="DI155" s="852"/>
      <c r="DJ155" s="852"/>
      <c r="DK155" s="852"/>
      <c r="DL155" s="177"/>
      <c r="DM155" s="177"/>
    </row>
    <row r="156" spans="5:117" s="176" customFormat="1" x14ac:dyDescent="0.2"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57"/>
      <c r="S156" s="1090"/>
      <c r="CV156" s="297"/>
      <c r="CW156" s="297"/>
      <c r="CX156" s="297"/>
      <c r="CY156" s="852"/>
      <c r="CZ156" s="852"/>
      <c r="DA156" s="852"/>
      <c r="DB156" s="852"/>
      <c r="DC156" s="852"/>
      <c r="DD156" s="852"/>
      <c r="DE156" s="852"/>
      <c r="DF156" s="852"/>
      <c r="DG156" s="852"/>
      <c r="DH156" s="852"/>
      <c r="DI156" s="852"/>
      <c r="DJ156" s="852"/>
      <c r="DK156" s="852"/>
      <c r="DL156" s="177"/>
      <c r="DM156" s="177"/>
    </row>
    <row r="157" spans="5:117" s="176" customFormat="1" x14ac:dyDescent="0.2"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57"/>
      <c r="S157" s="1090"/>
      <c r="CV157" s="297"/>
      <c r="CW157" s="297"/>
      <c r="CX157" s="297"/>
      <c r="CY157" s="852"/>
      <c r="CZ157" s="852"/>
      <c r="DA157" s="852"/>
      <c r="DB157" s="852"/>
      <c r="DC157" s="852"/>
      <c r="DD157" s="852"/>
      <c r="DE157" s="852"/>
      <c r="DF157" s="852"/>
      <c r="DG157" s="852"/>
      <c r="DH157" s="852"/>
      <c r="DI157" s="852"/>
      <c r="DJ157" s="852"/>
      <c r="DK157" s="852"/>
      <c r="DL157" s="177"/>
      <c r="DM157" s="177"/>
    </row>
    <row r="158" spans="5:117" s="176" customFormat="1" x14ac:dyDescent="0.2"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57"/>
      <c r="S158" s="1090"/>
      <c r="CV158" s="297"/>
      <c r="CW158" s="297"/>
      <c r="CX158" s="297"/>
      <c r="CY158" s="852"/>
      <c r="CZ158" s="852"/>
      <c r="DA158" s="852"/>
      <c r="DB158" s="852"/>
      <c r="DC158" s="852"/>
      <c r="DD158" s="852"/>
      <c r="DE158" s="852"/>
      <c r="DF158" s="852"/>
      <c r="DG158" s="852"/>
      <c r="DH158" s="852"/>
      <c r="DI158" s="852"/>
      <c r="DJ158" s="852"/>
      <c r="DK158" s="852"/>
      <c r="DL158" s="177"/>
      <c r="DM158" s="177"/>
    </row>
    <row r="159" spans="5:117" s="176" customFormat="1" x14ac:dyDescent="0.2"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57"/>
      <c r="S159" s="1090"/>
      <c r="CV159" s="297"/>
      <c r="CW159" s="297"/>
      <c r="CX159" s="297"/>
      <c r="CY159" s="852"/>
      <c r="CZ159" s="852"/>
      <c r="DA159" s="852"/>
      <c r="DB159" s="852"/>
      <c r="DC159" s="852"/>
      <c r="DD159" s="852"/>
      <c r="DE159" s="852"/>
      <c r="DF159" s="852"/>
      <c r="DG159" s="852"/>
      <c r="DH159" s="852"/>
      <c r="DI159" s="852"/>
      <c r="DJ159" s="852"/>
      <c r="DK159" s="852"/>
      <c r="DL159" s="177"/>
      <c r="DM159" s="177"/>
    </row>
    <row r="160" spans="5:117" s="176" customFormat="1" x14ac:dyDescent="0.2"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57"/>
      <c r="S160" s="1090"/>
      <c r="CV160" s="297"/>
      <c r="CW160" s="297"/>
      <c r="CX160" s="297"/>
      <c r="CY160" s="852"/>
      <c r="CZ160" s="852"/>
      <c r="DA160" s="852"/>
      <c r="DB160" s="852"/>
      <c r="DC160" s="852"/>
      <c r="DD160" s="852"/>
      <c r="DE160" s="852"/>
      <c r="DF160" s="852"/>
      <c r="DG160" s="852"/>
      <c r="DH160" s="852"/>
      <c r="DI160" s="852"/>
      <c r="DJ160" s="852"/>
      <c r="DK160" s="852"/>
      <c r="DL160" s="177"/>
      <c r="DM160" s="177"/>
    </row>
    <row r="161" spans="5:117" s="176" customFormat="1" x14ac:dyDescent="0.2"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57"/>
      <c r="S161" s="1090"/>
      <c r="CV161" s="297"/>
      <c r="CW161" s="297"/>
      <c r="CX161" s="297"/>
      <c r="CY161" s="852"/>
      <c r="CZ161" s="852"/>
      <c r="DA161" s="852"/>
      <c r="DB161" s="852"/>
      <c r="DC161" s="852"/>
      <c r="DD161" s="852"/>
      <c r="DE161" s="852"/>
      <c r="DF161" s="852"/>
      <c r="DG161" s="852"/>
      <c r="DH161" s="852"/>
      <c r="DI161" s="852"/>
      <c r="DJ161" s="852"/>
      <c r="DK161" s="852"/>
      <c r="DL161" s="177"/>
      <c r="DM161" s="177"/>
    </row>
    <row r="162" spans="5:117" s="176" customFormat="1" x14ac:dyDescent="0.2"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57"/>
      <c r="S162" s="1090"/>
      <c r="CV162" s="297"/>
      <c r="CW162" s="297"/>
      <c r="CX162" s="297"/>
      <c r="CY162" s="852"/>
      <c r="CZ162" s="852"/>
      <c r="DA162" s="852"/>
      <c r="DB162" s="852"/>
      <c r="DC162" s="852"/>
      <c r="DD162" s="852"/>
      <c r="DE162" s="852"/>
      <c r="DF162" s="852"/>
      <c r="DG162" s="852"/>
      <c r="DH162" s="852"/>
      <c r="DI162" s="852"/>
      <c r="DJ162" s="852"/>
      <c r="DK162" s="852"/>
      <c r="DL162" s="177"/>
      <c r="DM162" s="177"/>
    </row>
    <row r="163" spans="5:117" s="176" customFormat="1" x14ac:dyDescent="0.2"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57"/>
      <c r="S163" s="1090"/>
      <c r="CV163" s="297"/>
      <c r="CW163" s="297"/>
      <c r="CX163" s="297"/>
      <c r="CY163" s="852"/>
      <c r="CZ163" s="852"/>
      <c r="DA163" s="852"/>
      <c r="DB163" s="852"/>
      <c r="DC163" s="852"/>
      <c r="DD163" s="852"/>
      <c r="DE163" s="852"/>
      <c r="DF163" s="852"/>
      <c r="DG163" s="852"/>
      <c r="DH163" s="852"/>
      <c r="DI163" s="852"/>
      <c r="DJ163" s="852"/>
      <c r="DK163" s="852"/>
      <c r="DL163" s="177"/>
      <c r="DM163" s="177"/>
    </row>
    <row r="164" spans="5:117" s="1090" customFormat="1" x14ac:dyDescent="0.2">
      <c r="E164" s="1096"/>
      <c r="F164" s="1096"/>
      <c r="G164" s="1096"/>
      <c r="H164" s="1096"/>
      <c r="I164" s="1096"/>
      <c r="J164" s="1096"/>
      <c r="K164" s="1096"/>
      <c r="L164" s="1096"/>
      <c r="M164" s="1096"/>
      <c r="N164" s="1096"/>
      <c r="O164" s="1096"/>
      <c r="P164" s="1096"/>
      <c r="Q164" s="1096"/>
      <c r="R164" s="1097"/>
      <c r="CV164" s="1098"/>
      <c r="CW164" s="1098"/>
      <c r="CX164" s="1098"/>
      <c r="CY164" s="1099"/>
      <c r="CZ164" s="1099"/>
      <c r="DA164" s="1099"/>
      <c r="DB164" s="1099"/>
      <c r="DC164" s="1099"/>
      <c r="DD164" s="1099"/>
      <c r="DE164" s="1099"/>
      <c r="DF164" s="1099"/>
      <c r="DG164" s="1099"/>
      <c r="DH164" s="1099"/>
      <c r="DI164" s="1099"/>
      <c r="DJ164" s="1099"/>
      <c r="DK164" s="1099"/>
    </row>
    <row r="165" spans="5:117" s="1090" customFormat="1" x14ac:dyDescent="0.2">
      <c r="E165" s="1096"/>
      <c r="F165" s="1096"/>
      <c r="G165" s="1096"/>
      <c r="H165" s="1096"/>
      <c r="I165" s="1096"/>
      <c r="J165" s="1096"/>
      <c r="K165" s="1096"/>
      <c r="L165" s="1096"/>
      <c r="M165" s="1096"/>
      <c r="N165" s="1096"/>
      <c r="O165" s="1096"/>
      <c r="P165" s="1096"/>
      <c r="Q165" s="1096"/>
      <c r="R165" s="1097"/>
      <c r="CV165" s="1098"/>
      <c r="CW165" s="1098"/>
      <c r="CX165" s="1098"/>
      <c r="CY165" s="1099"/>
      <c r="CZ165" s="1099"/>
      <c r="DA165" s="1099"/>
      <c r="DB165" s="1099"/>
      <c r="DC165" s="1099"/>
      <c r="DD165" s="1099"/>
      <c r="DE165" s="1099"/>
      <c r="DF165" s="1099"/>
      <c r="DG165" s="1099"/>
      <c r="DH165" s="1099"/>
      <c r="DI165" s="1099"/>
      <c r="DJ165" s="1099"/>
      <c r="DK165" s="1099"/>
    </row>
    <row r="166" spans="5:117" s="1090" customFormat="1" x14ac:dyDescent="0.2">
      <c r="E166" s="1096"/>
      <c r="F166" s="1096"/>
      <c r="G166" s="1096"/>
      <c r="H166" s="1096"/>
      <c r="I166" s="1096"/>
      <c r="J166" s="1096"/>
      <c r="K166" s="1096"/>
      <c r="L166" s="1096"/>
      <c r="M166" s="1096"/>
      <c r="N166" s="1096"/>
      <c r="O166" s="1096"/>
      <c r="P166" s="1096"/>
      <c r="Q166" s="1096"/>
      <c r="R166" s="1097"/>
      <c r="CV166" s="1098"/>
      <c r="CW166" s="1098"/>
      <c r="CX166" s="1098"/>
      <c r="CY166" s="1099"/>
      <c r="CZ166" s="1099"/>
      <c r="DA166" s="1099"/>
      <c r="DB166" s="1099"/>
      <c r="DC166" s="1099"/>
      <c r="DD166" s="1099"/>
      <c r="DE166" s="1099"/>
      <c r="DF166" s="1099"/>
      <c r="DG166" s="1099"/>
      <c r="DH166" s="1099"/>
      <c r="DI166" s="1099"/>
      <c r="DJ166" s="1099"/>
      <c r="DK166" s="1099"/>
    </row>
    <row r="167" spans="5:117" s="1090" customFormat="1" x14ac:dyDescent="0.2">
      <c r="E167" s="1096"/>
      <c r="F167" s="1096"/>
      <c r="G167" s="1096"/>
      <c r="H167" s="1096"/>
      <c r="I167" s="1096"/>
      <c r="J167" s="1096"/>
      <c r="K167" s="1096"/>
      <c r="L167" s="1096"/>
      <c r="M167" s="1096"/>
      <c r="N167" s="1096"/>
      <c r="O167" s="1096"/>
      <c r="P167" s="1096"/>
      <c r="Q167" s="1096"/>
      <c r="R167" s="1097"/>
      <c r="CV167" s="1098"/>
      <c r="CW167" s="1098"/>
      <c r="CX167" s="1098"/>
      <c r="CY167" s="1099"/>
      <c r="CZ167" s="1099"/>
      <c r="DA167" s="1099"/>
      <c r="DB167" s="1099"/>
      <c r="DC167" s="1099"/>
      <c r="DD167" s="1099"/>
      <c r="DE167" s="1099"/>
      <c r="DF167" s="1099"/>
      <c r="DG167" s="1099"/>
      <c r="DH167" s="1099"/>
      <c r="DI167" s="1099"/>
      <c r="DJ167" s="1099"/>
      <c r="DK167" s="1099"/>
    </row>
    <row r="168" spans="5:117" s="1090" customFormat="1" x14ac:dyDescent="0.2">
      <c r="E168" s="1096"/>
      <c r="F168" s="1096"/>
      <c r="G168" s="1096"/>
      <c r="H168" s="1096"/>
      <c r="I168" s="1096"/>
      <c r="J168" s="1096"/>
      <c r="K168" s="1096"/>
      <c r="L168" s="1096"/>
      <c r="M168" s="1096"/>
      <c r="N168" s="1096"/>
      <c r="O168" s="1096"/>
      <c r="P168" s="1096"/>
      <c r="Q168" s="1096"/>
      <c r="R168" s="1097"/>
      <c r="CV168" s="1098"/>
      <c r="CW168" s="1098"/>
      <c r="CX168" s="1098"/>
      <c r="CY168" s="1099"/>
      <c r="CZ168" s="1099"/>
      <c r="DA168" s="1099"/>
      <c r="DB168" s="1099"/>
      <c r="DC168" s="1099"/>
      <c r="DD168" s="1099"/>
      <c r="DE168" s="1099"/>
      <c r="DF168" s="1099"/>
      <c r="DG168" s="1099"/>
      <c r="DH168" s="1099"/>
      <c r="DI168" s="1099"/>
      <c r="DJ168" s="1099"/>
      <c r="DK168" s="1099"/>
    </row>
    <row r="169" spans="5:117" s="1090" customFormat="1" x14ac:dyDescent="0.2">
      <c r="E169" s="1096"/>
      <c r="F169" s="1096"/>
      <c r="G169" s="1096"/>
      <c r="H169" s="1096"/>
      <c r="I169" s="1096"/>
      <c r="J169" s="1096"/>
      <c r="K169" s="1096"/>
      <c r="L169" s="1096"/>
      <c r="M169" s="1096"/>
      <c r="N169" s="1096"/>
      <c r="O169" s="1096"/>
      <c r="P169" s="1096"/>
      <c r="Q169" s="1096"/>
      <c r="R169" s="1097"/>
      <c r="CV169" s="1098"/>
      <c r="CW169" s="1098"/>
      <c r="CX169" s="1098"/>
      <c r="CY169" s="1099"/>
      <c r="CZ169" s="1099"/>
      <c r="DA169" s="1099"/>
      <c r="DB169" s="1099"/>
      <c r="DC169" s="1099"/>
      <c r="DD169" s="1099"/>
      <c r="DE169" s="1099"/>
      <c r="DF169" s="1099"/>
      <c r="DG169" s="1099"/>
      <c r="DH169" s="1099"/>
      <c r="DI169" s="1099"/>
      <c r="DJ169" s="1099"/>
      <c r="DK169" s="1099"/>
    </row>
    <row r="170" spans="5:117" s="1090" customFormat="1" x14ac:dyDescent="0.2">
      <c r="E170" s="1096"/>
      <c r="F170" s="1096"/>
      <c r="G170" s="1096"/>
      <c r="H170" s="1096"/>
      <c r="I170" s="1096"/>
      <c r="J170" s="1096"/>
      <c r="K170" s="1096"/>
      <c r="L170" s="1096"/>
      <c r="M170" s="1096"/>
      <c r="N170" s="1096"/>
      <c r="O170" s="1096"/>
      <c r="P170" s="1096"/>
      <c r="Q170" s="1096"/>
      <c r="R170" s="1097"/>
      <c r="CV170" s="1098"/>
      <c r="CW170" s="1098"/>
      <c r="CX170" s="1098"/>
      <c r="CY170" s="1099"/>
      <c r="CZ170" s="1099"/>
      <c r="DA170" s="1099"/>
      <c r="DB170" s="1099"/>
      <c r="DC170" s="1099"/>
      <c r="DD170" s="1099"/>
      <c r="DE170" s="1099"/>
      <c r="DF170" s="1099"/>
      <c r="DG170" s="1099"/>
      <c r="DH170" s="1099"/>
      <c r="DI170" s="1099"/>
      <c r="DJ170" s="1099"/>
      <c r="DK170" s="1099"/>
    </row>
    <row r="171" spans="5:117" s="1090" customFormat="1" x14ac:dyDescent="0.2">
      <c r="E171" s="1096"/>
      <c r="F171" s="1096"/>
      <c r="G171" s="1096"/>
      <c r="H171" s="1096"/>
      <c r="I171" s="1096"/>
      <c r="J171" s="1096"/>
      <c r="K171" s="1096"/>
      <c r="L171" s="1096"/>
      <c r="M171" s="1096"/>
      <c r="N171" s="1096"/>
      <c r="O171" s="1096"/>
      <c r="P171" s="1096"/>
      <c r="Q171" s="1096"/>
      <c r="R171" s="1097"/>
      <c r="CV171" s="1098"/>
      <c r="CW171" s="1098"/>
      <c r="CX171" s="1098"/>
      <c r="CY171" s="1099"/>
      <c r="CZ171" s="1099"/>
      <c r="DA171" s="1099"/>
      <c r="DB171" s="1099"/>
      <c r="DC171" s="1099"/>
      <c r="DD171" s="1099"/>
      <c r="DE171" s="1099"/>
      <c r="DF171" s="1099"/>
      <c r="DG171" s="1099"/>
      <c r="DH171" s="1099"/>
      <c r="DI171" s="1099"/>
      <c r="DJ171" s="1099"/>
      <c r="DK171" s="1099"/>
    </row>
    <row r="172" spans="5:117" s="1090" customFormat="1" x14ac:dyDescent="0.2">
      <c r="E172" s="1096"/>
      <c r="F172" s="1096"/>
      <c r="G172" s="1096"/>
      <c r="H172" s="1096"/>
      <c r="I172" s="1096"/>
      <c r="J172" s="1096"/>
      <c r="K172" s="1096"/>
      <c r="L172" s="1096"/>
      <c r="M172" s="1096"/>
      <c r="N172" s="1096"/>
      <c r="O172" s="1096"/>
      <c r="P172" s="1096"/>
      <c r="Q172" s="1096"/>
      <c r="R172" s="1097"/>
      <c r="CV172" s="1098"/>
      <c r="CW172" s="1098"/>
      <c r="CX172" s="1098"/>
      <c r="CY172" s="1099"/>
      <c r="CZ172" s="1099"/>
      <c r="DA172" s="1099"/>
      <c r="DB172" s="1099"/>
      <c r="DC172" s="1099"/>
      <c r="DD172" s="1099"/>
      <c r="DE172" s="1099"/>
      <c r="DF172" s="1099"/>
      <c r="DG172" s="1099"/>
      <c r="DH172" s="1099"/>
      <c r="DI172" s="1099"/>
      <c r="DJ172" s="1099"/>
      <c r="DK172" s="1099"/>
    </row>
    <row r="173" spans="5:117" s="1090" customFormat="1" x14ac:dyDescent="0.2">
      <c r="E173" s="1096"/>
      <c r="F173" s="1096"/>
      <c r="G173" s="1096"/>
      <c r="H173" s="1096"/>
      <c r="I173" s="1096"/>
      <c r="J173" s="1096"/>
      <c r="K173" s="1096"/>
      <c r="L173" s="1096"/>
      <c r="M173" s="1096"/>
      <c r="N173" s="1096"/>
      <c r="O173" s="1096"/>
      <c r="P173" s="1096"/>
      <c r="Q173" s="1096"/>
      <c r="R173" s="1097"/>
      <c r="CV173" s="1098"/>
      <c r="CW173" s="1098"/>
      <c r="CX173" s="1098"/>
      <c r="CY173" s="1099"/>
      <c r="CZ173" s="1099"/>
      <c r="DA173" s="1099"/>
      <c r="DB173" s="1099"/>
      <c r="DC173" s="1099"/>
      <c r="DD173" s="1099"/>
      <c r="DE173" s="1099"/>
      <c r="DF173" s="1099"/>
      <c r="DG173" s="1099"/>
      <c r="DH173" s="1099"/>
      <c r="DI173" s="1099"/>
      <c r="DJ173" s="1099"/>
      <c r="DK173" s="1099"/>
    </row>
    <row r="174" spans="5:117" s="396" customFormat="1" x14ac:dyDescent="0.2">
      <c r="E174" s="1212"/>
      <c r="F174" s="1212"/>
      <c r="G174" s="1212"/>
      <c r="H174" s="1212"/>
      <c r="I174" s="1212"/>
      <c r="J174" s="1212"/>
      <c r="K174" s="1212"/>
      <c r="L174" s="1212"/>
      <c r="M174" s="1212"/>
      <c r="N174" s="1212"/>
      <c r="O174" s="1212"/>
      <c r="P174" s="1212"/>
      <c r="Q174" s="1212"/>
      <c r="R174" s="472"/>
      <c r="CV174" s="399"/>
      <c r="CW174" s="399"/>
      <c r="CX174" s="399"/>
      <c r="CY174" s="1213"/>
      <c r="CZ174" s="1213"/>
      <c r="DA174" s="1213"/>
      <c r="DB174" s="1213"/>
      <c r="DC174" s="1213"/>
      <c r="DD174" s="1213"/>
      <c r="DE174" s="1213"/>
      <c r="DF174" s="1213"/>
      <c r="DG174" s="1213"/>
      <c r="DH174" s="1213"/>
      <c r="DI174" s="1213"/>
      <c r="DJ174" s="1213"/>
      <c r="DK174" s="1213"/>
    </row>
    <row r="175" spans="5:117" s="396" customFormat="1" x14ac:dyDescent="0.2">
      <c r="E175" s="1061" t="str">
        <f ca="1">"Jan. "&amp;'1 Pers.Ausgaben|Pers Expenses'!$C$4</f>
        <v>Jan. 2019</v>
      </c>
      <c r="F175" s="1061" t="str">
        <f ca="1">"Feb. "&amp;'1 Pers.Ausgaben|Pers Expenses'!$C$4</f>
        <v>Feb. 2019</v>
      </c>
      <c r="G175" s="1061" t="str">
        <f ca="1">"März"&amp;'1 Pers.Ausgaben|Pers Expenses'!$C$4</f>
        <v>März2019</v>
      </c>
      <c r="H175" s="1061" t="str">
        <f ca="1">"April "&amp;'1 Pers.Ausgaben|Pers Expenses'!$C$4</f>
        <v>April 2019</v>
      </c>
      <c r="I175" s="1061" t="str">
        <f ca="1">"Mai "&amp;'1 Pers.Ausgaben|Pers Expenses'!$C$4</f>
        <v>Mai 2019</v>
      </c>
      <c r="J175" s="1061" t="str">
        <f ca="1">"Juni "&amp;'1 Pers.Ausgaben|Pers Expenses'!$C$4</f>
        <v>Juni 2019</v>
      </c>
      <c r="K175" s="1061" t="str">
        <f ca="1">"Juli "&amp;'1 Pers.Ausgaben|Pers Expenses'!$C$4</f>
        <v>Juli 2019</v>
      </c>
      <c r="L175" s="1061" t="str">
        <f ca="1">"Aug. "&amp;'1 Pers.Ausgaben|Pers Expenses'!$C$4</f>
        <v>Aug. 2019</v>
      </c>
      <c r="M175" s="1061" t="str">
        <f ca="1">"Sept. "&amp;'1 Pers.Ausgaben|Pers Expenses'!$C$4</f>
        <v>Sept. 2019</v>
      </c>
      <c r="N175" s="1061" t="str">
        <f ca="1">"Okt. "&amp;'1 Pers.Ausgaben|Pers Expenses'!$C$4</f>
        <v>Okt. 2019</v>
      </c>
      <c r="O175" s="1061" t="str">
        <f ca="1">"Nov. "&amp;'1 Pers.Ausgaben|Pers Expenses'!$C$4</f>
        <v>Nov. 2019</v>
      </c>
      <c r="P175" s="1061" t="str">
        <f ca="1">"Dez. "&amp;'1 Pers.Ausgaben|Pers Expenses'!$C$4</f>
        <v>Dez. 2019</v>
      </c>
      <c r="Q175" s="1061" t="str">
        <f ca="1">"Jan. "&amp;'1 Pers.Ausgaben|Pers Expenses'!$C$4+1</f>
        <v>Jan. 2020</v>
      </c>
      <c r="R175" s="472" t="str">
        <f ca="1">"Feb. "&amp;'1 Pers.Ausgaben|Pers Expenses'!$C$4+1</f>
        <v>Feb. 2020</v>
      </c>
      <c r="S175" s="1214" t="str">
        <f ca="1">"März "&amp;'1 Pers.Ausgaben|Pers Expenses'!$C$4+1</f>
        <v>März 2020</v>
      </c>
      <c r="T175" s="1061" t="str">
        <f ca="1">"April "&amp;'1 Pers.Ausgaben|Pers Expenses'!$C$4+1</f>
        <v>April 2020</v>
      </c>
      <c r="U175" s="1061" t="str">
        <f ca="1">"Mai "&amp;'1 Pers.Ausgaben|Pers Expenses'!$C$4+1</f>
        <v>Mai 2020</v>
      </c>
      <c r="V175" s="1061" t="str">
        <f ca="1">"Juni "&amp;'1 Pers.Ausgaben|Pers Expenses'!$C$4+1</f>
        <v>Juni 2020</v>
      </c>
      <c r="W175" s="1061" t="str">
        <f ca="1">"Juli "&amp;'1 Pers.Ausgaben|Pers Expenses'!$C$4+1</f>
        <v>Juli 2020</v>
      </c>
      <c r="X175" s="1061" t="str">
        <f ca="1">"Aug. "&amp;'1 Pers.Ausgaben|Pers Expenses'!$C$4+1</f>
        <v>Aug. 2020</v>
      </c>
      <c r="Y175" s="1061" t="str">
        <f ca="1">"Sept. "&amp;'1 Pers.Ausgaben|Pers Expenses'!$C$4+1</f>
        <v>Sept. 2020</v>
      </c>
      <c r="Z175" s="1061" t="str">
        <f ca="1">"Okt. "&amp;'1 Pers.Ausgaben|Pers Expenses'!$C$4+1</f>
        <v>Okt. 2020</v>
      </c>
      <c r="AA175" s="1061" t="str">
        <f ca="1">"Nov. "&amp;'1 Pers.Ausgaben|Pers Expenses'!$C$4+1</f>
        <v>Nov. 2020</v>
      </c>
      <c r="AB175" s="1061" t="str">
        <f ca="1">"Dez. "&amp;'1 Pers.Ausgaben|Pers Expenses'!$C$4+1</f>
        <v>Dez. 2020</v>
      </c>
      <c r="CV175" s="399"/>
      <c r="CW175" s="399"/>
      <c r="CX175" s="399"/>
      <c r="CY175" s="1213"/>
      <c r="CZ175" s="1213"/>
      <c r="DA175" s="1213"/>
      <c r="DB175" s="1213"/>
      <c r="DC175" s="1213"/>
      <c r="DD175" s="1213"/>
      <c r="DE175" s="1213"/>
      <c r="DF175" s="1213"/>
      <c r="DG175" s="1213"/>
      <c r="DH175" s="1213"/>
      <c r="DI175" s="1213"/>
      <c r="DJ175" s="1213"/>
      <c r="DK175" s="1213"/>
    </row>
    <row r="176" spans="5:117" s="396" customFormat="1" x14ac:dyDescent="0.2">
      <c r="E176" s="1061">
        <f>E13</f>
        <v>0</v>
      </c>
      <c r="F176" s="1061">
        <f t="shared" ref="F176:P176" si="38">F13</f>
        <v>0</v>
      </c>
      <c r="G176" s="1061">
        <f t="shared" si="38"/>
        <v>0</v>
      </c>
      <c r="H176" s="1061">
        <f t="shared" si="38"/>
        <v>0</v>
      </c>
      <c r="I176" s="1061">
        <f t="shared" si="38"/>
        <v>0</v>
      </c>
      <c r="J176" s="1061">
        <f t="shared" si="38"/>
        <v>0</v>
      </c>
      <c r="K176" s="1061">
        <f t="shared" si="38"/>
        <v>0</v>
      </c>
      <c r="L176" s="1061">
        <f t="shared" si="38"/>
        <v>0</v>
      </c>
      <c r="M176" s="1061">
        <f t="shared" si="38"/>
        <v>0</v>
      </c>
      <c r="N176" s="1061">
        <f t="shared" si="38"/>
        <v>0</v>
      </c>
      <c r="O176" s="1061">
        <f t="shared" si="38"/>
        <v>0</v>
      </c>
      <c r="P176" s="1061">
        <f t="shared" si="38"/>
        <v>0</v>
      </c>
      <c r="Q176" s="1061">
        <f>E47</f>
        <v>0</v>
      </c>
      <c r="R176" s="1061">
        <f>F47</f>
        <v>0</v>
      </c>
      <c r="S176" s="1215">
        <f>G47</f>
        <v>0</v>
      </c>
      <c r="T176" s="1215">
        <f t="shared" ref="T176:AB176" si="39">H47</f>
        <v>0</v>
      </c>
      <c r="U176" s="1215">
        <f t="shared" si="39"/>
        <v>0</v>
      </c>
      <c r="V176" s="1215">
        <f t="shared" si="39"/>
        <v>0</v>
      </c>
      <c r="W176" s="1215">
        <f t="shared" si="39"/>
        <v>0</v>
      </c>
      <c r="X176" s="1215">
        <f t="shared" si="39"/>
        <v>0</v>
      </c>
      <c r="Y176" s="1215">
        <f t="shared" si="39"/>
        <v>0</v>
      </c>
      <c r="Z176" s="1215">
        <f t="shared" si="39"/>
        <v>0</v>
      </c>
      <c r="AA176" s="1215">
        <f t="shared" si="39"/>
        <v>0</v>
      </c>
      <c r="AB176" s="1215">
        <f t="shared" si="39"/>
        <v>0</v>
      </c>
      <c r="CV176" s="399"/>
      <c r="CW176" s="399"/>
      <c r="CX176" s="399"/>
      <c r="CY176" s="1213"/>
      <c r="CZ176" s="1213"/>
      <c r="DA176" s="1213"/>
      <c r="DB176" s="1213"/>
      <c r="DC176" s="1213"/>
      <c r="DD176" s="1213"/>
      <c r="DE176" s="1213"/>
      <c r="DF176" s="1213"/>
      <c r="DG176" s="1213"/>
      <c r="DH176" s="1213"/>
      <c r="DI176" s="1213"/>
      <c r="DJ176" s="1213"/>
      <c r="DK176" s="1213"/>
    </row>
    <row r="177" spans="5:115" s="396" customFormat="1" x14ac:dyDescent="0.2">
      <c r="E177" s="1061">
        <f>E21</f>
        <v>0</v>
      </c>
      <c r="F177" s="1061">
        <f t="shared" ref="F177:P177" si="40">F21</f>
        <v>0</v>
      </c>
      <c r="G177" s="1061">
        <f t="shared" si="40"/>
        <v>0</v>
      </c>
      <c r="H177" s="1061">
        <f t="shared" si="40"/>
        <v>0</v>
      </c>
      <c r="I177" s="1061">
        <f t="shared" si="40"/>
        <v>0</v>
      </c>
      <c r="J177" s="1061">
        <f t="shared" si="40"/>
        <v>0</v>
      </c>
      <c r="K177" s="1061">
        <f t="shared" si="40"/>
        <v>0</v>
      </c>
      <c r="L177" s="1061">
        <f t="shared" si="40"/>
        <v>0</v>
      </c>
      <c r="M177" s="1061">
        <f t="shared" si="40"/>
        <v>0</v>
      </c>
      <c r="N177" s="1061">
        <f t="shared" si="40"/>
        <v>0</v>
      </c>
      <c r="O177" s="1061">
        <f t="shared" si="40"/>
        <v>0</v>
      </c>
      <c r="P177" s="1061">
        <f t="shared" si="40"/>
        <v>0</v>
      </c>
      <c r="Q177" s="1061">
        <f>E55</f>
        <v>0</v>
      </c>
      <c r="R177" s="1061">
        <f>F55</f>
        <v>0</v>
      </c>
      <c r="S177" s="1215">
        <f>G55</f>
        <v>0</v>
      </c>
      <c r="T177" s="1215">
        <f t="shared" ref="T177:AB177" si="41">H55</f>
        <v>0</v>
      </c>
      <c r="U177" s="1215">
        <f t="shared" si="41"/>
        <v>0</v>
      </c>
      <c r="V177" s="1215">
        <f t="shared" si="41"/>
        <v>0</v>
      </c>
      <c r="W177" s="1215">
        <f t="shared" si="41"/>
        <v>0</v>
      </c>
      <c r="X177" s="1215">
        <f t="shared" si="41"/>
        <v>0</v>
      </c>
      <c r="Y177" s="1215">
        <f t="shared" si="41"/>
        <v>0</v>
      </c>
      <c r="Z177" s="1215">
        <f t="shared" si="41"/>
        <v>0</v>
      </c>
      <c r="AA177" s="1215">
        <f t="shared" si="41"/>
        <v>0</v>
      </c>
      <c r="AB177" s="1215">
        <f t="shared" si="41"/>
        <v>0</v>
      </c>
      <c r="CV177" s="399"/>
      <c r="CW177" s="399"/>
      <c r="CX177" s="399"/>
      <c r="CY177" s="1213"/>
      <c r="CZ177" s="1213"/>
      <c r="DA177" s="1213"/>
      <c r="DB177" s="1213"/>
      <c r="DC177" s="1213"/>
      <c r="DD177" s="1213"/>
      <c r="DE177" s="1213"/>
      <c r="DF177" s="1213"/>
      <c r="DG177" s="1213"/>
      <c r="DH177" s="1213"/>
      <c r="DI177" s="1213"/>
      <c r="DJ177" s="1213"/>
      <c r="DK177" s="1213"/>
    </row>
    <row r="178" spans="5:115" s="396" customFormat="1" x14ac:dyDescent="0.2">
      <c r="E178" s="1061">
        <f>E26</f>
        <v>0</v>
      </c>
      <c r="F178" s="1061">
        <f t="shared" ref="F178:P178" si="42">F26</f>
        <v>0</v>
      </c>
      <c r="G178" s="1061">
        <f t="shared" si="42"/>
        <v>0</v>
      </c>
      <c r="H178" s="1061">
        <f t="shared" si="42"/>
        <v>0</v>
      </c>
      <c r="I178" s="1061">
        <f t="shared" si="42"/>
        <v>0</v>
      </c>
      <c r="J178" s="1061">
        <f t="shared" si="42"/>
        <v>0</v>
      </c>
      <c r="K178" s="1061">
        <f t="shared" si="42"/>
        <v>0</v>
      </c>
      <c r="L178" s="1061">
        <f t="shared" si="42"/>
        <v>0</v>
      </c>
      <c r="M178" s="1061">
        <f t="shared" si="42"/>
        <v>0</v>
      </c>
      <c r="N178" s="1061">
        <f t="shared" si="42"/>
        <v>0</v>
      </c>
      <c r="O178" s="1061">
        <f t="shared" si="42"/>
        <v>0</v>
      </c>
      <c r="P178" s="1061">
        <f t="shared" si="42"/>
        <v>0</v>
      </c>
      <c r="Q178" s="1061">
        <f>E60</f>
        <v>0</v>
      </c>
      <c r="R178" s="1061">
        <f>F60</f>
        <v>0</v>
      </c>
      <c r="S178" s="1215">
        <f>G60</f>
        <v>0</v>
      </c>
      <c r="T178" s="1215">
        <f t="shared" ref="T178:AB178" si="43">H60</f>
        <v>0</v>
      </c>
      <c r="U178" s="1215">
        <f t="shared" si="43"/>
        <v>0</v>
      </c>
      <c r="V178" s="1215">
        <f t="shared" si="43"/>
        <v>0</v>
      </c>
      <c r="W178" s="1215">
        <f t="shared" si="43"/>
        <v>0</v>
      </c>
      <c r="X178" s="1215">
        <f t="shared" si="43"/>
        <v>0</v>
      </c>
      <c r="Y178" s="1215">
        <f t="shared" si="43"/>
        <v>0</v>
      </c>
      <c r="Z178" s="1215">
        <f t="shared" si="43"/>
        <v>0</v>
      </c>
      <c r="AA178" s="1215">
        <f t="shared" si="43"/>
        <v>0</v>
      </c>
      <c r="AB178" s="1215">
        <f t="shared" si="43"/>
        <v>0</v>
      </c>
      <c r="CV178" s="399"/>
      <c r="CW178" s="399"/>
      <c r="CX178" s="399"/>
      <c r="CY178" s="1213"/>
      <c r="CZ178" s="1213"/>
      <c r="DA178" s="1213"/>
      <c r="DB178" s="1213"/>
      <c r="DC178" s="1213"/>
      <c r="DD178" s="1213"/>
      <c r="DE178" s="1213"/>
      <c r="DF178" s="1213"/>
      <c r="DG178" s="1213"/>
      <c r="DH178" s="1213"/>
      <c r="DI178" s="1213"/>
      <c r="DJ178" s="1213"/>
      <c r="DK178" s="1213"/>
    </row>
    <row r="179" spans="5:115" s="396" customFormat="1" x14ac:dyDescent="0.2">
      <c r="E179" s="1061">
        <f>E31</f>
        <v>0</v>
      </c>
      <c r="F179" s="1061">
        <f t="shared" ref="F179:P179" si="44">F31</f>
        <v>0</v>
      </c>
      <c r="G179" s="1061">
        <f t="shared" si="44"/>
        <v>0</v>
      </c>
      <c r="H179" s="1061">
        <f t="shared" si="44"/>
        <v>0</v>
      </c>
      <c r="I179" s="1061">
        <f t="shared" si="44"/>
        <v>0</v>
      </c>
      <c r="J179" s="1061">
        <f t="shared" si="44"/>
        <v>0</v>
      </c>
      <c r="K179" s="1061">
        <f t="shared" si="44"/>
        <v>0</v>
      </c>
      <c r="L179" s="1061">
        <f t="shared" si="44"/>
        <v>0</v>
      </c>
      <c r="M179" s="1061">
        <f t="shared" si="44"/>
        <v>0</v>
      </c>
      <c r="N179" s="1061">
        <f t="shared" si="44"/>
        <v>0</v>
      </c>
      <c r="O179" s="1061">
        <f t="shared" si="44"/>
        <v>0</v>
      </c>
      <c r="P179" s="1061">
        <f t="shared" si="44"/>
        <v>0</v>
      </c>
      <c r="Q179" s="1061">
        <f>E65</f>
        <v>0</v>
      </c>
      <c r="R179" s="1061">
        <f>F65</f>
        <v>0</v>
      </c>
      <c r="S179" s="1215">
        <f>G65</f>
        <v>0</v>
      </c>
      <c r="T179" s="1215">
        <f t="shared" ref="T179:AB179" si="45">H65</f>
        <v>0</v>
      </c>
      <c r="U179" s="1215">
        <f t="shared" si="45"/>
        <v>0</v>
      </c>
      <c r="V179" s="1215">
        <f t="shared" si="45"/>
        <v>0</v>
      </c>
      <c r="W179" s="1215">
        <f t="shared" si="45"/>
        <v>0</v>
      </c>
      <c r="X179" s="1215">
        <f t="shared" si="45"/>
        <v>0</v>
      </c>
      <c r="Y179" s="1215">
        <f t="shared" si="45"/>
        <v>0</v>
      </c>
      <c r="Z179" s="1215">
        <f t="shared" si="45"/>
        <v>0</v>
      </c>
      <c r="AA179" s="1215">
        <f t="shared" si="45"/>
        <v>0</v>
      </c>
      <c r="AB179" s="1215">
        <f t="shared" si="45"/>
        <v>0</v>
      </c>
      <c r="CV179" s="399"/>
      <c r="CW179" s="399"/>
      <c r="CX179" s="399"/>
      <c r="CY179" s="1213"/>
      <c r="CZ179" s="1213"/>
      <c r="DA179" s="1213"/>
      <c r="DB179" s="1213"/>
      <c r="DC179" s="1213"/>
      <c r="DD179" s="1213"/>
      <c r="DE179" s="1213"/>
      <c r="DF179" s="1213"/>
      <c r="DG179" s="1213"/>
      <c r="DH179" s="1213"/>
      <c r="DI179" s="1213"/>
      <c r="DJ179" s="1213"/>
      <c r="DK179" s="1213"/>
    </row>
    <row r="180" spans="5:115" s="1090" customFormat="1" x14ac:dyDescent="0.2">
      <c r="E180" s="1096"/>
      <c r="F180" s="1096"/>
      <c r="G180" s="1096"/>
      <c r="H180" s="1096"/>
      <c r="I180" s="1096"/>
      <c r="J180" s="1096"/>
      <c r="K180" s="1096"/>
      <c r="L180" s="1096"/>
      <c r="M180" s="1096"/>
      <c r="N180" s="1096"/>
      <c r="O180" s="1096"/>
      <c r="P180" s="1096"/>
      <c r="Q180" s="1096"/>
      <c r="R180" s="1097"/>
      <c r="CV180" s="1098"/>
      <c r="CW180" s="1098"/>
      <c r="CX180" s="1098"/>
      <c r="CY180" s="1099"/>
      <c r="CZ180" s="1099"/>
      <c r="DA180" s="1099"/>
      <c r="DB180" s="1099"/>
      <c r="DC180" s="1099"/>
      <c r="DD180" s="1099"/>
      <c r="DE180" s="1099"/>
      <c r="DF180" s="1099"/>
      <c r="DG180" s="1099"/>
      <c r="DH180" s="1099"/>
      <c r="DI180" s="1099"/>
      <c r="DJ180" s="1099"/>
      <c r="DK180" s="1099"/>
    </row>
    <row r="181" spans="5:115" s="1090" customFormat="1" x14ac:dyDescent="0.2">
      <c r="E181" s="1096"/>
      <c r="F181" s="1096"/>
      <c r="G181" s="1096"/>
      <c r="H181" s="1096"/>
      <c r="I181" s="1096"/>
      <c r="J181" s="1096"/>
      <c r="K181" s="1096"/>
      <c r="L181" s="1096"/>
      <c r="M181" s="1096"/>
      <c r="N181" s="1096"/>
      <c r="O181" s="1096"/>
      <c r="P181" s="1096"/>
      <c r="Q181" s="1096"/>
      <c r="R181" s="1097"/>
      <c r="CV181" s="1098"/>
      <c r="CW181" s="1098"/>
      <c r="CX181" s="1098"/>
      <c r="CY181" s="1099"/>
      <c r="CZ181" s="1099"/>
      <c r="DA181" s="1099"/>
      <c r="DB181" s="1099"/>
      <c r="DC181" s="1099"/>
      <c r="DD181" s="1099"/>
      <c r="DE181" s="1099"/>
      <c r="DF181" s="1099"/>
      <c r="DG181" s="1099"/>
      <c r="DH181" s="1099"/>
      <c r="DI181" s="1099"/>
      <c r="DJ181" s="1099"/>
      <c r="DK181" s="1099"/>
    </row>
    <row r="182" spans="5:115" s="1090" customFormat="1" x14ac:dyDescent="0.2">
      <c r="E182" s="1096"/>
      <c r="F182" s="1096"/>
      <c r="G182" s="1096"/>
      <c r="H182" s="1096"/>
      <c r="I182" s="1096"/>
      <c r="J182" s="1096"/>
      <c r="K182" s="1096"/>
      <c r="L182" s="1096"/>
      <c r="M182" s="1096"/>
      <c r="N182" s="1096"/>
      <c r="O182" s="1096"/>
      <c r="P182" s="1096"/>
      <c r="Q182" s="1096"/>
      <c r="R182" s="1097"/>
      <c r="CV182" s="1098"/>
      <c r="CW182" s="1098"/>
      <c r="CX182" s="1098"/>
      <c r="CY182" s="1099"/>
      <c r="CZ182" s="1099"/>
      <c r="DA182" s="1099"/>
      <c r="DB182" s="1099"/>
      <c r="DC182" s="1099"/>
      <c r="DD182" s="1099"/>
      <c r="DE182" s="1099"/>
      <c r="DF182" s="1099"/>
      <c r="DG182" s="1099"/>
      <c r="DH182" s="1099"/>
      <c r="DI182" s="1099"/>
      <c r="DJ182" s="1099"/>
      <c r="DK182" s="1099"/>
    </row>
    <row r="183" spans="5:115" s="1090" customFormat="1" x14ac:dyDescent="0.2">
      <c r="E183" s="1096"/>
      <c r="F183" s="1096"/>
      <c r="G183" s="1096"/>
      <c r="H183" s="1096"/>
      <c r="I183" s="1096"/>
      <c r="J183" s="1096"/>
      <c r="K183" s="1096"/>
      <c r="L183" s="1096"/>
      <c r="M183" s="1096"/>
      <c r="N183" s="1096"/>
      <c r="O183" s="1096"/>
      <c r="P183" s="1096"/>
      <c r="Q183" s="1096"/>
      <c r="R183" s="1097"/>
      <c r="CV183" s="1098"/>
      <c r="CW183" s="1098"/>
      <c r="CX183" s="1098"/>
      <c r="CY183" s="1099"/>
      <c r="CZ183" s="1099"/>
      <c r="DA183" s="1099"/>
      <c r="DB183" s="1099"/>
      <c r="DC183" s="1099"/>
      <c r="DD183" s="1099"/>
      <c r="DE183" s="1099"/>
      <c r="DF183" s="1099"/>
      <c r="DG183" s="1099"/>
      <c r="DH183" s="1099"/>
      <c r="DI183" s="1099"/>
      <c r="DJ183" s="1099"/>
      <c r="DK183" s="1099"/>
    </row>
    <row r="184" spans="5:115" s="1090" customFormat="1" x14ac:dyDescent="0.2">
      <c r="E184" s="1096"/>
      <c r="F184" s="1096"/>
      <c r="G184" s="1096"/>
      <c r="H184" s="1096"/>
      <c r="I184" s="1096"/>
      <c r="J184" s="1096"/>
      <c r="K184" s="1096"/>
      <c r="L184" s="1096"/>
      <c r="M184" s="1096"/>
      <c r="N184" s="1096"/>
      <c r="O184" s="1096"/>
      <c r="P184" s="1096"/>
      <c r="Q184" s="1096"/>
      <c r="R184" s="1097"/>
      <c r="CV184" s="1098"/>
      <c r="CW184" s="1098"/>
      <c r="CX184" s="1098"/>
      <c r="CY184" s="1099"/>
      <c r="CZ184" s="1099"/>
      <c r="DA184" s="1099"/>
      <c r="DB184" s="1099"/>
      <c r="DC184" s="1099"/>
      <c r="DD184" s="1099"/>
      <c r="DE184" s="1099"/>
      <c r="DF184" s="1099"/>
      <c r="DG184" s="1099"/>
      <c r="DH184" s="1099"/>
      <c r="DI184" s="1099"/>
      <c r="DJ184" s="1099"/>
      <c r="DK184" s="1099"/>
    </row>
    <row r="185" spans="5:115" s="1090" customFormat="1" x14ac:dyDescent="0.2">
      <c r="E185" s="1096"/>
      <c r="F185" s="1096"/>
      <c r="G185" s="1096"/>
      <c r="H185" s="1096"/>
      <c r="I185" s="1096"/>
      <c r="J185" s="1096"/>
      <c r="K185" s="1096"/>
      <c r="L185" s="1096"/>
      <c r="M185" s="1096"/>
      <c r="N185" s="1096"/>
      <c r="O185" s="1096"/>
      <c r="P185" s="1096"/>
      <c r="Q185" s="1096"/>
      <c r="R185" s="1097"/>
      <c r="CV185" s="1098"/>
      <c r="CW185" s="1098"/>
      <c r="CX185" s="1098"/>
      <c r="CY185" s="1099"/>
      <c r="CZ185" s="1099"/>
      <c r="DA185" s="1099"/>
      <c r="DB185" s="1099"/>
      <c r="DC185" s="1099"/>
      <c r="DD185" s="1099"/>
      <c r="DE185" s="1099"/>
      <c r="DF185" s="1099"/>
      <c r="DG185" s="1099"/>
      <c r="DH185" s="1099"/>
      <c r="DI185" s="1099"/>
      <c r="DJ185" s="1099"/>
      <c r="DK185" s="1099"/>
    </row>
    <row r="186" spans="5:115" s="1090" customFormat="1" x14ac:dyDescent="0.2">
      <c r="E186" s="1096"/>
      <c r="F186" s="1096"/>
      <c r="G186" s="1096"/>
      <c r="H186" s="1096"/>
      <c r="I186" s="1096"/>
      <c r="J186" s="1096"/>
      <c r="K186" s="1096"/>
      <c r="L186" s="1096"/>
      <c r="M186" s="1096"/>
      <c r="N186" s="1096"/>
      <c r="O186" s="1096"/>
      <c r="P186" s="1096"/>
      <c r="Q186" s="1096"/>
      <c r="R186" s="1097"/>
      <c r="CV186" s="1098"/>
      <c r="CW186" s="1098"/>
      <c r="CX186" s="1098"/>
      <c r="CY186" s="1099"/>
      <c r="CZ186" s="1099"/>
      <c r="DA186" s="1099"/>
      <c r="DB186" s="1099"/>
      <c r="DC186" s="1099"/>
      <c r="DD186" s="1099"/>
      <c r="DE186" s="1099"/>
      <c r="DF186" s="1099"/>
      <c r="DG186" s="1099"/>
      <c r="DH186" s="1099"/>
      <c r="DI186" s="1099"/>
      <c r="DJ186" s="1099"/>
      <c r="DK186" s="1099"/>
    </row>
    <row r="187" spans="5:115" s="1090" customFormat="1" x14ac:dyDescent="0.2">
      <c r="E187" s="1096"/>
      <c r="F187" s="1096"/>
      <c r="G187" s="1096"/>
      <c r="H187" s="1096"/>
      <c r="I187" s="1096"/>
      <c r="J187" s="1096"/>
      <c r="K187" s="1096"/>
      <c r="L187" s="1096"/>
      <c r="M187" s="1096"/>
      <c r="N187" s="1096"/>
      <c r="O187" s="1096"/>
      <c r="P187" s="1096"/>
      <c r="Q187" s="1096"/>
      <c r="R187" s="1097"/>
      <c r="CV187" s="1098"/>
      <c r="CW187" s="1098"/>
      <c r="CX187" s="1098"/>
      <c r="CY187" s="1099"/>
      <c r="CZ187" s="1099"/>
      <c r="DA187" s="1099"/>
      <c r="DB187" s="1099"/>
      <c r="DC187" s="1099"/>
      <c r="DD187" s="1099"/>
      <c r="DE187" s="1099"/>
      <c r="DF187" s="1099"/>
      <c r="DG187" s="1099"/>
      <c r="DH187" s="1099"/>
      <c r="DI187" s="1099"/>
      <c r="DJ187" s="1099"/>
      <c r="DK187" s="1099"/>
    </row>
    <row r="188" spans="5:115" s="1090" customFormat="1" x14ac:dyDescent="0.2">
      <c r="E188" s="1096"/>
      <c r="F188" s="1096"/>
      <c r="G188" s="1096"/>
      <c r="H188" s="1096"/>
      <c r="I188" s="1096"/>
      <c r="J188" s="1096"/>
      <c r="K188" s="1096"/>
      <c r="L188" s="1096"/>
      <c r="M188" s="1096"/>
      <c r="N188" s="1096"/>
      <c r="O188" s="1096"/>
      <c r="P188" s="1096"/>
      <c r="Q188" s="1096"/>
      <c r="R188" s="1097"/>
      <c r="CV188" s="1098"/>
      <c r="CW188" s="1098"/>
      <c r="CX188" s="1098"/>
      <c r="CY188" s="1099"/>
      <c r="CZ188" s="1099"/>
      <c r="DA188" s="1099"/>
      <c r="DB188" s="1099"/>
      <c r="DC188" s="1099"/>
      <c r="DD188" s="1099"/>
      <c r="DE188" s="1099"/>
      <c r="DF188" s="1099"/>
      <c r="DG188" s="1099"/>
      <c r="DH188" s="1099"/>
      <c r="DI188" s="1099"/>
      <c r="DJ188" s="1099"/>
      <c r="DK188" s="1099"/>
    </row>
    <row r="189" spans="5:115" s="1090" customFormat="1" x14ac:dyDescent="0.2">
      <c r="E189" s="1096"/>
      <c r="F189" s="1096"/>
      <c r="G189" s="1096"/>
      <c r="H189" s="1096"/>
      <c r="I189" s="1096"/>
      <c r="J189" s="1096"/>
      <c r="K189" s="1096"/>
      <c r="L189" s="1096"/>
      <c r="M189" s="1096"/>
      <c r="N189" s="1096"/>
      <c r="O189" s="1096"/>
      <c r="P189" s="1096"/>
      <c r="Q189" s="1096"/>
      <c r="R189" s="1097"/>
      <c r="CV189" s="1098"/>
      <c r="CW189" s="1098"/>
      <c r="CX189" s="1098"/>
      <c r="CY189" s="1099"/>
      <c r="CZ189" s="1099"/>
      <c r="DA189" s="1099"/>
      <c r="DB189" s="1099"/>
      <c r="DC189" s="1099"/>
      <c r="DD189" s="1099"/>
      <c r="DE189" s="1099"/>
      <c r="DF189" s="1099"/>
      <c r="DG189" s="1099"/>
      <c r="DH189" s="1099"/>
      <c r="DI189" s="1099"/>
      <c r="DJ189" s="1099"/>
      <c r="DK189" s="1099"/>
    </row>
    <row r="190" spans="5:115" s="1090" customFormat="1" x14ac:dyDescent="0.2">
      <c r="E190" s="1096"/>
      <c r="F190" s="1096"/>
      <c r="G190" s="1096"/>
      <c r="H190" s="1096"/>
      <c r="I190" s="1096"/>
      <c r="J190" s="1096"/>
      <c r="K190" s="1096"/>
      <c r="L190" s="1096"/>
      <c r="M190" s="1096"/>
      <c r="N190" s="1096"/>
      <c r="O190" s="1096"/>
      <c r="P190" s="1096"/>
      <c r="Q190" s="1096"/>
      <c r="R190" s="1097"/>
      <c r="CV190" s="1098"/>
      <c r="CW190" s="1098"/>
      <c r="CX190" s="1098"/>
      <c r="CY190" s="1099"/>
      <c r="CZ190" s="1099"/>
      <c r="DA190" s="1099"/>
      <c r="DB190" s="1099"/>
      <c r="DC190" s="1099"/>
      <c r="DD190" s="1099"/>
      <c r="DE190" s="1099"/>
      <c r="DF190" s="1099"/>
      <c r="DG190" s="1099"/>
      <c r="DH190" s="1099"/>
      <c r="DI190" s="1099"/>
      <c r="DJ190" s="1099"/>
      <c r="DK190" s="1099"/>
    </row>
    <row r="191" spans="5:115" s="1090" customFormat="1" x14ac:dyDescent="0.2">
      <c r="E191" s="1096"/>
      <c r="F191" s="1096"/>
      <c r="G191" s="1096"/>
      <c r="H191" s="1096"/>
      <c r="I191" s="1096"/>
      <c r="J191" s="1096"/>
      <c r="K191" s="1096"/>
      <c r="L191" s="1096"/>
      <c r="M191" s="1096"/>
      <c r="N191" s="1096"/>
      <c r="O191" s="1096"/>
      <c r="P191" s="1096"/>
      <c r="Q191" s="1096"/>
      <c r="R191" s="1097"/>
      <c r="CV191" s="1098"/>
      <c r="CW191" s="1098"/>
      <c r="CX191" s="1098"/>
      <c r="CY191" s="1099"/>
      <c r="CZ191" s="1099"/>
      <c r="DA191" s="1099"/>
      <c r="DB191" s="1099"/>
      <c r="DC191" s="1099"/>
      <c r="DD191" s="1099"/>
      <c r="DE191" s="1099"/>
      <c r="DF191" s="1099"/>
      <c r="DG191" s="1099"/>
      <c r="DH191" s="1099"/>
      <c r="DI191" s="1099"/>
      <c r="DJ191" s="1099"/>
      <c r="DK191" s="1099"/>
    </row>
    <row r="192" spans="5:115" s="1090" customFormat="1" x14ac:dyDescent="0.2">
      <c r="E192" s="1096"/>
      <c r="F192" s="1096"/>
      <c r="G192" s="1096"/>
      <c r="H192" s="1096"/>
      <c r="I192" s="1096"/>
      <c r="J192" s="1096"/>
      <c r="K192" s="1096"/>
      <c r="L192" s="1096"/>
      <c r="M192" s="1096"/>
      <c r="N192" s="1096"/>
      <c r="O192" s="1096"/>
      <c r="P192" s="1096"/>
      <c r="Q192" s="1096"/>
      <c r="R192" s="1097"/>
      <c r="CV192" s="1098"/>
      <c r="CW192" s="1098"/>
      <c r="CX192" s="1098"/>
      <c r="CY192" s="1099"/>
      <c r="CZ192" s="1099"/>
      <c r="DA192" s="1099"/>
      <c r="DB192" s="1099"/>
      <c r="DC192" s="1099"/>
      <c r="DD192" s="1099"/>
      <c r="DE192" s="1099"/>
      <c r="DF192" s="1099"/>
      <c r="DG192" s="1099"/>
      <c r="DH192" s="1099"/>
      <c r="DI192" s="1099"/>
      <c r="DJ192" s="1099"/>
      <c r="DK192" s="1099"/>
    </row>
    <row r="193" spans="5:117" s="1090" customFormat="1" x14ac:dyDescent="0.2">
      <c r="E193" s="1096"/>
      <c r="F193" s="1096"/>
      <c r="G193" s="1096"/>
      <c r="H193" s="1096"/>
      <c r="I193" s="1096"/>
      <c r="J193" s="1096"/>
      <c r="K193" s="1096"/>
      <c r="L193" s="1096"/>
      <c r="M193" s="1096"/>
      <c r="N193" s="1096"/>
      <c r="O193" s="1096"/>
      <c r="P193" s="1096"/>
      <c r="Q193" s="1096"/>
      <c r="R193" s="1097"/>
      <c r="CV193" s="1098"/>
      <c r="CW193" s="1098"/>
      <c r="CX193" s="1098"/>
      <c r="CY193" s="1099"/>
      <c r="CZ193" s="1099"/>
      <c r="DA193" s="1099"/>
      <c r="DB193" s="1099"/>
      <c r="DC193" s="1099"/>
      <c r="DD193" s="1099"/>
      <c r="DE193" s="1099"/>
      <c r="DF193" s="1099"/>
      <c r="DG193" s="1099"/>
      <c r="DH193" s="1099"/>
      <c r="DI193" s="1099"/>
      <c r="DJ193" s="1099"/>
      <c r="DK193" s="1099"/>
    </row>
    <row r="194" spans="5:117" s="176" customFormat="1" x14ac:dyDescent="0.2"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57"/>
      <c r="S194" s="1090"/>
      <c r="CV194" s="297"/>
      <c r="CW194" s="297"/>
      <c r="CX194" s="297"/>
      <c r="CY194" s="852"/>
      <c r="CZ194" s="852"/>
      <c r="DA194" s="852"/>
      <c r="DB194" s="852"/>
      <c r="DC194" s="852"/>
      <c r="DD194" s="852"/>
      <c r="DE194" s="852"/>
      <c r="DF194" s="852"/>
      <c r="DG194" s="852"/>
      <c r="DH194" s="852"/>
      <c r="DI194" s="852"/>
      <c r="DJ194" s="852"/>
      <c r="DK194" s="852"/>
      <c r="DL194" s="177"/>
      <c r="DM194" s="177"/>
    </row>
    <row r="195" spans="5:117" s="176" customFormat="1" x14ac:dyDescent="0.2"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57"/>
      <c r="S195" s="1090"/>
      <c r="CV195" s="297"/>
      <c r="CW195" s="297"/>
      <c r="CX195" s="297"/>
      <c r="CY195" s="852"/>
      <c r="CZ195" s="852"/>
      <c r="DA195" s="852"/>
      <c r="DB195" s="852"/>
      <c r="DC195" s="852"/>
      <c r="DD195" s="852"/>
      <c r="DE195" s="852"/>
      <c r="DF195" s="852"/>
      <c r="DG195" s="852"/>
      <c r="DH195" s="852"/>
      <c r="DI195" s="852"/>
      <c r="DJ195" s="852"/>
      <c r="DK195" s="852"/>
      <c r="DL195" s="177"/>
      <c r="DM195" s="177"/>
    </row>
    <row r="196" spans="5:117" s="176" customFormat="1" x14ac:dyDescent="0.2"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57"/>
      <c r="S196" s="1090"/>
      <c r="CV196" s="297"/>
      <c r="CW196" s="297"/>
      <c r="CX196" s="297"/>
      <c r="CY196" s="852"/>
      <c r="CZ196" s="852"/>
      <c r="DA196" s="852"/>
      <c r="DB196" s="852"/>
      <c r="DC196" s="852"/>
      <c r="DD196" s="852"/>
      <c r="DE196" s="852"/>
      <c r="DF196" s="852"/>
      <c r="DG196" s="852"/>
      <c r="DH196" s="852"/>
      <c r="DI196" s="852"/>
      <c r="DJ196" s="852"/>
      <c r="DK196" s="852"/>
      <c r="DL196" s="177"/>
      <c r="DM196" s="177"/>
    </row>
    <row r="197" spans="5:117" s="176" customFormat="1" x14ac:dyDescent="0.2"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57"/>
      <c r="S197" s="1090"/>
      <c r="CV197" s="297"/>
      <c r="CW197" s="297"/>
      <c r="CX197" s="297"/>
      <c r="CY197" s="852"/>
      <c r="CZ197" s="852"/>
      <c r="DA197" s="852"/>
      <c r="DB197" s="852"/>
      <c r="DC197" s="852"/>
      <c r="DD197" s="852"/>
      <c r="DE197" s="852"/>
      <c r="DF197" s="852"/>
      <c r="DG197" s="852"/>
      <c r="DH197" s="852"/>
      <c r="DI197" s="852"/>
      <c r="DJ197" s="852"/>
      <c r="DK197" s="852"/>
      <c r="DL197" s="177"/>
      <c r="DM197" s="177"/>
    </row>
    <row r="198" spans="5:117" s="176" customFormat="1" x14ac:dyDescent="0.2"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57"/>
      <c r="S198" s="1090"/>
      <c r="CV198" s="297"/>
      <c r="CW198" s="297"/>
      <c r="CX198" s="297"/>
      <c r="CY198" s="852"/>
      <c r="CZ198" s="852"/>
      <c r="DA198" s="852"/>
      <c r="DB198" s="852"/>
      <c r="DC198" s="852"/>
      <c r="DD198" s="852"/>
      <c r="DE198" s="852"/>
      <c r="DF198" s="852"/>
      <c r="DG198" s="852"/>
      <c r="DH198" s="852"/>
      <c r="DI198" s="852"/>
      <c r="DJ198" s="852"/>
      <c r="DK198" s="852"/>
      <c r="DL198" s="177"/>
      <c r="DM198" s="177"/>
    </row>
    <row r="199" spans="5:117" s="176" customFormat="1" x14ac:dyDescent="0.2"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57"/>
      <c r="S199" s="1090"/>
      <c r="CV199" s="297"/>
      <c r="CW199" s="297"/>
      <c r="CX199" s="297"/>
      <c r="CY199" s="852"/>
      <c r="CZ199" s="852"/>
      <c r="DA199" s="852"/>
      <c r="DB199" s="852"/>
      <c r="DC199" s="852"/>
      <c r="DD199" s="852"/>
      <c r="DE199" s="852"/>
      <c r="DF199" s="852"/>
      <c r="DG199" s="852"/>
      <c r="DH199" s="852"/>
      <c r="DI199" s="852"/>
      <c r="DJ199" s="852"/>
      <c r="DK199" s="852"/>
      <c r="DL199" s="177"/>
      <c r="DM199" s="177"/>
    </row>
    <row r="200" spans="5:117" s="176" customFormat="1" x14ac:dyDescent="0.2"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57"/>
      <c r="S200" s="1094"/>
      <c r="CV200" s="297"/>
      <c r="CW200" s="297"/>
      <c r="CX200" s="297"/>
      <c r="CY200" s="852"/>
      <c r="CZ200" s="852"/>
      <c r="DA200" s="852"/>
      <c r="DB200" s="852"/>
      <c r="DC200" s="852"/>
      <c r="DD200" s="852"/>
      <c r="DE200" s="852"/>
      <c r="DF200" s="852"/>
      <c r="DG200" s="852"/>
      <c r="DH200" s="852"/>
      <c r="DI200" s="852"/>
      <c r="DJ200" s="852"/>
      <c r="DK200" s="852"/>
      <c r="DL200" s="177"/>
      <c r="DM200" s="177"/>
    </row>
    <row r="201" spans="5:117" s="176" customFormat="1" x14ac:dyDescent="0.2"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57"/>
      <c r="S201" s="1094"/>
      <c r="CV201" s="297"/>
      <c r="CW201" s="297"/>
      <c r="CX201" s="297"/>
      <c r="CY201" s="852"/>
      <c r="CZ201" s="852"/>
      <c r="DA201" s="852"/>
      <c r="DB201" s="852"/>
      <c r="DC201" s="852"/>
      <c r="DD201" s="852"/>
      <c r="DE201" s="852"/>
      <c r="DF201" s="852"/>
      <c r="DG201" s="852"/>
      <c r="DH201" s="852"/>
      <c r="DI201" s="852"/>
      <c r="DJ201" s="852"/>
      <c r="DK201" s="852"/>
      <c r="DL201" s="177"/>
      <c r="DM201" s="177"/>
    </row>
    <row r="202" spans="5:117" s="176" customFormat="1" x14ac:dyDescent="0.2"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57"/>
      <c r="S202" s="1094"/>
      <c r="CV202" s="297"/>
      <c r="CW202" s="297"/>
      <c r="CX202" s="297"/>
      <c r="CY202" s="852"/>
      <c r="CZ202" s="852"/>
      <c r="DA202" s="852"/>
      <c r="DB202" s="852"/>
      <c r="DC202" s="852"/>
      <c r="DD202" s="852"/>
      <c r="DE202" s="852"/>
      <c r="DF202" s="852"/>
      <c r="DG202" s="852"/>
      <c r="DH202" s="852"/>
      <c r="DI202" s="852"/>
      <c r="DJ202" s="852"/>
      <c r="DK202" s="852"/>
      <c r="DL202" s="177"/>
      <c r="DM202" s="177"/>
    </row>
    <row r="203" spans="5:117" s="176" customFormat="1" x14ac:dyDescent="0.2"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57"/>
      <c r="S203" s="1094"/>
      <c r="CV203" s="297"/>
      <c r="CW203" s="297"/>
      <c r="CX203" s="297"/>
      <c r="CY203" s="852"/>
      <c r="CZ203" s="852"/>
      <c r="DA203" s="852"/>
      <c r="DB203" s="852"/>
      <c r="DC203" s="852"/>
      <c r="DD203" s="852"/>
      <c r="DE203" s="852"/>
      <c r="DF203" s="852"/>
      <c r="DG203" s="852"/>
      <c r="DH203" s="852"/>
      <c r="DI203" s="852"/>
      <c r="DJ203" s="852"/>
      <c r="DK203" s="852"/>
      <c r="DL203" s="177"/>
      <c r="DM203" s="177"/>
    </row>
    <row r="204" spans="5:117" s="176" customFormat="1" x14ac:dyDescent="0.2"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57"/>
      <c r="S204" s="1094"/>
      <c r="CV204" s="297"/>
      <c r="CW204" s="297"/>
      <c r="CX204" s="297"/>
      <c r="CY204" s="852"/>
      <c r="CZ204" s="852"/>
      <c r="DA204" s="852"/>
      <c r="DB204" s="852"/>
      <c r="DC204" s="852"/>
      <c r="DD204" s="852"/>
      <c r="DE204" s="852"/>
      <c r="DF204" s="852"/>
      <c r="DG204" s="852"/>
      <c r="DH204" s="852"/>
      <c r="DI204" s="852"/>
      <c r="DJ204" s="852"/>
      <c r="DK204" s="852"/>
      <c r="DL204" s="177"/>
      <c r="DM204" s="177"/>
    </row>
    <row r="205" spans="5:117" s="176" customFormat="1" x14ac:dyDescent="0.2"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57"/>
      <c r="S205" s="1094"/>
      <c r="CV205" s="297"/>
      <c r="CW205" s="297"/>
      <c r="CX205" s="297"/>
      <c r="CY205" s="852"/>
      <c r="CZ205" s="852"/>
      <c r="DA205" s="852"/>
      <c r="DB205" s="852"/>
      <c r="DC205" s="852"/>
      <c r="DD205" s="852"/>
      <c r="DE205" s="852"/>
      <c r="DF205" s="852"/>
      <c r="DG205" s="852"/>
      <c r="DH205" s="852"/>
      <c r="DI205" s="852"/>
      <c r="DJ205" s="852"/>
      <c r="DK205" s="852"/>
      <c r="DL205" s="177"/>
      <c r="DM205" s="177"/>
    </row>
    <row r="206" spans="5:117" s="176" customFormat="1" x14ac:dyDescent="0.2"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57"/>
      <c r="S206" s="1094"/>
      <c r="CV206" s="297"/>
      <c r="CW206" s="297"/>
      <c r="CX206" s="297"/>
      <c r="CY206" s="852"/>
      <c r="CZ206" s="852"/>
      <c r="DA206" s="852"/>
      <c r="DB206" s="852"/>
      <c r="DC206" s="852"/>
      <c r="DD206" s="852"/>
      <c r="DE206" s="852"/>
      <c r="DF206" s="852"/>
      <c r="DG206" s="852"/>
      <c r="DH206" s="852"/>
      <c r="DI206" s="852"/>
      <c r="DJ206" s="852"/>
      <c r="DK206" s="852"/>
      <c r="DL206" s="177"/>
      <c r="DM206" s="177"/>
    </row>
    <row r="207" spans="5:117" s="176" customFormat="1" x14ac:dyDescent="0.2"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57"/>
      <c r="S207" s="1094"/>
      <c r="CV207" s="297"/>
      <c r="CW207" s="297"/>
      <c r="CX207" s="297"/>
      <c r="CY207" s="852"/>
      <c r="CZ207" s="852"/>
      <c r="DA207" s="852"/>
      <c r="DB207" s="852"/>
      <c r="DC207" s="852"/>
      <c r="DD207" s="852"/>
      <c r="DE207" s="852"/>
      <c r="DF207" s="852"/>
      <c r="DG207" s="852"/>
      <c r="DH207" s="852"/>
      <c r="DI207" s="852"/>
      <c r="DJ207" s="852"/>
      <c r="DK207" s="852"/>
      <c r="DL207" s="177"/>
      <c r="DM207" s="177"/>
    </row>
    <row r="208" spans="5:117" s="176" customFormat="1" x14ac:dyDescent="0.2"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57"/>
      <c r="S208" s="1094"/>
      <c r="CV208" s="297"/>
      <c r="CW208" s="297"/>
      <c r="CX208" s="297"/>
      <c r="CY208" s="852"/>
      <c r="CZ208" s="852"/>
      <c r="DA208" s="852"/>
      <c r="DB208" s="852"/>
      <c r="DC208" s="852"/>
      <c r="DD208" s="852"/>
      <c r="DE208" s="852"/>
      <c r="DF208" s="852"/>
      <c r="DG208" s="852"/>
      <c r="DH208" s="852"/>
      <c r="DI208" s="852"/>
      <c r="DJ208" s="852"/>
      <c r="DK208" s="852"/>
      <c r="DL208" s="177"/>
      <c r="DM208" s="177"/>
    </row>
    <row r="209" spans="5:117" s="176" customFormat="1" x14ac:dyDescent="0.2"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57"/>
      <c r="S209" s="1094"/>
      <c r="CV209" s="297"/>
      <c r="CW209" s="297"/>
      <c r="CX209" s="297"/>
      <c r="CY209" s="852"/>
      <c r="CZ209" s="852"/>
      <c r="DA209" s="852"/>
      <c r="DB209" s="852"/>
      <c r="DC209" s="852"/>
      <c r="DD209" s="852"/>
      <c r="DE209" s="852"/>
      <c r="DF209" s="852"/>
      <c r="DG209" s="852"/>
      <c r="DH209" s="852"/>
      <c r="DI209" s="852"/>
      <c r="DJ209" s="852"/>
      <c r="DK209" s="852"/>
      <c r="DL209" s="177"/>
      <c r="DM209" s="177"/>
    </row>
    <row r="210" spans="5:117" s="176" customFormat="1" x14ac:dyDescent="0.2"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57"/>
      <c r="S210" s="1094"/>
      <c r="CV210" s="297"/>
      <c r="CW210" s="297"/>
      <c r="CX210" s="297"/>
      <c r="CY210" s="852"/>
      <c r="CZ210" s="852"/>
      <c r="DA210" s="852"/>
      <c r="DB210" s="852"/>
      <c r="DC210" s="852"/>
      <c r="DD210" s="852"/>
      <c r="DE210" s="852"/>
      <c r="DF210" s="852"/>
      <c r="DG210" s="852"/>
      <c r="DH210" s="852"/>
      <c r="DI210" s="852"/>
      <c r="DJ210" s="852"/>
      <c r="DK210" s="852"/>
      <c r="DL210" s="177"/>
      <c r="DM210" s="177"/>
    </row>
    <row r="211" spans="5:117" s="176" customFormat="1" x14ac:dyDescent="0.2"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57"/>
      <c r="S211" s="1094"/>
      <c r="CV211" s="297"/>
      <c r="CW211" s="297"/>
      <c r="CX211" s="297"/>
      <c r="CY211" s="852"/>
      <c r="CZ211" s="852"/>
      <c r="DA211" s="852"/>
      <c r="DB211" s="852"/>
      <c r="DC211" s="852"/>
      <c r="DD211" s="852"/>
      <c r="DE211" s="852"/>
      <c r="DF211" s="852"/>
      <c r="DG211" s="852"/>
      <c r="DH211" s="852"/>
      <c r="DI211" s="852"/>
      <c r="DJ211" s="852"/>
      <c r="DK211" s="852"/>
      <c r="DL211" s="177"/>
      <c r="DM211" s="177"/>
    </row>
    <row r="212" spans="5:117" s="176" customFormat="1" x14ac:dyDescent="0.2"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57"/>
      <c r="S212" s="1094"/>
      <c r="CV212" s="297"/>
      <c r="CW212" s="297"/>
      <c r="CX212" s="297"/>
      <c r="CY212" s="852"/>
      <c r="CZ212" s="852"/>
      <c r="DA212" s="852"/>
      <c r="DB212" s="852"/>
      <c r="DC212" s="852"/>
      <c r="DD212" s="852"/>
      <c r="DE212" s="852"/>
      <c r="DF212" s="852"/>
      <c r="DG212" s="852"/>
      <c r="DH212" s="852"/>
      <c r="DI212" s="852"/>
      <c r="DJ212" s="852"/>
      <c r="DK212" s="852"/>
      <c r="DL212" s="177"/>
      <c r="DM212" s="177"/>
    </row>
    <row r="213" spans="5:117" s="176" customFormat="1" x14ac:dyDescent="0.2"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57"/>
      <c r="S213" s="1094"/>
      <c r="CV213" s="297"/>
      <c r="CW213" s="297"/>
      <c r="CX213" s="297"/>
      <c r="CY213" s="852"/>
      <c r="CZ213" s="852"/>
      <c r="DA213" s="852"/>
      <c r="DB213" s="852"/>
      <c r="DC213" s="852"/>
      <c r="DD213" s="852"/>
      <c r="DE213" s="852"/>
      <c r="DF213" s="852"/>
      <c r="DG213" s="852"/>
      <c r="DH213" s="852"/>
      <c r="DI213" s="852"/>
      <c r="DJ213" s="852"/>
      <c r="DK213" s="852"/>
      <c r="DL213" s="177"/>
      <c r="DM213" s="177"/>
    </row>
    <row r="214" spans="5:117" s="176" customFormat="1" x14ac:dyDescent="0.2"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57"/>
      <c r="S214" s="1094"/>
      <c r="CV214" s="297"/>
      <c r="CW214" s="297"/>
      <c r="CX214" s="297"/>
      <c r="CY214" s="852"/>
      <c r="CZ214" s="852"/>
      <c r="DA214" s="852"/>
      <c r="DB214" s="852"/>
      <c r="DC214" s="852"/>
      <c r="DD214" s="852"/>
      <c r="DE214" s="852"/>
      <c r="DF214" s="852"/>
      <c r="DG214" s="852"/>
      <c r="DH214" s="852"/>
      <c r="DI214" s="852"/>
      <c r="DJ214" s="852"/>
      <c r="DK214" s="852"/>
      <c r="DL214" s="177"/>
      <c r="DM214" s="177"/>
    </row>
    <row r="215" spans="5:117" s="176" customFormat="1" x14ac:dyDescent="0.2"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57"/>
      <c r="S215" s="1094"/>
      <c r="CV215" s="297"/>
      <c r="CW215" s="297"/>
      <c r="CX215" s="297"/>
      <c r="CY215" s="852"/>
      <c r="CZ215" s="852"/>
      <c r="DA215" s="852"/>
      <c r="DB215" s="852"/>
      <c r="DC215" s="852"/>
      <c r="DD215" s="852"/>
      <c r="DE215" s="852"/>
      <c r="DF215" s="852"/>
      <c r="DG215" s="852"/>
      <c r="DH215" s="852"/>
      <c r="DI215" s="852"/>
      <c r="DJ215" s="852"/>
      <c r="DK215" s="852"/>
      <c r="DL215" s="177"/>
      <c r="DM215" s="177"/>
    </row>
    <row r="216" spans="5:117" s="176" customFormat="1" x14ac:dyDescent="0.2"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57"/>
      <c r="S216" s="1094"/>
      <c r="CV216" s="297"/>
      <c r="CW216" s="297"/>
      <c r="CX216" s="297"/>
      <c r="CY216" s="852"/>
      <c r="CZ216" s="852"/>
      <c r="DA216" s="852"/>
      <c r="DB216" s="852"/>
      <c r="DC216" s="852"/>
      <c r="DD216" s="852"/>
      <c r="DE216" s="852"/>
      <c r="DF216" s="852"/>
      <c r="DG216" s="852"/>
      <c r="DH216" s="852"/>
      <c r="DI216" s="852"/>
      <c r="DJ216" s="852"/>
      <c r="DK216" s="852"/>
      <c r="DL216" s="177"/>
      <c r="DM216" s="177"/>
    </row>
    <row r="217" spans="5:117" s="176" customFormat="1" x14ac:dyDescent="0.2"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57"/>
      <c r="S217" s="1094"/>
      <c r="CV217" s="297"/>
      <c r="CW217" s="297"/>
      <c r="CX217" s="297"/>
      <c r="CY217" s="852"/>
      <c r="CZ217" s="852"/>
      <c r="DA217" s="852"/>
      <c r="DB217" s="852"/>
      <c r="DC217" s="852"/>
      <c r="DD217" s="852"/>
      <c r="DE217" s="852"/>
      <c r="DF217" s="852"/>
      <c r="DG217" s="852"/>
      <c r="DH217" s="852"/>
      <c r="DI217" s="852"/>
      <c r="DJ217" s="852"/>
      <c r="DK217" s="852"/>
      <c r="DL217" s="177"/>
      <c r="DM217" s="177"/>
    </row>
    <row r="218" spans="5:117" s="176" customFormat="1" x14ac:dyDescent="0.2"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57"/>
      <c r="S218" s="1094"/>
      <c r="CV218" s="297"/>
      <c r="CW218" s="297"/>
      <c r="CX218" s="297"/>
      <c r="CY218" s="852"/>
      <c r="CZ218" s="852"/>
      <c r="DA218" s="852"/>
      <c r="DB218" s="852"/>
      <c r="DC218" s="852"/>
      <c r="DD218" s="852"/>
      <c r="DE218" s="852"/>
      <c r="DF218" s="852"/>
      <c r="DG218" s="852"/>
      <c r="DH218" s="852"/>
      <c r="DI218" s="852"/>
      <c r="DJ218" s="852"/>
      <c r="DK218" s="852"/>
      <c r="DL218" s="177"/>
      <c r="DM218" s="177"/>
    </row>
    <row r="219" spans="5:117" s="176" customFormat="1" x14ac:dyDescent="0.2"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57"/>
      <c r="S219" s="1094"/>
      <c r="CV219" s="297"/>
      <c r="CW219" s="297"/>
      <c r="CX219" s="297"/>
      <c r="CY219" s="852"/>
      <c r="CZ219" s="852"/>
      <c r="DA219" s="852"/>
      <c r="DB219" s="852"/>
      <c r="DC219" s="852"/>
      <c r="DD219" s="852"/>
      <c r="DE219" s="852"/>
      <c r="DF219" s="852"/>
      <c r="DG219" s="852"/>
      <c r="DH219" s="852"/>
      <c r="DI219" s="852"/>
      <c r="DJ219" s="852"/>
      <c r="DK219" s="852"/>
      <c r="DL219" s="177"/>
      <c r="DM219" s="177"/>
    </row>
    <row r="220" spans="5:117" s="176" customFormat="1" x14ac:dyDescent="0.2"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57"/>
      <c r="S220" s="1094"/>
      <c r="CV220" s="297"/>
      <c r="CW220" s="297"/>
      <c r="CX220" s="297"/>
      <c r="CY220" s="852"/>
      <c r="CZ220" s="852"/>
      <c r="DA220" s="852"/>
      <c r="DB220" s="852"/>
      <c r="DC220" s="852"/>
      <c r="DD220" s="852"/>
      <c r="DE220" s="852"/>
      <c r="DF220" s="852"/>
      <c r="DG220" s="852"/>
      <c r="DH220" s="852"/>
      <c r="DI220" s="852"/>
      <c r="DJ220" s="852"/>
      <c r="DK220" s="852"/>
      <c r="DL220" s="177"/>
      <c r="DM220" s="177"/>
    </row>
    <row r="221" spans="5:117" s="176" customFormat="1" x14ac:dyDescent="0.2"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57"/>
      <c r="S221" s="1094"/>
      <c r="CV221" s="297"/>
      <c r="CW221" s="297"/>
      <c r="CX221" s="297"/>
      <c r="CY221" s="852"/>
      <c r="CZ221" s="852"/>
      <c r="DA221" s="852"/>
      <c r="DB221" s="852"/>
      <c r="DC221" s="852"/>
      <c r="DD221" s="852"/>
      <c r="DE221" s="852"/>
      <c r="DF221" s="852"/>
      <c r="DG221" s="852"/>
      <c r="DH221" s="852"/>
      <c r="DI221" s="852"/>
      <c r="DJ221" s="852"/>
      <c r="DK221" s="852"/>
      <c r="DL221" s="177"/>
      <c r="DM221" s="177"/>
    </row>
    <row r="222" spans="5:117" s="176" customFormat="1" x14ac:dyDescent="0.2"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57"/>
      <c r="S222" s="1094"/>
      <c r="CV222" s="297"/>
      <c r="CW222" s="297"/>
      <c r="CX222" s="297"/>
      <c r="CY222" s="852"/>
      <c r="CZ222" s="852"/>
      <c r="DA222" s="852"/>
      <c r="DB222" s="852"/>
      <c r="DC222" s="852"/>
      <c r="DD222" s="852"/>
      <c r="DE222" s="852"/>
      <c r="DF222" s="852"/>
      <c r="DG222" s="852"/>
      <c r="DH222" s="852"/>
      <c r="DI222" s="852"/>
      <c r="DJ222" s="852"/>
      <c r="DK222" s="852"/>
      <c r="DL222" s="177"/>
      <c r="DM222" s="177"/>
    </row>
    <row r="223" spans="5:117" s="176" customFormat="1" x14ac:dyDescent="0.2"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57"/>
      <c r="S223" s="1094"/>
      <c r="CV223" s="297"/>
      <c r="CW223" s="297"/>
      <c r="CX223" s="297"/>
      <c r="CY223" s="852"/>
      <c r="CZ223" s="852"/>
      <c r="DA223" s="852"/>
      <c r="DB223" s="852"/>
      <c r="DC223" s="852"/>
      <c r="DD223" s="852"/>
      <c r="DE223" s="852"/>
      <c r="DF223" s="852"/>
      <c r="DG223" s="852"/>
      <c r="DH223" s="852"/>
      <c r="DI223" s="852"/>
      <c r="DJ223" s="852"/>
      <c r="DK223" s="852"/>
      <c r="DL223" s="177"/>
      <c r="DM223" s="177"/>
    </row>
    <row r="224" spans="5:117" s="176" customFormat="1" x14ac:dyDescent="0.2"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57"/>
      <c r="S224" s="1094"/>
      <c r="CV224" s="297"/>
      <c r="CW224" s="297"/>
      <c r="CX224" s="297"/>
      <c r="CY224" s="852"/>
      <c r="CZ224" s="852"/>
      <c r="DA224" s="852"/>
      <c r="DB224" s="852"/>
      <c r="DC224" s="852"/>
      <c r="DD224" s="852"/>
      <c r="DE224" s="852"/>
      <c r="DF224" s="852"/>
      <c r="DG224" s="852"/>
      <c r="DH224" s="852"/>
      <c r="DI224" s="852"/>
      <c r="DJ224" s="852"/>
      <c r="DK224" s="852"/>
      <c r="DL224" s="177"/>
      <c r="DM224" s="177"/>
    </row>
    <row r="225" spans="5:117" s="176" customFormat="1" x14ac:dyDescent="0.2"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57"/>
      <c r="S225" s="1094"/>
      <c r="CV225" s="297"/>
      <c r="CW225" s="297"/>
      <c r="CX225" s="297"/>
      <c r="CY225" s="852"/>
      <c r="CZ225" s="852"/>
      <c r="DA225" s="852"/>
      <c r="DB225" s="852"/>
      <c r="DC225" s="852"/>
      <c r="DD225" s="852"/>
      <c r="DE225" s="852"/>
      <c r="DF225" s="852"/>
      <c r="DG225" s="852"/>
      <c r="DH225" s="852"/>
      <c r="DI225" s="852"/>
      <c r="DJ225" s="852"/>
      <c r="DK225" s="852"/>
      <c r="DL225" s="177"/>
      <c r="DM225" s="177"/>
    </row>
    <row r="226" spans="5:117" s="176" customFormat="1" x14ac:dyDescent="0.2"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57"/>
      <c r="S226" s="1094"/>
      <c r="CV226" s="297"/>
      <c r="CW226" s="297"/>
      <c r="CX226" s="297"/>
      <c r="CY226" s="852"/>
      <c r="CZ226" s="852"/>
      <c r="DA226" s="852"/>
      <c r="DB226" s="852"/>
      <c r="DC226" s="852"/>
      <c r="DD226" s="852"/>
      <c r="DE226" s="852"/>
      <c r="DF226" s="852"/>
      <c r="DG226" s="852"/>
      <c r="DH226" s="852"/>
      <c r="DI226" s="852"/>
      <c r="DJ226" s="852"/>
      <c r="DK226" s="852"/>
      <c r="DL226" s="177"/>
      <c r="DM226" s="177"/>
    </row>
    <row r="227" spans="5:117" s="176" customFormat="1" x14ac:dyDescent="0.2"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57"/>
      <c r="S227" s="1094"/>
      <c r="CV227" s="297"/>
      <c r="CW227" s="297"/>
      <c r="CX227" s="297"/>
      <c r="CY227" s="852"/>
      <c r="CZ227" s="852"/>
      <c r="DA227" s="852"/>
      <c r="DB227" s="852"/>
      <c r="DC227" s="852"/>
      <c r="DD227" s="852"/>
      <c r="DE227" s="852"/>
      <c r="DF227" s="852"/>
      <c r="DG227" s="852"/>
      <c r="DH227" s="852"/>
      <c r="DI227" s="852"/>
      <c r="DJ227" s="852"/>
      <c r="DK227" s="852"/>
      <c r="DL227" s="177"/>
      <c r="DM227" s="177"/>
    </row>
    <row r="228" spans="5:117" s="176" customFormat="1" x14ac:dyDescent="0.2"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57"/>
      <c r="S228" s="1094"/>
      <c r="CV228" s="297"/>
      <c r="CW228" s="297"/>
      <c r="CX228" s="297"/>
      <c r="CY228" s="852"/>
      <c r="CZ228" s="852"/>
      <c r="DA228" s="852"/>
      <c r="DB228" s="852"/>
      <c r="DC228" s="852"/>
      <c r="DD228" s="852"/>
      <c r="DE228" s="852"/>
      <c r="DF228" s="852"/>
      <c r="DG228" s="852"/>
      <c r="DH228" s="852"/>
      <c r="DI228" s="852"/>
      <c r="DJ228" s="852"/>
      <c r="DK228" s="852"/>
      <c r="DL228" s="177"/>
      <c r="DM228" s="177"/>
    </row>
    <row r="229" spans="5:117" s="176" customFormat="1" x14ac:dyDescent="0.2"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57"/>
      <c r="S229" s="1094"/>
      <c r="CV229" s="297"/>
      <c r="CW229" s="297"/>
      <c r="CX229" s="297"/>
      <c r="CY229" s="852"/>
      <c r="CZ229" s="852"/>
      <c r="DA229" s="852"/>
      <c r="DB229" s="852"/>
      <c r="DC229" s="852"/>
      <c r="DD229" s="852"/>
      <c r="DE229" s="852"/>
      <c r="DF229" s="852"/>
      <c r="DG229" s="852"/>
      <c r="DH229" s="852"/>
      <c r="DI229" s="852"/>
      <c r="DJ229" s="852"/>
      <c r="DK229" s="852"/>
      <c r="DL229" s="177"/>
      <c r="DM229" s="177"/>
    </row>
    <row r="230" spans="5:117" s="176" customFormat="1" x14ac:dyDescent="0.2"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57"/>
      <c r="S230" s="1094"/>
      <c r="CV230" s="297"/>
      <c r="CW230" s="297"/>
      <c r="CX230" s="297"/>
      <c r="CY230" s="852"/>
      <c r="CZ230" s="852"/>
      <c r="DA230" s="852"/>
      <c r="DB230" s="852"/>
      <c r="DC230" s="852"/>
      <c r="DD230" s="852"/>
      <c r="DE230" s="852"/>
      <c r="DF230" s="852"/>
      <c r="DG230" s="852"/>
      <c r="DH230" s="852"/>
      <c r="DI230" s="852"/>
      <c r="DJ230" s="852"/>
      <c r="DK230" s="852"/>
      <c r="DL230" s="177"/>
      <c r="DM230" s="177"/>
    </row>
    <row r="231" spans="5:117" s="176" customFormat="1" x14ac:dyDescent="0.2"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57"/>
      <c r="S231" s="1094"/>
      <c r="CV231" s="297"/>
      <c r="CW231" s="297"/>
      <c r="CX231" s="297"/>
      <c r="CY231" s="852"/>
      <c r="CZ231" s="852"/>
      <c r="DA231" s="852"/>
      <c r="DB231" s="852"/>
      <c r="DC231" s="852"/>
      <c r="DD231" s="852"/>
      <c r="DE231" s="852"/>
      <c r="DF231" s="852"/>
      <c r="DG231" s="852"/>
      <c r="DH231" s="852"/>
      <c r="DI231" s="852"/>
      <c r="DJ231" s="852"/>
      <c r="DK231" s="852"/>
      <c r="DL231" s="177"/>
      <c r="DM231" s="177"/>
    </row>
    <row r="232" spans="5:117" s="176" customFormat="1" x14ac:dyDescent="0.2"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57"/>
      <c r="S232" s="1094"/>
      <c r="CV232" s="297"/>
      <c r="CW232" s="297"/>
      <c r="CX232" s="297"/>
      <c r="CY232" s="852"/>
      <c r="CZ232" s="852"/>
      <c r="DA232" s="852"/>
      <c r="DB232" s="852"/>
      <c r="DC232" s="852"/>
      <c r="DD232" s="852"/>
      <c r="DE232" s="852"/>
      <c r="DF232" s="852"/>
      <c r="DG232" s="852"/>
      <c r="DH232" s="852"/>
      <c r="DI232" s="852"/>
      <c r="DJ232" s="852"/>
      <c r="DK232" s="852"/>
      <c r="DL232" s="177"/>
      <c r="DM232" s="177"/>
    </row>
    <row r="233" spans="5:117" s="176" customFormat="1" x14ac:dyDescent="0.2"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57"/>
      <c r="S233" s="1094"/>
      <c r="CV233" s="297"/>
      <c r="CW233" s="297"/>
      <c r="CX233" s="297"/>
      <c r="CY233" s="852"/>
      <c r="CZ233" s="852"/>
      <c r="DA233" s="852"/>
      <c r="DB233" s="852"/>
      <c r="DC233" s="852"/>
      <c r="DD233" s="852"/>
      <c r="DE233" s="852"/>
      <c r="DF233" s="852"/>
      <c r="DG233" s="852"/>
      <c r="DH233" s="852"/>
      <c r="DI233" s="852"/>
      <c r="DJ233" s="852"/>
      <c r="DK233" s="852"/>
      <c r="DL233" s="177"/>
      <c r="DM233" s="177"/>
    </row>
    <row r="234" spans="5:117" s="176" customFormat="1" x14ac:dyDescent="0.2"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57"/>
      <c r="S234" s="1094"/>
      <c r="CV234" s="297"/>
      <c r="CW234" s="297"/>
      <c r="CX234" s="297"/>
      <c r="CY234" s="852"/>
      <c r="CZ234" s="852"/>
      <c r="DA234" s="852"/>
      <c r="DB234" s="852"/>
      <c r="DC234" s="852"/>
      <c r="DD234" s="852"/>
      <c r="DE234" s="852"/>
      <c r="DF234" s="852"/>
      <c r="DG234" s="852"/>
      <c r="DH234" s="852"/>
      <c r="DI234" s="852"/>
      <c r="DJ234" s="852"/>
      <c r="DK234" s="852"/>
      <c r="DL234" s="177"/>
      <c r="DM234" s="177"/>
    </row>
    <row r="235" spans="5:117" s="176" customFormat="1" x14ac:dyDescent="0.2"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57"/>
      <c r="S235" s="1094"/>
      <c r="CV235" s="297"/>
      <c r="CW235" s="297"/>
      <c r="CX235" s="297"/>
      <c r="CY235" s="852"/>
      <c r="CZ235" s="852"/>
      <c r="DA235" s="852"/>
      <c r="DB235" s="852"/>
      <c r="DC235" s="852"/>
      <c r="DD235" s="852"/>
      <c r="DE235" s="852"/>
      <c r="DF235" s="852"/>
      <c r="DG235" s="852"/>
      <c r="DH235" s="852"/>
      <c r="DI235" s="852"/>
      <c r="DJ235" s="852"/>
      <c r="DK235" s="852"/>
      <c r="DL235" s="177"/>
      <c r="DM235" s="177"/>
    </row>
    <row r="236" spans="5:117" s="176" customFormat="1" x14ac:dyDescent="0.2"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57"/>
      <c r="S236" s="1094"/>
      <c r="CV236" s="297"/>
      <c r="CW236" s="297"/>
      <c r="CX236" s="297"/>
      <c r="CY236" s="852"/>
      <c r="CZ236" s="852"/>
      <c r="DA236" s="852"/>
      <c r="DB236" s="852"/>
      <c r="DC236" s="852"/>
      <c r="DD236" s="852"/>
      <c r="DE236" s="852"/>
      <c r="DF236" s="852"/>
      <c r="DG236" s="852"/>
      <c r="DH236" s="852"/>
      <c r="DI236" s="852"/>
      <c r="DJ236" s="852"/>
      <c r="DK236" s="852"/>
      <c r="DL236" s="177"/>
      <c r="DM236" s="177"/>
    </row>
    <row r="237" spans="5:117" s="176" customFormat="1" x14ac:dyDescent="0.2"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57"/>
      <c r="S237" s="1094"/>
      <c r="CV237" s="297"/>
      <c r="CW237" s="297"/>
      <c r="CX237" s="297"/>
      <c r="CY237" s="852"/>
      <c r="CZ237" s="852"/>
      <c r="DA237" s="852"/>
      <c r="DB237" s="852"/>
      <c r="DC237" s="852"/>
      <c r="DD237" s="852"/>
      <c r="DE237" s="852"/>
      <c r="DF237" s="852"/>
      <c r="DG237" s="852"/>
      <c r="DH237" s="852"/>
      <c r="DI237" s="852"/>
      <c r="DJ237" s="852"/>
      <c r="DK237" s="852"/>
      <c r="DL237" s="177"/>
      <c r="DM237" s="177"/>
    </row>
    <row r="238" spans="5:117" s="176" customFormat="1" x14ac:dyDescent="0.2"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57"/>
      <c r="S238" s="1094"/>
      <c r="CV238" s="297"/>
      <c r="CW238" s="297"/>
      <c r="CX238" s="297"/>
      <c r="CY238" s="852"/>
      <c r="CZ238" s="852"/>
      <c r="DA238" s="852"/>
      <c r="DB238" s="852"/>
      <c r="DC238" s="852"/>
      <c r="DD238" s="852"/>
      <c r="DE238" s="852"/>
      <c r="DF238" s="852"/>
      <c r="DG238" s="852"/>
      <c r="DH238" s="852"/>
      <c r="DI238" s="852"/>
      <c r="DJ238" s="852"/>
      <c r="DK238" s="852"/>
      <c r="DL238" s="177"/>
      <c r="DM238" s="177"/>
    </row>
    <row r="239" spans="5:117" s="176" customFormat="1" x14ac:dyDescent="0.2"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57"/>
      <c r="S239" s="1094"/>
      <c r="CV239" s="297"/>
      <c r="CW239" s="297"/>
      <c r="CX239" s="297"/>
      <c r="CY239" s="852"/>
      <c r="CZ239" s="852"/>
      <c r="DA239" s="852"/>
      <c r="DB239" s="852"/>
      <c r="DC239" s="852"/>
      <c r="DD239" s="852"/>
      <c r="DE239" s="852"/>
      <c r="DF239" s="852"/>
      <c r="DG239" s="852"/>
      <c r="DH239" s="852"/>
      <c r="DI239" s="852"/>
      <c r="DJ239" s="852"/>
      <c r="DK239" s="852"/>
      <c r="DL239" s="177"/>
      <c r="DM239" s="177"/>
    </row>
    <row r="240" spans="5:117" s="176" customFormat="1" x14ac:dyDescent="0.2"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57"/>
      <c r="S240" s="1094"/>
      <c r="CV240" s="297"/>
      <c r="CW240" s="297"/>
      <c r="CX240" s="297"/>
      <c r="CY240" s="852"/>
      <c r="CZ240" s="852"/>
      <c r="DA240" s="852"/>
      <c r="DB240" s="852"/>
      <c r="DC240" s="852"/>
      <c r="DD240" s="852"/>
      <c r="DE240" s="852"/>
      <c r="DF240" s="852"/>
      <c r="DG240" s="852"/>
      <c r="DH240" s="852"/>
      <c r="DI240" s="852"/>
      <c r="DJ240" s="852"/>
      <c r="DK240" s="852"/>
      <c r="DL240" s="177"/>
      <c r="DM240" s="177"/>
    </row>
    <row r="241" spans="5:117" s="176" customFormat="1" x14ac:dyDescent="0.2"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57"/>
      <c r="S241" s="1094"/>
      <c r="CV241" s="297"/>
      <c r="CW241" s="297"/>
      <c r="CX241" s="297"/>
      <c r="CY241" s="852"/>
      <c r="CZ241" s="852"/>
      <c r="DA241" s="852"/>
      <c r="DB241" s="852"/>
      <c r="DC241" s="852"/>
      <c r="DD241" s="852"/>
      <c r="DE241" s="852"/>
      <c r="DF241" s="852"/>
      <c r="DG241" s="852"/>
      <c r="DH241" s="852"/>
      <c r="DI241" s="852"/>
      <c r="DJ241" s="852"/>
      <c r="DK241" s="852"/>
      <c r="DL241" s="177"/>
      <c r="DM241" s="177"/>
    </row>
    <row r="242" spans="5:117" s="176" customFormat="1" x14ac:dyDescent="0.2"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57"/>
      <c r="S242" s="1094"/>
      <c r="CV242" s="297"/>
      <c r="CW242" s="297"/>
      <c r="CX242" s="297"/>
      <c r="CY242" s="852"/>
      <c r="CZ242" s="852"/>
      <c r="DA242" s="852"/>
      <c r="DB242" s="852"/>
      <c r="DC242" s="852"/>
      <c r="DD242" s="852"/>
      <c r="DE242" s="852"/>
      <c r="DF242" s="852"/>
      <c r="DG242" s="852"/>
      <c r="DH242" s="852"/>
      <c r="DI242" s="852"/>
      <c r="DJ242" s="852"/>
      <c r="DK242" s="852"/>
      <c r="DL242" s="177"/>
      <c r="DM242" s="177"/>
    </row>
    <row r="243" spans="5:117" s="176" customFormat="1" x14ac:dyDescent="0.2"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57"/>
      <c r="S243" s="1094"/>
      <c r="CV243" s="297"/>
      <c r="CW243" s="297"/>
      <c r="CX243" s="297"/>
      <c r="CY243" s="852"/>
      <c r="CZ243" s="852"/>
      <c r="DA243" s="852"/>
      <c r="DB243" s="852"/>
      <c r="DC243" s="852"/>
      <c r="DD243" s="852"/>
      <c r="DE243" s="852"/>
      <c r="DF243" s="852"/>
      <c r="DG243" s="852"/>
      <c r="DH243" s="852"/>
      <c r="DI243" s="852"/>
      <c r="DJ243" s="852"/>
      <c r="DK243" s="852"/>
      <c r="DL243" s="177"/>
      <c r="DM243" s="177"/>
    </row>
    <row r="244" spans="5:117" s="176" customFormat="1" x14ac:dyDescent="0.2"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57"/>
      <c r="S244" s="1094"/>
      <c r="CV244" s="297"/>
      <c r="CW244" s="297"/>
      <c r="CX244" s="297"/>
      <c r="CY244" s="852"/>
      <c r="CZ244" s="852"/>
      <c r="DA244" s="852"/>
      <c r="DB244" s="852"/>
      <c r="DC244" s="852"/>
      <c r="DD244" s="852"/>
      <c r="DE244" s="852"/>
      <c r="DF244" s="852"/>
      <c r="DG244" s="852"/>
      <c r="DH244" s="852"/>
      <c r="DI244" s="852"/>
      <c r="DJ244" s="852"/>
      <c r="DK244" s="852"/>
      <c r="DL244" s="177"/>
      <c r="DM244" s="177"/>
    </row>
    <row r="245" spans="5:117" s="176" customFormat="1" x14ac:dyDescent="0.2"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57"/>
      <c r="S245" s="1094"/>
      <c r="CV245" s="297"/>
      <c r="CW245" s="297"/>
      <c r="CX245" s="297"/>
      <c r="CY245" s="852"/>
      <c r="CZ245" s="852"/>
      <c r="DA245" s="852"/>
      <c r="DB245" s="852"/>
      <c r="DC245" s="852"/>
      <c r="DD245" s="852"/>
      <c r="DE245" s="852"/>
      <c r="DF245" s="852"/>
      <c r="DG245" s="852"/>
      <c r="DH245" s="852"/>
      <c r="DI245" s="852"/>
      <c r="DJ245" s="852"/>
      <c r="DK245" s="852"/>
      <c r="DL245" s="177"/>
      <c r="DM245" s="177"/>
    </row>
    <row r="246" spans="5:117" s="176" customFormat="1" x14ac:dyDescent="0.2"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57"/>
      <c r="S246" s="1094"/>
      <c r="CV246" s="297"/>
      <c r="CW246" s="297"/>
      <c r="CX246" s="297"/>
      <c r="CY246" s="852"/>
      <c r="CZ246" s="852"/>
      <c r="DA246" s="852"/>
      <c r="DB246" s="852"/>
      <c r="DC246" s="852"/>
      <c r="DD246" s="852"/>
      <c r="DE246" s="852"/>
      <c r="DF246" s="852"/>
      <c r="DG246" s="852"/>
      <c r="DH246" s="852"/>
      <c r="DI246" s="852"/>
      <c r="DJ246" s="852"/>
      <c r="DK246" s="852"/>
      <c r="DL246" s="177"/>
      <c r="DM246" s="177"/>
    </row>
    <row r="247" spans="5:117" s="176" customFormat="1" x14ac:dyDescent="0.2"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57"/>
      <c r="S247" s="1094"/>
      <c r="CV247" s="297"/>
      <c r="CW247" s="297"/>
      <c r="CX247" s="297"/>
      <c r="CY247" s="852"/>
      <c r="CZ247" s="852"/>
      <c r="DA247" s="852"/>
      <c r="DB247" s="852"/>
      <c r="DC247" s="852"/>
      <c r="DD247" s="852"/>
      <c r="DE247" s="852"/>
      <c r="DF247" s="852"/>
      <c r="DG247" s="852"/>
      <c r="DH247" s="852"/>
      <c r="DI247" s="852"/>
      <c r="DJ247" s="852"/>
      <c r="DK247" s="852"/>
      <c r="DL247" s="177"/>
      <c r="DM247" s="177"/>
    </row>
    <row r="248" spans="5:117" s="176" customFormat="1" x14ac:dyDescent="0.2"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57"/>
      <c r="S248" s="1094"/>
      <c r="CV248" s="297"/>
      <c r="CW248" s="297"/>
      <c r="CX248" s="297"/>
      <c r="CY248" s="852"/>
      <c r="CZ248" s="852"/>
      <c r="DA248" s="852"/>
      <c r="DB248" s="852"/>
      <c r="DC248" s="852"/>
      <c r="DD248" s="852"/>
      <c r="DE248" s="852"/>
      <c r="DF248" s="852"/>
      <c r="DG248" s="852"/>
      <c r="DH248" s="852"/>
      <c r="DI248" s="852"/>
      <c r="DJ248" s="852"/>
      <c r="DK248" s="852"/>
      <c r="DL248" s="177"/>
      <c r="DM248" s="177"/>
    </row>
    <row r="249" spans="5:117" s="176" customFormat="1" x14ac:dyDescent="0.2"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57"/>
      <c r="S249" s="1094"/>
      <c r="CV249" s="297"/>
      <c r="CW249" s="297"/>
      <c r="CX249" s="297"/>
      <c r="CY249" s="852"/>
      <c r="CZ249" s="852"/>
      <c r="DA249" s="852"/>
      <c r="DB249" s="852"/>
      <c r="DC249" s="852"/>
      <c r="DD249" s="852"/>
      <c r="DE249" s="852"/>
      <c r="DF249" s="852"/>
      <c r="DG249" s="852"/>
      <c r="DH249" s="852"/>
      <c r="DI249" s="852"/>
      <c r="DJ249" s="852"/>
      <c r="DK249" s="852"/>
      <c r="DL249" s="177"/>
      <c r="DM249" s="177"/>
    </row>
    <row r="250" spans="5:117" s="176" customFormat="1" x14ac:dyDescent="0.2"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57"/>
      <c r="S250" s="1094"/>
      <c r="CV250" s="297"/>
      <c r="CW250" s="297"/>
      <c r="CX250" s="297"/>
      <c r="CY250" s="852"/>
      <c r="CZ250" s="852"/>
      <c r="DA250" s="852"/>
      <c r="DB250" s="852"/>
      <c r="DC250" s="852"/>
      <c r="DD250" s="852"/>
      <c r="DE250" s="852"/>
      <c r="DF250" s="852"/>
      <c r="DG250" s="852"/>
      <c r="DH250" s="852"/>
      <c r="DI250" s="852"/>
      <c r="DJ250" s="852"/>
      <c r="DK250" s="852"/>
      <c r="DL250" s="177"/>
      <c r="DM250" s="177"/>
    </row>
    <row r="251" spans="5:117" s="176" customFormat="1" x14ac:dyDescent="0.2"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57"/>
      <c r="S251" s="1094"/>
      <c r="CV251" s="297"/>
      <c r="CW251" s="297"/>
      <c r="CX251" s="297"/>
      <c r="CY251" s="852"/>
      <c r="CZ251" s="852"/>
      <c r="DA251" s="852"/>
      <c r="DB251" s="852"/>
      <c r="DC251" s="852"/>
      <c r="DD251" s="852"/>
      <c r="DE251" s="852"/>
      <c r="DF251" s="852"/>
      <c r="DG251" s="852"/>
      <c r="DH251" s="852"/>
      <c r="DI251" s="852"/>
      <c r="DJ251" s="852"/>
      <c r="DK251" s="852"/>
      <c r="DL251" s="177"/>
      <c r="DM251" s="177"/>
    </row>
    <row r="252" spans="5:117" s="176" customFormat="1" x14ac:dyDescent="0.2"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57"/>
      <c r="S252" s="1094"/>
      <c r="CV252" s="297"/>
      <c r="CW252" s="297"/>
      <c r="CX252" s="297"/>
      <c r="CY252" s="852"/>
      <c r="CZ252" s="852"/>
      <c r="DA252" s="852"/>
      <c r="DB252" s="852"/>
      <c r="DC252" s="852"/>
      <c r="DD252" s="852"/>
      <c r="DE252" s="852"/>
      <c r="DF252" s="852"/>
      <c r="DG252" s="852"/>
      <c r="DH252" s="852"/>
      <c r="DI252" s="852"/>
      <c r="DJ252" s="852"/>
      <c r="DK252" s="852"/>
      <c r="DL252" s="177"/>
      <c r="DM252" s="177"/>
    </row>
    <row r="253" spans="5:117" s="176" customFormat="1" x14ac:dyDescent="0.2"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57"/>
      <c r="S253" s="1094"/>
      <c r="CV253" s="297"/>
      <c r="CW253" s="297"/>
      <c r="CX253" s="297"/>
      <c r="CY253" s="852"/>
      <c r="CZ253" s="852"/>
      <c r="DA253" s="852"/>
      <c r="DB253" s="852"/>
      <c r="DC253" s="852"/>
      <c r="DD253" s="852"/>
      <c r="DE253" s="852"/>
      <c r="DF253" s="852"/>
      <c r="DG253" s="852"/>
      <c r="DH253" s="852"/>
      <c r="DI253" s="852"/>
      <c r="DJ253" s="852"/>
      <c r="DK253" s="852"/>
      <c r="DL253" s="177"/>
      <c r="DM253" s="177"/>
    </row>
    <row r="254" spans="5:117" s="176" customFormat="1" x14ac:dyDescent="0.2"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57"/>
      <c r="S254" s="1094"/>
      <c r="CV254" s="297"/>
      <c r="CW254" s="297"/>
      <c r="CX254" s="297"/>
      <c r="CY254" s="852"/>
      <c r="CZ254" s="852"/>
      <c r="DA254" s="852"/>
      <c r="DB254" s="852"/>
      <c r="DC254" s="852"/>
      <c r="DD254" s="852"/>
      <c r="DE254" s="852"/>
      <c r="DF254" s="852"/>
      <c r="DG254" s="852"/>
      <c r="DH254" s="852"/>
      <c r="DI254" s="852"/>
      <c r="DJ254" s="852"/>
      <c r="DK254" s="852"/>
      <c r="DL254" s="177"/>
      <c r="DM254" s="177"/>
    </row>
    <row r="255" spans="5:117" s="176" customFormat="1" x14ac:dyDescent="0.2"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57"/>
      <c r="S255" s="1094"/>
      <c r="CV255" s="297"/>
      <c r="CW255" s="297"/>
      <c r="CX255" s="297"/>
      <c r="CY255" s="852"/>
      <c r="CZ255" s="852"/>
      <c r="DA255" s="852"/>
      <c r="DB255" s="852"/>
      <c r="DC255" s="852"/>
      <c r="DD255" s="852"/>
      <c r="DE255" s="852"/>
      <c r="DF255" s="852"/>
      <c r="DG255" s="852"/>
      <c r="DH255" s="852"/>
      <c r="DI255" s="852"/>
      <c r="DJ255" s="852"/>
      <c r="DK255" s="852"/>
      <c r="DL255" s="177"/>
      <c r="DM255" s="177"/>
    </row>
    <row r="256" spans="5:117" s="176" customFormat="1" x14ac:dyDescent="0.2"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57"/>
      <c r="S256" s="1094"/>
      <c r="CV256" s="297"/>
      <c r="CW256" s="297"/>
      <c r="CX256" s="297"/>
      <c r="CY256" s="852"/>
      <c r="CZ256" s="852"/>
      <c r="DA256" s="852"/>
      <c r="DB256" s="852"/>
      <c r="DC256" s="852"/>
      <c r="DD256" s="852"/>
      <c r="DE256" s="852"/>
      <c r="DF256" s="852"/>
      <c r="DG256" s="852"/>
      <c r="DH256" s="852"/>
      <c r="DI256" s="852"/>
      <c r="DJ256" s="852"/>
      <c r="DK256" s="852"/>
      <c r="DL256" s="177"/>
      <c r="DM256" s="177"/>
    </row>
    <row r="257" spans="5:117" s="176" customFormat="1" x14ac:dyDescent="0.2"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57"/>
      <c r="S257" s="1094"/>
      <c r="CV257" s="297"/>
      <c r="CW257" s="297"/>
      <c r="CX257" s="297"/>
      <c r="CY257" s="852"/>
      <c r="CZ257" s="852"/>
      <c r="DA257" s="852"/>
      <c r="DB257" s="852"/>
      <c r="DC257" s="852"/>
      <c r="DD257" s="852"/>
      <c r="DE257" s="852"/>
      <c r="DF257" s="852"/>
      <c r="DG257" s="852"/>
      <c r="DH257" s="852"/>
      <c r="DI257" s="852"/>
      <c r="DJ257" s="852"/>
      <c r="DK257" s="852"/>
      <c r="DL257" s="177"/>
      <c r="DM257" s="177"/>
    </row>
    <row r="258" spans="5:117" s="176" customFormat="1" x14ac:dyDescent="0.2"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57"/>
      <c r="S258" s="1094"/>
      <c r="CV258" s="297"/>
      <c r="CW258" s="297"/>
      <c r="CX258" s="297"/>
      <c r="CY258" s="852"/>
      <c r="CZ258" s="852"/>
      <c r="DA258" s="852"/>
      <c r="DB258" s="852"/>
      <c r="DC258" s="852"/>
      <c r="DD258" s="852"/>
      <c r="DE258" s="852"/>
      <c r="DF258" s="852"/>
      <c r="DG258" s="852"/>
      <c r="DH258" s="852"/>
      <c r="DI258" s="852"/>
      <c r="DJ258" s="852"/>
      <c r="DK258" s="852"/>
      <c r="DL258" s="177"/>
      <c r="DM258" s="177"/>
    </row>
    <row r="259" spans="5:117" s="176" customFormat="1" x14ac:dyDescent="0.2"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57"/>
      <c r="S259" s="1094"/>
      <c r="CV259" s="297"/>
      <c r="CW259" s="297"/>
      <c r="CX259" s="297"/>
      <c r="CY259" s="852"/>
      <c r="CZ259" s="852"/>
      <c r="DA259" s="852"/>
      <c r="DB259" s="852"/>
      <c r="DC259" s="852"/>
      <c r="DD259" s="852"/>
      <c r="DE259" s="852"/>
      <c r="DF259" s="852"/>
      <c r="DG259" s="852"/>
      <c r="DH259" s="852"/>
      <c r="DI259" s="852"/>
      <c r="DJ259" s="852"/>
      <c r="DK259" s="852"/>
      <c r="DL259" s="177"/>
      <c r="DM259" s="177"/>
    </row>
    <row r="260" spans="5:117" s="176" customFormat="1" x14ac:dyDescent="0.2"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57"/>
      <c r="S260" s="1094"/>
      <c r="CV260" s="297"/>
      <c r="CW260" s="297"/>
      <c r="CX260" s="297"/>
      <c r="CY260" s="852"/>
      <c r="CZ260" s="852"/>
      <c r="DA260" s="852"/>
      <c r="DB260" s="852"/>
      <c r="DC260" s="852"/>
      <c r="DD260" s="852"/>
      <c r="DE260" s="852"/>
      <c r="DF260" s="852"/>
      <c r="DG260" s="852"/>
      <c r="DH260" s="852"/>
      <c r="DI260" s="852"/>
      <c r="DJ260" s="852"/>
      <c r="DK260" s="852"/>
      <c r="DL260" s="177"/>
      <c r="DM260" s="177"/>
    </row>
    <row r="261" spans="5:117" s="176" customFormat="1" x14ac:dyDescent="0.2"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57"/>
      <c r="S261" s="1094"/>
      <c r="CV261" s="297"/>
      <c r="CW261" s="297"/>
      <c r="CX261" s="297"/>
      <c r="CY261" s="852"/>
      <c r="CZ261" s="852"/>
      <c r="DA261" s="852"/>
      <c r="DB261" s="852"/>
      <c r="DC261" s="852"/>
      <c r="DD261" s="852"/>
      <c r="DE261" s="852"/>
      <c r="DF261" s="852"/>
      <c r="DG261" s="852"/>
      <c r="DH261" s="852"/>
      <c r="DI261" s="852"/>
      <c r="DJ261" s="852"/>
      <c r="DK261" s="852"/>
      <c r="DL261" s="177"/>
      <c r="DM261" s="177"/>
    </row>
    <row r="262" spans="5:117" s="176" customFormat="1" x14ac:dyDescent="0.2"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57"/>
      <c r="S262" s="1094"/>
      <c r="CV262" s="297"/>
      <c r="CW262" s="297"/>
      <c r="CX262" s="297"/>
      <c r="CY262" s="852"/>
      <c r="CZ262" s="852"/>
      <c r="DA262" s="852"/>
      <c r="DB262" s="852"/>
      <c r="DC262" s="852"/>
      <c r="DD262" s="852"/>
      <c r="DE262" s="852"/>
      <c r="DF262" s="852"/>
      <c r="DG262" s="852"/>
      <c r="DH262" s="852"/>
      <c r="DI262" s="852"/>
      <c r="DJ262" s="852"/>
      <c r="DK262" s="852"/>
      <c r="DL262" s="177"/>
      <c r="DM262" s="177"/>
    </row>
    <row r="263" spans="5:117" s="176" customFormat="1" x14ac:dyDescent="0.2"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57"/>
      <c r="S263" s="1094"/>
      <c r="CV263" s="297"/>
      <c r="CW263" s="297"/>
      <c r="CX263" s="297"/>
      <c r="CY263" s="852"/>
      <c r="CZ263" s="852"/>
      <c r="DA263" s="852"/>
      <c r="DB263" s="852"/>
      <c r="DC263" s="852"/>
      <c r="DD263" s="852"/>
      <c r="DE263" s="852"/>
      <c r="DF263" s="852"/>
      <c r="DG263" s="852"/>
      <c r="DH263" s="852"/>
      <c r="DI263" s="852"/>
      <c r="DJ263" s="852"/>
      <c r="DK263" s="852"/>
      <c r="DL263" s="177"/>
      <c r="DM263" s="177"/>
    </row>
    <row r="264" spans="5:117" s="176" customFormat="1" x14ac:dyDescent="0.2"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57"/>
      <c r="S264" s="1094"/>
      <c r="CV264" s="297"/>
      <c r="CW264" s="297"/>
      <c r="CX264" s="297"/>
      <c r="CY264" s="852"/>
      <c r="CZ264" s="852"/>
      <c r="DA264" s="852"/>
      <c r="DB264" s="852"/>
      <c r="DC264" s="852"/>
      <c r="DD264" s="852"/>
      <c r="DE264" s="852"/>
      <c r="DF264" s="852"/>
      <c r="DG264" s="852"/>
      <c r="DH264" s="852"/>
      <c r="DI264" s="852"/>
      <c r="DJ264" s="852"/>
      <c r="DK264" s="852"/>
      <c r="DL264" s="177"/>
      <c r="DM264" s="177"/>
    </row>
    <row r="265" spans="5:117" s="176" customFormat="1" x14ac:dyDescent="0.2"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57"/>
      <c r="S265" s="1094"/>
      <c r="CV265" s="297"/>
      <c r="CW265" s="297"/>
      <c r="CX265" s="297"/>
      <c r="CY265" s="852"/>
      <c r="CZ265" s="852"/>
      <c r="DA265" s="852"/>
      <c r="DB265" s="852"/>
      <c r="DC265" s="852"/>
      <c r="DD265" s="852"/>
      <c r="DE265" s="852"/>
      <c r="DF265" s="852"/>
      <c r="DG265" s="852"/>
      <c r="DH265" s="852"/>
      <c r="DI265" s="852"/>
      <c r="DJ265" s="852"/>
      <c r="DK265" s="852"/>
      <c r="DL265" s="177"/>
      <c r="DM265" s="177"/>
    </row>
    <row r="266" spans="5:117" s="176" customFormat="1" x14ac:dyDescent="0.2"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57"/>
      <c r="S266" s="1094"/>
      <c r="CV266" s="297"/>
      <c r="CW266" s="297"/>
      <c r="CX266" s="297"/>
      <c r="CY266" s="852"/>
      <c r="CZ266" s="852"/>
      <c r="DA266" s="852"/>
      <c r="DB266" s="852"/>
      <c r="DC266" s="852"/>
      <c r="DD266" s="852"/>
      <c r="DE266" s="852"/>
      <c r="DF266" s="852"/>
      <c r="DG266" s="852"/>
      <c r="DH266" s="852"/>
      <c r="DI266" s="852"/>
      <c r="DJ266" s="852"/>
      <c r="DK266" s="852"/>
      <c r="DL266" s="177"/>
      <c r="DM266" s="177"/>
    </row>
    <row r="267" spans="5:117" s="176" customFormat="1" x14ac:dyDescent="0.2"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57"/>
      <c r="S267" s="1094"/>
      <c r="CV267" s="297"/>
      <c r="CW267" s="297"/>
      <c r="CX267" s="297"/>
      <c r="CY267" s="852"/>
      <c r="CZ267" s="852"/>
      <c r="DA267" s="852"/>
      <c r="DB267" s="852"/>
      <c r="DC267" s="852"/>
      <c r="DD267" s="852"/>
      <c r="DE267" s="852"/>
      <c r="DF267" s="852"/>
      <c r="DG267" s="852"/>
      <c r="DH267" s="852"/>
      <c r="DI267" s="852"/>
      <c r="DJ267" s="852"/>
      <c r="DK267" s="852"/>
      <c r="DL267" s="177"/>
      <c r="DM267" s="177"/>
    </row>
    <row r="268" spans="5:117" s="176" customFormat="1" x14ac:dyDescent="0.2"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57"/>
      <c r="S268" s="1094"/>
      <c r="CV268" s="297"/>
      <c r="CW268" s="297"/>
      <c r="CX268" s="297"/>
      <c r="CY268" s="852"/>
      <c r="CZ268" s="852"/>
      <c r="DA268" s="852"/>
      <c r="DB268" s="852"/>
      <c r="DC268" s="852"/>
      <c r="DD268" s="852"/>
      <c r="DE268" s="852"/>
      <c r="DF268" s="852"/>
      <c r="DG268" s="852"/>
      <c r="DH268" s="852"/>
      <c r="DI268" s="852"/>
      <c r="DJ268" s="852"/>
      <c r="DK268" s="852"/>
      <c r="DL268" s="177"/>
      <c r="DM268" s="177"/>
    </row>
    <row r="269" spans="5:117" s="176" customFormat="1" x14ac:dyDescent="0.2"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57"/>
      <c r="S269" s="1094"/>
      <c r="CV269" s="297"/>
      <c r="CW269" s="297"/>
      <c r="CX269" s="297"/>
      <c r="CY269" s="852"/>
      <c r="CZ269" s="852"/>
      <c r="DA269" s="852"/>
      <c r="DB269" s="852"/>
      <c r="DC269" s="852"/>
      <c r="DD269" s="852"/>
      <c r="DE269" s="852"/>
      <c r="DF269" s="852"/>
      <c r="DG269" s="852"/>
      <c r="DH269" s="852"/>
      <c r="DI269" s="852"/>
      <c r="DJ269" s="852"/>
      <c r="DK269" s="852"/>
      <c r="DL269" s="177"/>
      <c r="DM269" s="177"/>
    </row>
    <row r="270" spans="5:117" s="176" customFormat="1" x14ac:dyDescent="0.2"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57"/>
      <c r="S270" s="1094"/>
      <c r="CV270" s="297"/>
      <c r="CW270" s="297"/>
      <c r="CX270" s="297"/>
      <c r="CY270" s="852"/>
      <c r="CZ270" s="852"/>
      <c r="DA270" s="852"/>
      <c r="DB270" s="852"/>
      <c r="DC270" s="852"/>
      <c r="DD270" s="852"/>
      <c r="DE270" s="852"/>
      <c r="DF270" s="852"/>
      <c r="DG270" s="852"/>
      <c r="DH270" s="852"/>
      <c r="DI270" s="852"/>
      <c r="DJ270" s="852"/>
      <c r="DK270" s="852"/>
      <c r="DL270" s="177"/>
      <c r="DM270" s="177"/>
    </row>
    <row r="271" spans="5:117" s="176" customFormat="1" x14ac:dyDescent="0.2"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57"/>
      <c r="S271" s="1094"/>
      <c r="CV271" s="297"/>
      <c r="CW271" s="297"/>
      <c r="CX271" s="297"/>
      <c r="CY271" s="852"/>
      <c r="CZ271" s="852"/>
      <c r="DA271" s="852"/>
      <c r="DB271" s="852"/>
      <c r="DC271" s="852"/>
      <c r="DD271" s="852"/>
      <c r="DE271" s="852"/>
      <c r="DF271" s="852"/>
      <c r="DG271" s="852"/>
      <c r="DH271" s="852"/>
      <c r="DI271" s="852"/>
      <c r="DJ271" s="852"/>
      <c r="DK271" s="852"/>
      <c r="DL271" s="177"/>
      <c r="DM271" s="177"/>
    </row>
    <row r="272" spans="5:117" s="176" customFormat="1" x14ac:dyDescent="0.2"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57"/>
      <c r="S272" s="1094"/>
      <c r="CV272" s="297"/>
      <c r="CW272" s="297"/>
      <c r="CX272" s="297"/>
      <c r="CY272" s="852"/>
      <c r="CZ272" s="852"/>
      <c r="DA272" s="852"/>
      <c r="DB272" s="852"/>
      <c r="DC272" s="852"/>
      <c r="DD272" s="852"/>
      <c r="DE272" s="852"/>
      <c r="DF272" s="852"/>
      <c r="DG272" s="852"/>
      <c r="DH272" s="852"/>
      <c r="DI272" s="852"/>
      <c r="DJ272" s="852"/>
      <c r="DK272" s="852"/>
      <c r="DL272" s="177"/>
      <c r="DM272" s="177"/>
    </row>
    <row r="273" spans="5:117" s="176" customFormat="1" x14ac:dyDescent="0.2"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57"/>
      <c r="S273" s="1094"/>
      <c r="CV273" s="297"/>
      <c r="CW273" s="297"/>
      <c r="CX273" s="297"/>
      <c r="CY273" s="852"/>
      <c r="CZ273" s="852"/>
      <c r="DA273" s="852"/>
      <c r="DB273" s="852"/>
      <c r="DC273" s="852"/>
      <c r="DD273" s="852"/>
      <c r="DE273" s="852"/>
      <c r="DF273" s="852"/>
      <c r="DG273" s="852"/>
      <c r="DH273" s="852"/>
      <c r="DI273" s="852"/>
      <c r="DJ273" s="852"/>
      <c r="DK273" s="852"/>
      <c r="DL273" s="177"/>
      <c r="DM273" s="177"/>
    </row>
    <row r="274" spans="5:117" s="176" customFormat="1" x14ac:dyDescent="0.2"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57"/>
      <c r="S274" s="1094"/>
      <c r="CV274" s="297"/>
      <c r="CW274" s="297"/>
      <c r="CX274" s="297"/>
      <c r="CY274" s="852"/>
      <c r="CZ274" s="852"/>
      <c r="DA274" s="852"/>
      <c r="DB274" s="852"/>
      <c r="DC274" s="852"/>
      <c r="DD274" s="852"/>
      <c r="DE274" s="852"/>
      <c r="DF274" s="852"/>
      <c r="DG274" s="852"/>
      <c r="DH274" s="852"/>
      <c r="DI274" s="852"/>
      <c r="DJ274" s="852"/>
      <c r="DK274" s="852"/>
      <c r="DL274" s="177"/>
      <c r="DM274" s="177"/>
    </row>
    <row r="275" spans="5:117" s="176" customFormat="1" x14ac:dyDescent="0.2"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57"/>
      <c r="S275" s="1094"/>
      <c r="CV275" s="297"/>
      <c r="CW275" s="297"/>
      <c r="CX275" s="297"/>
      <c r="CY275" s="852"/>
      <c r="CZ275" s="852"/>
      <c r="DA275" s="852"/>
      <c r="DB275" s="852"/>
      <c r="DC275" s="852"/>
      <c r="DD275" s="852"/>
      <c r="DE275" s="852"/>
      <c r="DF275" s="852"/>
      <c r="DG275" s="852"/>
      <c r="DH275" s="852"/>
      <c r="DI275" s="852"/>
      <c r="DJ275" s="852"/>
      <c r="DK275" s="852"/>
      <c r="DL275" s="177"/>
      <c r="DM275" s="177"/>
    </row>
    <row r="276" spans="5:117" s="176" customFormat="1" x14ac:dyDescent="0.2"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57"/>
      <c r="S276" s="1094"/>
      <c r="CV276" s="297"/>
      <c r="CW276" s="297"/>
      <c r="CX276" s="297"/>
      <c r="CY276" s="852"/>
      <c r="CZ276" s="852"/>
      <c r="DA276" s="852"/>
      <c r="DB276" s="852"/>
      <c r="DC276" s="852"/>
      <c r="DD276" s="852"/>
      <c r="DE276" s="852"/>
      <c r="DF276" s="852"/>
      <c r="DG276" s="852"/>
      <c r="DH276" s="852"/>
      <c r="DI276" s="852"/>
      <c r="DJ276" s="852"/>
      <c r="DK276" s="852"/>
      <c r="DL276" s="177"/>
      <c r="DM276" s="177"/>
    </row>
    <row r="277" spans="5:117" s="176" customFormat="1" x14ac:dyDescent="0.2"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57"/>
      <c r="S277" s="1094"/>
      <c r="CV277" s="297"/>
      <c r="CW277" s="297"/>
      <c r="CX277" s="297"/>
      <c r="CY277" s="852"/>
      <c r="CZ277" s="852"/>
      <c r="DA277" s="852"/>
      <c r="DB277" s="852"/>
      <c r="DC277" s="852"/>
      <c r="DD277" s="852"/>
      <c r="DE277" s="852"/>
      <c r="DF277" s="852"/>
      <c r="DG277" s="852"/>
      <c r="DH277" s="852"/>
      <c r="DI277" s="852"/>
      <c r="DJ277" s="852"/>
      <c r="DK277" s="852"/>
      <c r="DL277" s="177"/>
      <c r="DM277" s="177"/>
    </row>
    <row r="278" spans="5:117" s="176" customFormat="1" x14ac:dyDescent="0.2"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57"/>
      <c r="S278" s="1094"/>
      <c r="CV278" s="297"/>
      <c r="CW278" s="297"/>
      <c r="CX278" s="297"/>
      <c r="CY278" s="852"/>
      <c r="CZ278" s="852"/>
      <c r="DA278" s="852"/>
      <c r="DB278" s="852"/>
      <c r="DC278" s="852"/>
      <c r="DD278" s="852"/>
      <c r="DE278" s="852"/>
      <c r="DF278" s="852"/>
      <c r="DG278" s="852"/>
      <c r="DH278" s="852"/>
      <c r="DI278" s="852"/>
      <c r="DJ278" s="852"/>
      <c r="DK278" s="852"/>
      <c r="DL278" s="177"/>
      <c r="DM278" s="177"/>
    </row>
    <row r="279" spans="5:117" s="176" customFormat="1" x14ac:dyDescent="0.2"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57"/>
      <c r="S279" s="1094"/>
      <c r="CV279" s="297"/>
      <c r="CW279" s="297"/>
      <c r="CX279" s="297"/>
      <c r="CY279" s="852"/>
      <c r="CZ279" s="852"/>
      <c r="DA279" s="852"/>
      <c r="DB279" s="852"/>
      <c r="DC279" s="852"/>
      <c r="DD279" s="852"/>
      <c r="DE279" s="852"/>
      <c r="DF279" s="852"/>
      <c r="DG279" s="852"/>
      <c r="DH279" s="852"/>
      <c r="DI279" s="852"/>
      <c r="DJ279" s="852"/>
      <c r="DK279" s="852"/>
      <c r="DL279" s="177"/>
      <c r="DM279" s="177"/>
    </row>
    <row r="280" spans="5:117" s="176" customFormat="1" x14ac:dyDescent="0.2"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57"/>
      <c r="S280" s="1094"/>
      <c r="CV280" s="297"/>
      <c r="CW280" s="297"/>
      <c r="CX280" s="297"/>
      <c r="CY280" s="852"/>
      <c r="CZ280" s="852"/>
      <c r="DA280" s="852"/>
      <c r="DB280" s="852"/>
      <c r="DC280" s="852"/>
      <c r="DD280" s="852"/>
      <c r="DE280" s="852"/>
      <c r="DF280" s="852"/>
      <c r="DG280" s="852"/>
      <c r="DH280" s="852"/>
      <c r="DI280" s="852"/>
      <c r="DJ280" s="852"/>
      <c r="DK280" s="852"/>
      <c r="DL280" s="177"/>
      <c r="DM280" s="177"/>
    </row>
    <row r="281" spans="5:117" s="176" customFormat="1" x14ac:dyDescent="0.2"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57"/>
      <c r="S281" s="1094"/>
      <c r="CV281" s="297"/>
      <c r="CW281" s="297"/>
      <c r="CX281" s="297"/>
      <c r="CY281" s="852"/>
      <c r="CZ281" s="852"/>
      <c r="DA281" s="852"/>
      <c r="DB281" s="852"/>
      <c r="DC281" s="852"/>
      <c r="DD281" s="852"/>
      <c r="DE281" s="852"/>
      <c r="DF281" s="852"/>
      <c r="DG281" s="852"/>
      <c r="DH281" s="852"/>
      <c r="DI281" s="852"/>
      <c r="DJ281" s="852"/>
      <c r="DK281" s="852"/>
      <c r="DL281" s="177"/>
      <c r="DM281" s="177"/>
    </row>
    <row r="282" spans="5:117" s="176" customFormat="1" x14ac:dyDescent="0.2"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57"/>
      <c r="S282" s="1094"/>
      <c r="CV282" s="297"/>
      <c r="CW282" s="297"/>
      <c r="CX282" s="297"/>
      <c r="CY282" s="852"/>
      <c r="CZ282" s="852"/>
      <c r="DA282" s="852"/>
      <c r="DB282" s="852"/>
      <c r="DC282" s="852"/>
      <c r="DD282" s="852"/>
      <c r="DE282" s="852"/>
      <c r="DF282" s="852"/>
      <c r="DG282" s="852"/>
      <c r="DH282" s="852"/>
      <c r="DI282" s="852"/>
      <c r="DJ282" s="852"/>
      <c r="DK282" s="852"/>
      <c r="DL282" s="177"/>
      <c r="DM282" s="177"/>
    </row>
    <row r="283" spans="5:117" s="176" customFormat="1" x14ac:dyDescent="0.2"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57"/>
      <c r="S283" s="1094"/>
      <c r="CV283" s="297"/>
      <c r="CW283" s="297"/>
      <c r="CX283" s="297"/>
      <c r="CY283" s="852"/>
      <c r="CZ283" s="852"/>
      <c r="DA283" s="852"/>
      <c r="DB283" s="852"/>
      <c r="DC283" s="852"/>
      <c r="DD283" s="852"/>
      <c r="DE283" s="852"/>
      <c r="DF283" s="852"/>
      <c r="DG283" s="852"/>
      <c r="DH283" s="852"/>
      <c r="DI283" s="852"/>
      <c r="DJ283" s="852"/>
      <c r="DK283" s="852"/>
      <c r="DL283" s="177"/>
      <c r="DM283" s="177"/>
    </row>
    <row r="284" spans="5:117" s="176" customFormat="1" x14ac:dyDescent="0.2"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57"/>
      <c r="S284" s="1094"/>
      <c r="CV284" s="297"/>
      <c r="CW284" s="297"/>
      <c r="CX284" s="297"/>
      <c r="CY284" s="852"/>
      <c r="CZ284" s="852"/>
      <c r="DA284" s="852"/>
      <c r="DB284" s="852"/>
      <c r="DC284" s="852"/>
      <c r="DD284" s="852"/>
      <c r="DE284" s="852"/>
      <c r="DF284" s="852"/>
      <c r="DG284" s="852"/>
      <c r="DH284" s="852"/>
      <c r="DI284" s="852"/>
      <c r="DJ284" s="852"/>
      <c r="DK284" s="852"/>
      <c r="DL284" s="177"/>
      <c r="DM284" s="177"/>
    </row>
    <row r="285" spans="5:117" s="176" customFormat="1" x14ac:dyDescent="0.2"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57"/>
      <c r="S285" s="1094"/>
      <c r="CV285" s="297"/>
      <c r="CW285" s="297"/>
      <c r="CX285" s="297"/>
      <c r="CY285" s="852"/>
      <c r="CZ285" s="852"/>
      <c r="DA285" s="852"/>
      <c r="DB285" s="852"/>
      <c r="DC285" s="852"/>
      <c r="DD285" s="852"/>
      <c r="DE285" s="852"/>
      <c r="DF285" s="852"/>
      <c r="DG285" s="852"/>
      <c r="DH285" s="852"/>
      <c r="DI285" s="852"/>
      <c r="DJ285" s="852"/>
      <c r="DK285" s="852"/>
      <c r="DL285" s="177"/>
      <c r="DM285" s="177"/>
    </row>
    <row r="286" spans="5:117" s="176" customFormat="1" x14ac:dyDescent="0.2"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57"/>
      <c r="S286" s="1094"/>
      <c r="CV286" s="297"/>
      <c r="CW286" s="297"/>
      <c r="CX286" s="297"/>
      <c r="CY286" s="852"/>
      <c r="CZ286" s="852"/>
      <c r="DA286" s="852"/>
      <c r="DB286" s="852"/>
      <c r="DC286" s="852"/>
      <c r="DD286" s="852"/>
      <c r="DE286" s="852"/>
      <c r="DF286" s="852"/>
      <c r="DG286" s="852"/>
      <c r="DH286" s="852"/>
      <c r="DI286" s="852"/>
      <c r="DJ286" s="852"/>
      <c r="DK286" s="852"/>
      <c r="DL286" s="177"/>
      <c r="DM286" s="177"/>
    </row>
    <row r="287" spans="5:117" s="176" customFormat="1" x14ac:dyDescent="0.2"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57"/>
      <c r="S287" s="1094"/>
      <c r="CV287" s="297"/>
      <c r="CW287" s="297"/>
      <c r="CX287" s="297"/>
      <c r="CY287" s="852"/>
      <c r="CZ287" s="852"/>
      <c r="DA287" s="852"/>
      <c r="DB287" s="852"/>
      <c r="DC287" s="852"/>
      <c r="DD287" s="852"/>
      <c r="DE287" s="852"/>
      <c r="DF287" s="852"/>
      <c r="DG287" s="852"/>
      <c r="DH287" s="852"/>
      <c r="DI287" s="852"/>
      <c r="DJ287" s="852"/>
      <c r="DK287" s="852"/>
      <c r="DL287" s="177"/>
      <c r="DM287" s="177"/>
    </row>
    <row r="288" spans="5:117" s="176" customFormat="1" x14ac:dyDescent="0.2"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57"/>
      <c r="S288" s="1094"/>
      <c r="CV288" s="297"/>
      <c r="CW288" s="297"/>
      <c r="CX288" s="297"/>
      <c r="CY288" s="852"/>
      <c r="CZ288" s="852"/>
      <c r="DA288" s="852"/>
      <c r="DB288" s="852"/>
      <c r="DC288" s="852"/>
      <c r="DD288" s="852"/>
      <c r="DE288" s="852"/>
      <c r="DF288" s="852"/>
      <c r="DG288" s="852"/>
      <c r="DH288" s="852"/>
      <c r="DI288" s="852"/>
      <c r="DJ288" s="852"/>
      <c r="DK288" s="852"/>
      <c r="DL288" s="177"/>
      <c r="DM288" s="177"/>
    </row>
    <row r="289" spans="5:117" s="176" customFormat="1" x14ac:dyDescent="0.2"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57"/>
      <c r="S289" s="1094"/>
      <c r="CV289" s="297"/>
      <c r="CW289" s="297"/>
      <c r="CX289" s="297"/>
      <c r="CY289" s="852"/>
      <c r="CZ289" s="852"/>
      <c r="DA289" s="852"/>
      <c r="DB289" s="852"/>
      <c r="DC289" s="852"/>
      <c r="DD289" s="852"/>
      <c r="DE289" s="852"/>
      <c r="DF289" s="852"/>
      <c r="DG289" s="852"/>
      <c r="DH289" s="852"/>
      <c r="DI289" s="852"/>
      <c r="DJ289" s="852"/>
      <c r="DK289" s="852"/>
      <c r="DL289" s="177"/>
      <c r="DM289" s="177"/>
    </row>
    <row r="290" spans="5:117" s="176" customFormat="1" x14ac:dyDescent="0.2"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57"/>
      <c r="S290" s="1094"/>
      <c r="CV290" s="297"/>
      <c r="CW290" s="297"/>
      <c r="CX290" s="297"/>
      <c r="CY290" s="852"/>
      <c r="CZ290" s="852"/>
      <c r="DA290" s="852"/>
      <c r="DB290" s="852"/>
      <c r="DC290" s="852"/>
      <c r="DD290" s="852"/>
      <c r="DE290" s="852"/>
      <c r="DF290" s="852"/>
      <c r="DG290" s="852"/>
      <c r="DH290" s="852"/>
      <c r="DI290" s="852"/>
      <c r="DJ290" s="852"/>
      <c r="DK290" s="852"/>
      <c r="DL290" s="177"/>
      <c r="DM290" s="177"/>
    </row>
    <row r="291" spans="5:117" s="176" customFormat="1" x14ac:dyDescent="0.2"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57"/>
      <c r="S291" s="1094"/>
      <c r="CV291" s="297"/>
      <c r="CW291" s="297"/>
      <c r="CX291" s="297"/>
      <c r="CY291" s="852"/>
      <c r="CZ291" s="852"/>
      <c r="DA291" s="852"/>
      <c r="DB291" s="852"/>
      <c r="DC291" s="852"/>
      <c r="DD291" s="852"/>
      <c r="DE291" s="852"/>
      <c r="DF291" s="852"/>
      <c r="DG291" s="852"/>
      <c r="DH291" s="852"/>
      <c r="DI291" s="852"/>
      <c r="DJ291" s="852"/>
      <c r="DK291" s="852"/>
      <c r="DL291" s="177"/>
      <c r="DM291" s="177"/>
    </row>
    <row r="292" spans="5:117" s="176" customFormat="1" x14ac:dyDescent="0.2"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57"/>
      <c r="S292" s="1094"/>
      <c r="CV292" s="297"/>
      <c r="CW292" s="297"/>
      <c r="CX292" s="297"/>
      <c r="CY292" s="852"/>
      <c r="CZ292" s="852"/>
      <c r="DA292" s="852"/>
      <c r="DB292" s="852"/>
      <c r="DC292" s="852"/>
      <c r="DD292" s="852"/>
      <c r="DE292" s="852"/>
      <c r="DF292" s="852"/>
      <c r="DG292" s="852"/>
      <c r="DH292" s="852"/>
      <c r="DI292" s="852"/>
      <c r="DJ292" s="852"/>
      <c r="DK292" s="852"/>
      <c r="DL292" s="177"/>
      <c r="DM292" s="177"/>
    </row>
    <row r="293" spans="5:117" s="176" customFormat="1" x14ac:dyDescent="0.2"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57"/>
      <c r="S293" s="1094"/>
      <c r="CV293" s="297"/>
      <c r="CW293" s="297"/>
      <c r="CX293" s="297"/>
      <c r="CY293" s="852"/>
      <c r="CZ293" s="852"/>
      <c r="DA293" s="852"/>
      <c r="DB293" s="852"/>
      <c r="DC293" s="852"/>
      <c r="DD293" s="852"/>
      <c r="DE293" s="852"/>
      <c r="DF293" s="852"/>
      <c r="DG293" s="852"/>
      <c r="DH293" s="852"/>
      <c r="DI293" s="852"/>
      <c r="DJ293" s="852"/>
      <c r="DK293" s="852"/>
      <c r="DL293" s="177"/>
      <c r="DM293" s="177"/>
    </row>
    <row r="294" spans="5:117" s="176" customFormat="1" x14ac:dyDescent="0.2"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57"/>
      <c r="S294" s="1094"/>
      <c r="CV294" s="297"/>
      <c r="CW294" s="297"/>
      <c r="CX294" s="297"/>
      <c r="CY294" s="852"/>
      <c r="CZ294" s="852"/>
      <c r="DA294" s="852"/>
      <c r="DB294" s="852"/>
      <c r="DC294" s="852"/>
      <c r="DD294" s="852"/>
      <c r="DE294" s="852"/>
      <c r="DF294" s="852"/>
      <c r="DG294" s="852"/>
      <c r="DH294" s="852"/>
      <c r="DI294" s="852"/>
      <c r="DJ294" s="852"/>
      <c r="DK294" s="852"/>
      <c r="DL294" s="177"/>
      <c r="DM294" s="177"/>
    </row>
    <row r="295" spans="5:117" s="176" customFormat="1" x14ac:dyDescent="0.2"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57"/>
      <c r="S295" s="1094"/>
      <c r="CV295" s="297"/>
      <c r="CW295" s="297"/>
      <c r="CX295" s="297"/>
      <c r="CY295" s="852"/>
      <c r="CZ295" s="852"/>
      <c r="DA295" s="852"/>
      <c r="DB295" s="852"/>
      <c r="DC295" s="852"/>
      <c r="DD295" s="852"/>
      <c r="DE295" s="852"/>
      <c r="DF295" s="852"/>
      <c r="DG295" s="852"/>
      <c r="DH295" s="852"/>
      <c r="DI295" s="852"/>
      <c r="DJ295" s="852"/>
      <c r="DK295" s="852"/>
      <c r="DL295" s="177"/>
      <c r="DM295" s="177"/>
    </row>
    <row r="296" spans="5:117" s="176" customFormat="1" x14ac:dyDescent="0.2"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57"/>
      <c r="S296" s="1094"/>
      <c r="CV296" s="297"/>
      <c r="CW296" s="297"/>
      <c r="CX296" s="297"/>
      <c r="CY296" s="852"/>
      <c r="CZ296" s="852"/>
      <c r="DA296" s="852"/>
      <c r="DB296" s="852"/>
      <c r="DC296" s="852"/>
      <c r="DD296" s="852"/>
      <c r="DE296" s="852"/>
      <c r="DF296" s="852"/>
      <c r="DG296" s="852"/>
      <c r="DH296" s="852"/>
      <c r="DI296" s="852"/>
      <c r="DJ296" s="852"/>
      <c r="DK296" s="852"/>
      <c r="DL296" s="177"/>
      <c r="DM296" s="177"/>
    </row>
    <row r="297" spans="5:117" s="176" customFormat="1" x14ac:dyDescent="0.2"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57"/>
      <c r="S297" s="1094"/>
      <c r="CV297" s="297"/>
      <c r="CW297" s="297"/>
      <c r="CX297" s="297"/>
      <c r="CY297" s="852"/>
      <c r="CZ297" s="852"/>
      <c r="DA297" s="852"/>
      <c r="DB297" s="852"/>
      <c r="DC297" s="852"/>
      <c r="DD297" s="852"/>
      <c r="DE297" s="852"/>
      <c r="DF297" s="852"/>
      <c r="DG297" s="852"/>
      <c r="DH297" s="852"/>
      <c r="DI297" s="852"/>
      <c r="DJ297" s="852"/>
      <c r="DK297" s="852"/>
      <c r="DL297" s="177"/>
      <c r="DM297" s="177"/>
    </row>
    <row r="298" spans="5:117" s="176" customFormat="1" x14ac:dyDescent="0.2"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57"/>
      <c r="S298" s="1094"/>
      <c r="CV298" s="297"/>
      <c r="CW298" s="297"/>
      <c r="CX298" s="297"/>
      <c r="CY298" s="852"/>
      <c r="CZ298" s="852"/>
      <c r="DA298" s="852"/>
      <c r="DB298" s="852"/>
      <c r="DC298" s="852"/>
      <c r="DD298" s="852"/>
      <c r="DE298" s="852"/>
      <c r="DF298" s="852"/>
      <c r="DG298" s="852"/>
      <c r="DH298" s="852"/>
      <c r="DI298" s="852"/>
      <c r="DJ298" s="852"/>
      <c r="DK298" s="852"/>
      <c r="DL298" s="177"/>
      <c r="DM298" s="177"/>
    </row>
    <row r="299" spans="5:117" s="176" customFormat="1" x14ac:dyDescent="0.2"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57"/>
      <c r="S299" s="1094"/>
      <c r="CV299" s="297"/>
      <c r="CW299" s="297"/>
      <c r="CX299" s="297"/>
      <c r="CY299" s="852"/>
      <c r="CZ299" s="852"/>
      <c r="DA299" s="852"/>
      <c r="DB299" s="852"/>
      <c r="DC299" s="852"/>
      <c r="DD299" s="852"/>
      <c r="DE299" s="852"/>
      <c r="DF299" s="852"/>
      <c r="DG299" s="852"/>
      <c r="DH299" s="852"/>
      <c r="DI299" s="852"/>
      <c r="DJ299" s="852"/>
      <c r="DK299" s="852"/>
      <c r="DL299" s="177"/>
      <c r="DM299" s="177"/>
    </row>
    <row r="300" spans="5:117" s="176" customFormat="1" x14ac:dyDescent="0.2"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57"/>
      <c r="S300" s="1094"/>
      <c r="CV300" s="297"/>
      <c r="CW300" s="297"/>
      <c r="CX300" s="297"/>
      <c r="CY300" s="852"/>
      <c r="CZ300" s="852"/>
      <c r="DA300" s="852"/>
      <c r="DB300" s="852"/>
      <c r="DC300" s="852"/>
      <c r="DD300" s="852"/>
      <c r="DE300" s="852"/>
      <c r="DF300" s="852"/>
      <c r="DG300" s="852"/>
      <c r="DH300" s="852"/>
      <c r="DI300" s="852"/>
      <c r="DJ300" s="852"/>
      <c r="DK300" s="852"/>
      <c r="DL300" s="177"/>
      <c r="DM300" s="177"/>
    </row>
    <row r="301" spans="5:117" s="176" customFormat="1" x14ac:dyDescent="0.2"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57"/>
      <c r="S301" s="1094"/>
      <c r="CV301" s="297"/>
      <c r="CW301" s="297"/>
      <c r="CX301" s="297"/>
      <c r="CY301" s="852"/>
      <c r="CZ301" s="852"/>
      <c r="DA301" s="852"/>
      <c r="DB301" s="852"/>
      <c r="DC301" s="852"/>
      <c r="DD301" s="852"/>
      <c r="DE301" s="852"/>
      <c r="DF301" s="852"/>
      <c r="DG301" s="852"/>
      <c r="DH301" s="852"/>
      <c r="DI301" s="852"/>
      <c r="DJ301" s="852"/>
      <c r="DK301" s="852"/>
      <c r="DL301" s="177"/>
      <c r="DM301" s="177"/>
    </row>
    <row r="302" spans="5:117" s="176" customFormat="1" x14ac:dyDescent="0.2"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57"/>
      <c r="S302" s="1094"/>
      <c r="CV302" s="297"/>
      <c r="CW302" s="297"/>
      <c r="CX302" s="297"/>
      <c r="CY302" s="852"/>
      <c r="CZ302" s="852"/>
      <c r="DA302" s="852"/>
      <c r="DB302" s="852"/>
      <c r="DC302" s="852"/>
      <c r="DD302" s="852"/>
      <c r="DE302" s="852"/>
      <c r="DF302" s="852"/>
      <c r="DG302" s="852"/>
      <c r="DH302" s="852"/>
      <c r="DI302" s="852"/>
      <c r="DJ302" s="852"/>
      <c r="DK302" s="852"/>
      <c r="DL302" s="177"/>
      <c r="DM302" s="177"/>
    </row>
    <row r="303" spans="5:117" s="176" customFormat="1" x14ac:dyDescent="0.2"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57"/>
      <c r="S303" s="1094"/>
      <c r="CV303" s="297"/>
      <c r="CW303" s="297"/>
      <c r="CX303" s="297"/>
      <c r="CY303" s="852"/>
      <c r="CZ303" s="852"/>
      <c r="DA303" s="852"/>
      <c r="DB303" s="852"/>
      <c r="DC303" s="852"/>
      <c r="DD303" s="852"/>
      <c r="DE303" s="852"/>
      <c r="DF303" s="852"/>
      <c r="DG303" s="852"/>
      <c r="DH303" s="852"/>
      <c r="DI303" s="852"/>
      <c r="DJ303" s="852"/>
      <c r="DK303" s="852"/>
      <c r="DL303" s="177"/>
      <c r="DM303" s="177"/>
    </row>
    <row r="304" spans="5:117" s="176" customFormat="1" x14ac:dyDescent="0.2"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57"/>
      <c r="S304" s="1094"/>
      <c r="CV304" s="297"/>
      <c r="CW304" s="297"/>
      <c r="CX304" s="297"/>
      <c r="CY304" s="852"/>
      <c r="CZ304" s="852"/>
      <c r="DA304" s="852"/>
      <c r="DB304" s="852"/>
      <c r="DC304" s="852"/>
      <c r="DD304" s="852"/>
      <c r="DE304" s="852"/>
      <c r="DF304" s="852"/>
      <c r="DG304" s="852"/>
      <c r="DH304" s="852"/>
      <c r="DI304" s="852"/>
      <c r="DJ304" s="852"/>
      <c r="DK304" s="852"/>
      <c r="DL304" s="177"/>
      <c r="DM304" s="177"/>
    </row>
    <row r="305" spans="5:117" s="176" customFormat="1" x14ac:dyDescent="0.2"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57"/>
      <c r="S305" s="1094"/>
      <c r="CV305" s="297"/>
      <c r="CW305" s="297"/>
      <c r="CX305" s="297"/>
      <c r="CY305" s="852"/>
      <c r="CZ305" s="852"/>
      <c r="DA305" s="852"/>
      <c r="DB305" s="852"/>
      <c r="DC305" s="852"/>
      <c r="DD305" s="852"/>
      <c r="DE305" s="852"/>
      <c r="DF305" s="852"/>
      <c r="DG305" s="852"/>
      <c r="DH305" s="852"/>
      <c r="DI305" s="852"/>
      <c r="DJ305" s="852"/>
      <c r="DK305" s="852"/>
      <c r="DL305" s="177"/>
      <c r="DM305" s="177"/>
    </row>
    <row r="306" spans="5:117" s="176" customFormat="1" x14ac:dyDescent="0.2"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57"/>
      <c r="S306" s="1094"/>
      <c r="CV306" s="297"/>
      <c r="CW306" s="297"/>
      <c r="CX306" s="297"/>
      <c r="CY306" s="852"/>
      <c r="CZ306" s="852"/>
      <c r="DA306" s="852"/>
      <c r="DB306" s="852"/>
      <c r="DC306" s="852"/>
      <c r="DD306" s="852"/>
      <c r="DE306" s="852"/>
      <c r="DF306" s="852"/>
      <c r="DG306" s="852"/>
      <c r="DH306" s="852"/>
      <c r="DI306" s="852"/>
      <c r="DJ306" s="852"/>
      <c r="DK306" s="852"/>
      <c r="DL306" s="177"/>
      <c r="DM306" s="177"/>
    </row>
    <row r="307" spans="5:117" s="176" customFormat="1" x14ac:dyDescent="0.2"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57"/>
      <c r="S307" s="1094"/>
      <c r="CV307" s="297"/>
      <c r="CW307" s="297"/>
      <c r="CX307" s="297"/>
      <c r="CY307" s="852"/>
      <c r="CZ307" s="852"/>
      <c r="DA307" s="852"/>
      <c r="DB307" s="852"/>
      <c r="DC307" s="852"/>
      <c r="DD307" s="852"/>
      <c r="DE307" s="852"/>
      <c r="DF307" s="852"/>
      <c r="DG307" s="852"/>
      <c r="DH307" s="852"/>
      <c r="DI307" s="852"/>
      <c r="DJ307" s="852"/>
      <c r="DK307" s="852"/>
      <c r="DL307" s="177"/>
      <c r="DM307" s="177"/>
    </row>
    <row r="308" spans="5:117" s="176" customFormat="1" x14ac:dyDescent="0.2"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57"/>
      <c r="S308" s="1094"/>
      <c r="CV308" s="297"/>
      <c r="CW308" s="297"/>
      <c r="CX308" s="297"/>
      <c r="CY308" s="852"/>
      <c r="CZ308" s="852"/>
      <c r="DA308" s="852"/>
      <c r="DB308" s="852"/>
      <c r="DC308" s="852"/>
      <c r="DD308" s="852"/>
      <c r="DE308" s="852"/>
      <c r="DF308" s="852"/>
      <c r="DG308" s="852"/>
      <c r="DH308" s="852"/>
      <c r="DI308" s="852"/>
      <c r="DJ308" s="852"/>
      <c r="DK308" s="852"/>
      <c r="DL308" s="177"/>
      <c r="DM308" s="177"/>
    </row>
    <row r="309" spans="5:117" s="176" customFormat="1" x14ac:dyDescent="0.2"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57"/>
      <c r="S309" s="1094"/>
      <c r="CV309" s="297"/>
      <c r="CW309" s="297"/>
      <c r="CX309" s="297"/>
      <c r="CY309" s="852"/>
      <c r="CZ309" s="852"/>
      <c r="DA309" s="852"/>
      <c r="DB309" s="852"/>
      <c r="DC309" s="852"/>
      <c r="DD309" s="852"/>
      <c r="DE309" s="852"/>
      <c r="DF309" s="852"/>
      <c r="DG309" s="852"/>
      <c r="DH309" s="852"/>
      <c r="DI309" s="852"/>
      <c r="DJ309" s="852"/>
      <c r="DK309" s="852"/>
      <c r="DL309" s="177"/>
      <c r="DM309" s="177"/>
    </row>
    <row r="310" spans="5:117" s="176" customFormat="1" x14ac:dyDescent="0.2"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57"/>
      <c r="S310" s="1094"/>
      <c r="CV310" s="297"/>
      <c r="CW310" s="297"/>
      <c r="CX310" s="297"/>
      <c r="CY310" s="852"/>
      <c r="CZ310" s="852"/>
      <c r="DA310" s="852"/>
      <c r="DB310" s="852"/>
      <c r="DC310" s="852"/>
      <c r="DD310" s="852"/>
      <c r="DE310" s="852"/>
      <c r="DF310" s="852"/>
      <c r="DG310" s="852"/>
      <c r="DH310" s="852"/>
      <c r="DI310" s="852"/>
      <c r="DJ310" s="852"/>
      <c r="DK310" s="852"/>
      <c r="DL310" s="177"/>
      <c r="DM310" s="177"/>
    </row>
    <row r="311" spans="5:117" s="176" customFormat="1" x14ac:dyDescent="0.2"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57"/>
      <c r="S311" s="1094"/>
      <c r="CV311" s="297"/>
      <c r="CW311" s="297"/>
      <c r="CX311" s="297"/>
      <c r="CY311" s="852"/>
      <c r="CZ311" s="852"/>
      <c r="DA311" s="852"/>
      <c r="DB311" s="852"/>
      <c r="DC311" s="852"/>
      <c r="DD311" s="852"/>
      <c r="DE311" s="852"/>
      <c r="DF311" s="852"/>
      <c r="DG311" s="852"/>
      <c r="DH311" s="852"/>
      <c r="DI311" s="852"/>
      <c r="DJ311" s="852"/>
      <c r="DK311" s="852"/>
      <c r="DL311" s="177"/>
      <c r="DM311" s="177"/>
    </row>
    <row r="312" spans="5:117" s="176" customFormat="1" x14ac:dyDescent="0.2"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57"/>
      <c r="S312" s="1094"/>
      <c r="CV312" s="297"/>
      <c r="CW312" s="297"/>
      <c r="CX312" s="297"/>
      <c r="CY312" s="852"/>
      <c r="CZ312" s="852"/>
      <c r="DA312" s="852"/>
      <c r="DB312" s="852"/>
      <c r="DC312" s="852"/>
      <c r="DD312" s="852"/>
      <c r="DE312" s="852"/>
      <c r="DF312" s="852"/>
      <c r="DG312" s="852"/>
      <c r="DH312" s="852"/>
      <c r="DI312" s="852"/>
      <c r="DJ312" s="852"/>
      <c r="DK312" s="852"/>
      <c r="DL312" s="177"/>
      <c r="DM312" s="177"/>
    </row>
    <row r="313" spans="5:117" s="176" customFormat="1" x14ac:dyDescent="0.2"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57"/>
      <c r="S313" s="1094"/>
      <c r="CV313" s="297"/>
      <c r="CW313" s="297"/>
      <c r="CX313" s="297"/>
      <c r="CY313" s="852"/>
      <c r="CZ313" s="852"/>
      <c r="DA313" s="852"/>
      <c r="DB313" s="852"/>
      <c r="DC313" s="852"/>
      <c r="DD313" s="852"/>
      <c r="DE313" s="852"/>
      <c r="DF313" s="852"/>
      <c r="DG313" s="852"/>
      <c r="DH313" s="852"/>
      <c r="DI313" s="852"/>
      <c r="DJ313" s="852"/>
      <c r="DK313" s="852"/>
      <c r="DL313" s="177"/>
      <c r="DM313" s="177"/>
    </row>
    <row r="314" spans="5:117" s="176" customFormat="1" x14ac:dyDescent="0.2"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57"/>
      <c r="S314" s="1094"/>
      <c r="CV314" s="297"/>
      <c r="CW314" s="297"/>
      <c r="CX314" s="297"/>
      <c r="CY314" s="852"/>
      <c r="CZ314" s="852"/>
      <c r="DA314" s="852"/>
      <c r="DB314" s="852"/>
      <c r="DC314" s="852"/>
      <c r="DD314" s="852"/>
      <c r="DE314" s="852"/>
      <c r="DF314" s="852"/>
      <c r="DG314" s="852"/>
      <c r="DH314" s="852"/>
      <c r="DI314" s="852"/>
      <c r="DJ314" s="852"/>
      <c r="DK314" s="852"/>
      <c r="DL314" s="177"/>
      <c r="DM314" s="177"/>
    </row>
    <row r="315" spans="5:117" s="176" customFormat="1" x14ac:dyDescent="0.2"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57"/>
      <c r="S315" s="1094"/>
      <c r="CV315" s="297"/>
      <c r="CW315" s="297"/>
      <c r="CX315" s="297"/>
      <c r="CY315" s="852"/>
      <c r="CZ315" s="852"/>
      <c r="DA315" s="852"/>
      <c r="DB315" s="852"/>
      <c r="DC315" s="852"/>
      <c r="DD315" s="852"/>
      <c r="DE315" s="852"/>
      <c r="DF315" s="852"/>
      <c r="DG315" s="852"/>
      <c r="DH315" s="852"/>
      <c r="DI315" s="852"/>
      <c r="DJ315" s="852"/>
      <c r="DK315" s="852"/>
      <c r="DL315" s="177"/>
      <c r="DM315" s="177"/>
    </row>
    <row r="316" spans="5:117" s="176" customFormat="1" x14ac:dyDescent="0.2"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57"/>
      <c r="S316" s="1094"/>
      <c r="CV316" s="297"/>
      <c r="CW316" s="297"/>
      <c r="CX316" s="297"/>
      <c r="CY316" s="852"/>
      <c r="CZ316" s="852"/>
      <c r="DA316" s="852"/>
      <c r="DB316" s="852"/>
      <c r="DC316" s="852"/>
      <c r="DD316" s="852"/>
      <c r="DE316" s="852"/>
      <c r="DF316" s="852"/>
      <c r="DG316" s="852"/>
      <c r="DH316" s="852"/>
      <c r="DI316" s="852"/>
      <c r="DJ316" s="852"/>
      <c r="DK316" s="852"/>
      <c r="DL316" s="177"/>
      <c r="DM316" s="177"/>
    </row>
    <row r="317" spans="5:117" s="176" customFormat="1" x14ac:dyDescent="0.2"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57"/>
      <c r="S317" s="1094"/>
      <c r="CV317" s="297"/>
      <c r="CW317" s="297"/>
      <c r="CX317" s="297"/>
      <c r="CY317" s="852"/>
      <c r="CZ317" s="852"/>
      <c r="DA317" s="852"/>
      <c r="DB317" s="852"/>
      <c r="DC317" s="852"/>
      <c r="DD317" s="852"/>
      <c r="DE317" s="852"/>
      <c r="DF317" s="852"/>
      <c r="DG317" s="852"/>
      <c r="DH317" s="852"/>
      <c r="DI317" s="852"/>
      <c r="DJ317" s="852"/>
      <c r="DK317" s="852"/>
      <c r="DL317" s="177"/>
      <c r="DM317" s="177"/>
    </row>
    <row r="318" spans="5:117" s="176" customFormat="1" x14ac:dyDescent="0.2"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57"/>
      <c r="S318" s="1094"/>
      <c r="CV318" s="297"/>
      <c r="CW318" s="297"/>
      <c r="CX318" s="297"/>
      <c r="CY318" s="852"/>
      <c r="CZ318" s="852"/>
      <c r="DA318" s="852"/>
      <c r="DB318" s="852"/>
      <c r="DC318" s="852"/>
      <c r="DD318" s="852"/>
      <c r="DE318" s="852"/>
      <c r="DF318" s="852"/>
      <c r="DG318" s="852"/>
      <c r="DH318" s="852"/>
      <c r="DI318" s="852"/>
      <c r="DJ318" s="852"/>
      <c r="DK318" s="852"/>
      <c r="DL318" s="177"/>
      <c r="DM318" s="177"/>
    </row>
    <row r="319" spans="5:117" s="176" customFormat="1" x14ac:dyDescent="0.2"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57"/>
      <c r="S319" s="1094"/>
      <c r="CV319" s="297"/>
      <c r="CW319" s="297"/>
      <c r="CX319" s="297"/>
      <c r="CY319" s="852"/>
      <c r="CZ319" s="852"/>
      <c r="DA319" s="852"/>
      <c r="DB319" s="852"/>
      <c r="DC319" s="852"/>
      <c r="DD319" s="852"/>
      <c r="DE319" s="852"/>
      <c r="DF319" s="852"/>
      <c r="DG319" s="852"/>
      <c r="DH319" s="852"/>
      <c r="DI319" s="852"/>
      <c r="DJ319" s="852"/>
      <c r="DK319" s="852"/>
      <c r="DL319" s="177"/>
      <c r="DM319" s="177"/>
    </row>
    <row r="320" spans="5:117" s="176" customFormat="1" x14ac:dyDescent="0.2"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57"/>
      <c r="S320" s="1094"/>
      <c r="CV320" s="297"/>
      <c r="CW320" s="297"/>
      <c r="CX320" s="297"/>
      <c r="CY320" s="852"/>
      <c r="CZ320" s="852"/>
      <c r="DA320" s="852"/>
      <c r="DB320" s="852"/>
      <c r="DC320" s="852"/>
      <c r="DD320" s="852"/>
      <c r="DE320" s="852"/>
      <c r="DF320" s="852"/>
      <c r="DG320" s="852"/>
      <c r="DH320" s="852"/>
      <c r="DI320" s="852"/>
      <c r="DJ320" s="852"/>
      <c r="DK320" s="852"/>
      <c r="DL320" s="177"/>
      <c r="DM320" s="177"/>
    </row>
    <row r="321" spans="5:117" s="176" customFormat="1" x14ac:dyDescent="0.2"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57"/>
      <c r="S321" s="1094"/>
      <c r="CV321" s="297"/>
      <c r="CW321" s="297"/>
      <c r="CX321" s="297"/>
      <c r="CY321" s="852"/>
      <c r="CZ321" s="852"/>
      <c r="DA321" s="852"/>
      <c r="DB321" s="852"/>
      <c r="DC321" s="852"/>
      <c r="DD321" s="852"/>
      <c r="DE321" s="852"/>
      <c r="DF321" s="852"/>
      <c r="DG321" s="852"/>
      <c r="DH321" s="852"/>
      <c r="DI321" s="852"/>
      <c r="DJ321" s="852"/>
      <c r="DK321" s="852"/>
      <c r="DL321" s="177"/>
      <c r="DM321" s="177"/>
    </row>
    <row r="322" spans="5:117" s="176" customFormat="1" x14ac:dyDescent="0.2"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57"/>
      <c r="S322" s="1094"/>
      <c r="CV322" s="297"/>
      <c r="CW322" s="297"/>
      <c r="CX322" s="297"/>
      <c r="CY322" s="852"/>
      <c r="CZ322" s="852"/>
      <c r="DA322" s="852"/>
      <c r="DB322" s="852"/>
      <c r="DC322" s="852"/>
      <c r="DD322" s="852"/>
      <c r="DE322" s="852"/>
      <c r="DF322" s="852"/>
      <c r="DG322" s="852"/>
      <c r="DH322" s="852"/>
      <c r="DI322" s="852"/>
      <c r="DJ322" s="852"/>
      <c r="DK322" s="852"/>
      <c r="DL322" s="177"/>
      <c r="DM322" s="177"/>
    </row>
    <row r="323" spans="5:117" s="176" customFormat="1" x14ac:dyDescent="0.2"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57"/>
      <c r="S323" s="1094"/>
      <c r="CV323" s="297"/>
      <c r="CW323" s="297"/>
      <c r="CX323" s="297"/>
      <c r="CY323" s="852"/>
      <c r="CZ323" s="852"/>
      <c r="DA323" s="852"/>
      <c r="DB323" s="852"/>
      <c r="DC323" s="852"/>
      <c r="DD323" s="852"/>
      <c r="DE323" s="852"/>
      <c r="DF323" s="852"/>
      <c r="DG323" s="852"/>
      <c r="DH323" s="852"/>
      <c r="DI323" s="852"/>
      <c r="DJ323" s="852"/>
      <c r="DK323" s="852"/>
      <c r="DL323" s="177"/>
      <c r="DM323" s="177"/>
    </row>
    <row r="324" spans="5:117" s="176" customFormat="1" x14ac:dyDescent="0.2"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57"/>
      <c r="S324" s="1094"/>
      <c r="CV324" s="297"/>
      <c r="CW324" s="297"/>
      <c r="CX324" s="297"/>
      <c r="CY324" s="852"/>
      <c r="CZ324" s="852"/>
      <c r="DA324" s="852"/>
      <c r="DB324" s="852"/>
      <c r="DC324" s="852"/>
      <c r="DD324" s="852"/>
      <c r="DE324" s="852"/>
      <c r="DF324" s="852"/>
      <c r="DG324" s="852"/>
      <c r="DH324" s="852"/>
      <c r="DI324" s="852"/>
      <c r="DJ324" s="852"/>
      <c r="DK324" s="852"/>
      <c r="DL324" s="177"/>
      <c r="DM324" s="177"/>
    </row>
    <row r="325" spans="5:117" s="176" customFormat="1" x14ac:dyDescent="0.2"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57"/>
      <c r="S325" s="1094"/>
      <c r="CV325" s="297"/>
      <c r="CW325" s="297"/>
      <c r="CX325" s="297"/>
      <c r="CY325" s="852"/>
      <c r="CZ325" s="852"/>
      <c r="DA325" s="852"/>
      <c r="DB325" s="852"/>
      <c r="DC325" s="852"/>
      <c r="DD325" s="852"/>
      <c r="DE325" s="852"/>
      <c r="DF325" s="852"/>
      <c r="DG325" s="852"/>
      <c r="DH325" s="852"/>
      <c r="DI325" s="852"/>
      <c r="DJ325" s="852"/>
      <c r="DK325" s="852"/>
      <c r="DL325" s="177"/>
      <c r="DM325" s="177"/>
    </row>
    <row r="326" spans="5:117" s="176" customFormat="1" x14ac:dyDescent="0.2"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57"/>
      <c r="S326" s="1094"/>
      <c r="CV326" s="297"/>
      <c r="CW326" s="297"/>
      <c r="CX326" s="297"/>
      <c r="CY326" s="852"/>
      <c r="CZ326" s="852"/>
      <c r="DA326" s="852"/>
      <c r="DB326" s="852"/>
      <c r="DC326" s="852"/>
      <c r="DD326" s="852"/>
      <c r="DE326" s="852"/>
      <c r="DF326" s="852"/>
      <c r="DG326" s="852"/>
      <c r="DH326" s="852"/>
      <c r="DI326" s="852"/>
      <c r="DJ326" s="852"/>
      <c r="DK326" s="852"/>
      <c r="DL326" s="177"/>
      <c r="DM326" s="177"/>
    </row>
    <row r="327" spans="5:117" s="176" customFormat="1" x14ac:dyDescent="0.2"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57"/>
      <c r="S327" s="1094"/>
      <c r="CV327" s="297"/>
      <c r="CW327" s="297"/>
      <c r="CX327" s="297"/>
      <c r="CY327" s="852"/>
      <c r="CZ327" s="852"/>
      <c r="DA327" s="852"/>
      <c r="DB327" s="852"/>
      <c r="DC327" s="852"/>
      <c r="DD327" s="852"/>
      <c r="DE327" s="852"/>
      <c r="DF327" s="852"/>
      <c r="DG327" s="852"/>
      <c r="DH327" s="852"/>
      <c r="DI327" s="852"/>
      <c r="DJ327" s="852"/>
      <c r="DK327" s="852"/>
      <c r="DL327" s="177"/>
      <c r="DM327" s="177"/>
    </row>
    <row r="328" spans="5:117" s="176" customFormat="1" x14ac:dyDescent="0.2"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57"/>
      <c r="S328" s="1094"/>
      <c r="CV328" s="297"/>
      <c r="CW328" s="297"/>
      <c r="CX328" s="297"/>
      <c r="CY328" s="852"/>
      <c r="CZ328" s="852"/>
      <c r="DA328" s="852"/>
      <c r="DB328" s="852"/>
      <c r="DC328" s="852"/>
      <c r="DD328" s="852"/>
      <c r="DE328" s="852"/>
      <c r="DF328" s="852"/>
      <c r="DG328" s="852"/>
      <c r="DH328" s="852"/>
      <c r="DI328" s="852"/>
      <c r="DJ328" s="852"/>
      <c r="DK328" s="852"/>
      <c r="DL328" s="177"/>
      <c r="DM328" s="177"/>
    </row>
    <row r="329" spans="5:117" s="176" customFormat="1" x14ac:dyDescent="0.2"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57"/>
      <c r="S329" s="1094"/>
      <c r="CV329" s="297"/>
      <c r="CW329" s="297"/>
      <c r="CX329" s="297"/>
      <c r="CY329" s="852"/>
      <c r="CZ329" s="852"/>
      <c r="DA329" s="852"/>
      <c r="DB329" s="852"/>
      <c r="DC329" s="852"/>
      <c r="DD329" s="852"/>
      <c r="DE329" s="852"/>
      <c r="DF329" s="852"/>
      <c r="DG329" s="852"/>
      <c r="DH329" s="852"/>
      <c r="DI329" s="852"/>
      <c r="DJ329" s="852"/>
      <c r="DK329" s="852"/>
      <c r="DL329" s="177"/>
      <c r="DM329" s="177"/>
    </row>
    <row r="330" spans="5:117" s="176" customFormat="1" x14ac:dyDescent="0.2"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57"/>
      <c r="S330" s="1094"/>
      <c r="CV330" s="297"/>
      <c r="CW330" s="297"/>
      <c r="CX330" s="297"/>
      <c r="CY330" s="852"/>
      <c r="CZ330" s="852"/>
      <c r="DA330" s="852"/>
      <c r="DB330" s="852"/>
      <c r="DC330" s="852"/>
      <c r="DD330" s="852"/>
      <c r="DE330" s="852"/>
      <c r="DF330" s="852"/>
      <c r="DG330" s="852"/>
      <c r="DH330" s="852"/>
      <c r="DI330" s="852"/>
      <c r="DJ330" s="852"/>
      <c r="DK330" s="852"/>
      <c r="DL330" s="177"/>
      <c r="DM330" s="177"/>
    </row>
    <row r="331" spans="5:117" s="176" customFormat="1" x14ac:dyDescent="0.2"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57"/>
      <c r="S331" s="1094"/>
      <c r="CV331" s="297"/>
      <c r="CW331" s="297"/>
      <c r="CX331" s="297"/>
      <c r="CY331" s="852"/>
      <c r="CZ331" s="852"/>
      <c r="DA331" s="852"/>
      <c r="DB331" s="852"/>
      <c r="DC331" s="852"/>
      <c r="DD331" s="852"/>
      <c r="DE331" s="852"/>
      <c r="DF331" s="852"/>
      <c r="DG331" s="852"/>
      <c r="DH331" s="852"/>
      <c r="DI331" s="852"/>
      <c r="DJ331" s="852"/>
      <c r="DK331" s="852"/>
      <c r="DL331" s="177"/>
      <c r="DM331" s="177"/>
    </row>
    <row r="332" spans="5:117" s="176" customFormat="1" x14ac:dyDescent="0.2"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57"/>
      <c r="S332" s="1094"/>
      <c r="CV332" s="297"/>
      <c r="CW332" s="297"/>
      <c r="CX332" s="297"/>
      <c r="CY332" s="852"/>
      <c r="CZ332" s="852"/>
      <c r="DA332" s="852"/>
      <c r="DB332" s="852"/>
      <c r="DC332" s="852"/>
      <c r="DD332" s="852"/>
      <c r="DE332" s="852"/>
      <c r="DF332" s="852"/>
      <c r="DG332" s="852"/>
      <c r="DH332" s="852"/>
      <c r="DI332" s="852"/>
      <c r="DJ332" s="852"/>
      <c r="DK332" s="852"/>
      <c r="DL332" s="177"/>
      <c r="DM332" s="177"/>
    </row>
    <row r="333" spans="5:117" s="176" customFormat="1" x14ac:dyDescent="0.2"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57"/>
      <c r="S333" s="1094"/>
      <c r="CV333" s="297"/>
      <c r="CW333" s="297"/>
      <c r="CX333" s="297"/>
      <c r="CY333" s="852"/>
      <c r="CZ333" s="852"/>
      <c r="DA333" s="852"/>
      <c r="DB333" s="852"/>
      <c r="DC333" s="852"/>
      <c r="DD333" s="852"/>
      <c r="DE333" s="852"/>
      <c r="DF333" s="852"/>
      <c r="DG333" s="852"/>
      <c r="DH333" s="852"/>
      <c r="DI333" s="852"/>
      <c r="DJ333" s="852"/>
      <c r="DK333" s="852"/>
      <c r="DL333" s="177"/>
      <c r="DM333" s="177"/>
    </row>
    <row r="334" spans="5:117" s="176" customFormat="1" x14ac:dyDescent="0.2"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57"/>
      <c r="S334" s="1094"/>
      <c r="CV334" s="297"/>
      <c r="CW334" s="297"/>
      <c r="CX334" s="297"/>
      <c r="CY334" s="852"/>
      <c r="CZ334" s="852"/>
      <c r="DA334" s="852"/>
      <c r="DB334" s="852"/>
      <c r="DC334" s="852"/>
      <c r="DD334" s="852"/>
      <c r="DE334" s="852"/>
      <c r="DF334" s="852"/>
      <c r="DG334" s="852"/>
      <c r="DH334" s="852"/>
      <c r="DI334" s="852"/>
      <c r="DJ334" s="852"/>
      <c r="DK334" s="852"/>
      <c r="DL334" s="177"/>
      <c r="DM334" s="177"/>
    </row>
    <row r="335" spans="5:117" s="176" customFormat="1" x14ac:dyDescent="0.2"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57"/>
      <c r="S335" s="1094"/>
      <c r="CV335" s="297"/>
      <c r="CW335" s="297"/>
      <c r="CX335" s="297"/>
      <c r="CY335" s="852"/>
      <c r="CZ335" s="852"/>
      <c r="DA335" s="852"/>
      <c r="DB335" s="852"/>
      <c r="DC335" s="852"/>
      <c r="DD335" s="852"/>
      <c r="DE335" s="852"/>
      <c r="DF335" s="852"/>
      <c r="DG335" s="852"/>
      <c r="DH335" s="852"/>
      <c r="DI335" s="852"/>
      <c r="DJ335" s="852"/>
      <c r="DK335" s="852"/>
      <c r="DL335" s="177"/>
      <c r="DM335" s="177"/>
    </row>
    <row r="336" spans="5:117" s="176" customFormat="1" x14ac:dyDescent="0.2"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57"/>
      <c r="S336" s="1094"/>
      <c r="CV336" s="297"/>
      <c r="CW336" s="297"/>
      <c r="CX336" s="297"/>
      <c r="CY336" s="852"/>
      <c r="CZ336" s="852"/>
      <c r="DA336" s="852"/>
      <c r="DB336" s="852"/>
      <c r="DC336" s="852"/>
      <c r="DD336" s="852"/>
      <c r="DE336" s="852"/>
      <c r="DF336" s="852"/>
      <c r="DG336" s="852"/>
      <c r="DH336" s="852"/>
      <c r="DI336" s="852"/>
      <c r="DJ336" s="852"/>
      <c r="DK336" s="852"/>
      <c r="DL336" s="177"/>
      <c r="DM336" s="177"/>
    </row>
    <row r="337" spans="5:117" s="176" customFormat="1" x14ac:dyDescent="0.2"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57"/>
      <c r="S337" s="1094"/>
      <c r="CV337" s="297"/>
      <c r="CW337" s="297"/>
      <c r="CX337" s="297"/>
      <c r="CY337" s="852"/>
      <c r="CZ337" s="852"/>
      <c r="DA337" s="852"/>
      <c r="DB337" s="852"/>
      <c r="DC337" s="852"/>
      <c r="DD337" s="852"/>
      <c r="DE337" s="852"/>
      <c r="DF337" s="852"/>
      <c r="DG337" s="852"/>
      <c r="DH337" s="852"/>
      <c r="DI337" s="852"/>
      <c r="DJ337" s="852"/>
      <c r="DK337" s="852"/>
      <c r="DL337" s="177"/>
      <c r="DM337" s="177"/>
    </row>
    <row r="338" spans="5:117" s="176" customFormat="1" x14ac:dyDescent="0.2"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57"/>
      <c r="S338" s="1094"/>
      <c r="CV338" s="297"/>
      <c r="CW338" s="297"/>
      <c r="CX338" s="297"/>
      <c r="CY338" s="852"/>
      <c r="CZ338" s="852"/>
      <c r="DA338" s="852"/>
      <c r="DB338" s="852"/>
      <c r="DC338" s="852"/>
      <c r="DD338" s="852"/>
      <c r="DE338" s="852"/>
      <c r="DF338" s="852"/>
      <c r="DG338" s="852"/>
      <c r="DH338" s="852"/>
      <c r="DI338" s="852"/>
      <c r="DJ338" s="852"/>
      <c r="DK338" s="852"/>
      <c r="DL338" s="177"/>
      <c r="DM338" s="177"/>
    </row>
    <row r="339" spans="5:117" s="176" customFormat="1" x14ac:dyDescent="0.2"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57"/>
      <c r="S339" s="1094"/>
      <c r="CV339" s="297"/>
      <c r="CW339" s="297"/>
      <c r="CX339" s="297"/>
      <c r="CY339" s="852"/>
      <c r="CZ339" s="852"/>
      <c r="DA339" s="852"/>
      <c r="DB339" s="852"/>
      <c r="DC339" s="852"/>
      <c r="DD339" s="852"/>
      <c r="DE339" s="852"/>
      <c r="DF339" s="852"/>
      <c r="DG339" s="852"/>
      <c r="DH339" s="852"/>
      <c r="DI339" s="852"/>
      <c r="DJ339" s="852"/>
      <c r="DK339" s="852"/>
      <c r="DL339" s="177"/>
      <c r="DM339" s="177"/>
    </row>
    <row r="340" spans="5:117" s="176" customFormat="1" x14ac:dyDescent="0.2"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57"/>
      <c r="S340" s="1094"/>
      <c r="CV340" s="297"/>
      <c r="CW340" s="297"/>
      <c r="CX340" s="297"/>
      <c r="CY340" s="852"/>
      <c r="CZ340" s="852"/>
      <c r="DA340" s="852"/>
      <c r="DB340" s="852"/>
      <c r="DC340" s="852"/>
      <c r="DD340" s="852"/>
      <c r="DE340" s="852"/>
      <c r="DF340" s="852"/>
      <c r="DG340" s="852"/>
      <c r="DH340" s="852"/>
      <c r="DI340" s="852"/>
      <c r="DJ340" s="852"/>
      <c r="DK340" s="852"/>
      <c r="DL340" s="177"/>
      <c r="DM340" s="177"/>
    </row>
    <row r="341" spans="5:117" s="176" customFormat="1" x14ac:dyDescent="0.2"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57"/>
      <c r="S341" s="1094"/>
      <c r="CV341" s="297"/>
      <c r="CW341" s="297"/>
      <c r="CX341" s="297"/>
      <c r="CY341" s="852"/>
      <c r="CZ341" s="852"/>
      <c r="DA341" s="852"/>
      <c r="DB341" s="852"/>
      <c r="DC341" s="852"/>
      <c r="DD341" s="852"/>
      <c r="DE341" s="852"/>
      <c r="DF341" s="852"/>
      <c r="DG341" s="852"/>
      <c r="DH341" s="852"/>
      <c r="DI341" s="852"/>
      <c r="DJ341" s="852"/>
      <c r="DK341" s="852"/>
      <c r="DL341" s="177"/>
      <c r="DM341" s="177"/>
    </row>
    <row r="342" spans="5:117" s="176" customFormat="1" x14ac:dyDescent="0.2"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57"/>
      <c r="S342" s="1094"/>
      <c r="CV342" s="297"/>
      <c r="CW342" s="297"/>
      <c r="CX342" s="297"/>
      <c r="CY342" s="852"/>
      <c r="CZ342" s="852"/>
      <c r="DA342" s="852"/>
      <c r="DB342" s="852"/>
      <c r="DC342" s="852"/>
      <c r="DD342" s="852"/>
      <c r="DE342" s="852"/>
      <c r="DF342" s="852"/>
      <c r="DG342" s="852"/>
      <c r="DH342" s="852"/>
      <c r="DI342" s="852"/>
      <c r="DJ342" s="852"/>
      <c r="DK342" s="852"/>
      <c r="DL342" s="177"/>
      <c r="DM342" s="177"/>
    </row>
    <row r="343" spans="5:117" s="176" customFormat="1" x14ac:dyDescent="0.2"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57"/>
      <c r="S343" s="1094"/>
      <c r="CV343" s="297"/>
      <c r="CW343" s="297"/>
      <c r="CX343" s="297"/>
      <c r="CY343" s="852"/>
      <c r="CZ343" s="852"/>
      <c r="DA343" s="852"/>
      <c r="DB343" s="852"/>
      <c r="DC343" s="852"/>
      <c r="DD343" s="852"/>
      <c r="DE343" s="852"/>
      <c r="DF343" s="852"/>
      <c r="DG343" s="852"/>
      <c r="DH343" s="852"/>
      <c r="DI343" s="852"/>
      <c r="DJ343" s="852"/>
      <c r="DK343" s="852"/>
      <c r="DL343" s="177"/>
      <c r="DM343" s="177"/>
    </row>
    <row r="344" spans="5:117" s="176" customFormat="1" x14ac:dyDescent="0.2"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57"/>
      <c r="S344" s="1094"/>
      <c r="CV344" s="297"/>
      <c r="CW344" s="297"/>
      <c r="CX344" s="297"/>
      <c r="CY344" s="852"/>
      <c r="CZ344" s="852"/>
      <c r="DA344" s="852"/>
      <c r="DB344" s="852"/>
      <c r="DC344" s="852"/>
      <c r="DD344" s="852"/>
      <c r="DE344" s="852"/>
      <c r="DF344" s="852"/>
      <c r="DG344" s="852"/>
      <c r="DH344" s="852"/>
      <c r="DI344" s="852"/>
      <c r="DJ344" s="852"/>
      <c r="DK344" s="852"/>
      <c r="DL344" s="177"/>
      <c r="DM344" s="177"/>
    </row>
    <row r="345" spans="5:117" s="176" customFormat="1" x14ac:dyDescent="0.2"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57"/>
      <c r="S345" s="1094"/>
      <c r="CV345" s="297"/>
      <c r="CW345" s="297"/>
      <c r="CX345" s="297"/>
      <c r="CY345" s="852"/>
      <c r="CZ345" s="852"/>
      <c r="DA345" s="852"/>
      <c r="DB345" s="852"/>
      <c r="DC345" s="852"/>
      <c r="DD345" s="852"/>
      <c r="DE345" s="852"/>
      <c r="DF345" s="852"/>
      <c r="DG345" s="852"/>
      <c r="DH345" s="852"/>
      <c r="DI345" s="852"/>
      <c r="DJ345" s="852"/>
      <c r="DK345" s="852"/>
      <c r="DL345" s="177"/>
      <c r="DM345" s="177"/>
    </row>
    <row r="346" spans="5:117" s="176" customFormat="1" x14ac:dyDescent="0.2"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57"/>
      <c r="S346" s="1094"/>
      <c r="CV346" s="297"/>
      <c r="CW346" s="297"/>
      <c r="CX346" s="297"/>
      <c r="CY346" s="852"/>
      <c r="CZ346" s="852"/>
      <c r="DA346" s="852"/>
      <c r="DB346" s="852"/>
      <c r="DC346" s="852"/>
      <c r="DD346" s="852"/>
      <c r="DE346" s="852"/>
      <c r="DF346" s="852"/>
      <c r="DG346" s="852"/>
      <c r="DH346" s="852"/>
      <c r="DI346" s="852"/>
      <c r="DJ346" s="852"/>
      <c r="DK346" s="852"/>
      <c r="DL346" s="177"/>
      <c r="DM346" s="177"/>
    </row>
    <row r="347" spans="5:117" s="176" customFormat="1" x14ac:dyDescent="0.2"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57"/>
      <c r="S347" s="1094"/>
      <c r="CV347" s="297"/>
      <c r="CW347" s="297"/>
      <c r="CX347" s="297"/>
      <c r="CY347" s="852"/>
      <c r="CZ347" s="852"/>
      <c r="DA347" s="852"/>
      <c r="DB347" s="852"/>
      <c r="DC347" s="852"/>
      <c r="DD347" s="852"/>
      <c r="DE347" s="852"/>
      <c r="DF347" s="852"/>
      <c r="DG347" s="852"/>
      <c r="DH347" s="852"/>
      <c r="DI347" s="852"/>
      <c r="DJ347" s="852"/>
      <c r="DK347" s="852"/>
      <c r="DL347" s="177"/>
      <c r="DM347" s="177"/>
    </row>
    <row r="348" spans="5:117" s="176" customFormat="1" x14ac:dyDescent="0.2"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57"/>
      <c r="S348" s="1094"/>
      <c r="CV348" s="297"/>
      <c r="CW348" s="297"/>
      <c r="CX348" s="297"/>
      <c r="CY348" s="852"/>
      <c r="CZ348" s="852"/>
      <c r="DA348" s="852"/>
      <c r="DB348" s="852"/>
      <c r="DC348" s="852"/>
      <c r="DD348" s="852"/>
      <c r="DE348" s="852"/>
      <c r="DF348" s="852"/>
      <c r="DG348" s="852"/>
      <c r="DH348" s="852"/>
      <c r="DI348" s="852"/>
      <c r="DJ348" s="852"/>
      <c r="DK348" s="852"/>
      <c r="DL348" s="177"/>
      <c r="DM348" s="177"/>
    </row>
    <row r="349" spans="5:117" s="176" customFormat="1" x14ac:dyDescent="0.2"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57"/>
      <c r="S349" s="1094"/>
      <c r="CV349" s="297"/>
      <c r="CW349" s="297"/>
      <c r="CX349" s="297"/>
      <c r="CY349" s="852"/>
      <c r="CZ349" s="852"/>
      <c r="DA349" s="852"/>
      <c r="DB349" s="852"/>
      <c r="DC349" s="852"/>
      <c r="DD349" s="852"/>
      <c r="DE349" s="852"/>
      <c r="DF349" s="852"/>
      <c r="DG349" s="852"/>
      <c r="DH349" s="852"/>
      <c r="DI349" s="852"/>
      <c r="DJ349" s="852"/>
      <c r="DK349" s="852"/>
      <c r="DL349" s="177"/>
      <c r="DM349" s="177"/>
    </row>
    <row r="350" spans="5:117" s="176" customFormat="1" x14ac:dyDescent="0.2"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57"/>
      <c r="S350" s="1094"/>
      <c r="CV350" s="297"/>
      <c r="CW350" s="297"/>
      <c r="CX350" s="297"/>
      <c r="CY350" s="852"/>
      <c r="CZ350" s="852"/>
      <c r="DA350" s="852"/>
      <c r="DB350" s="852"/>
      <c r="DC350" s="852"/>
      <c r="DD350" s="852"/>
      <c r="DE350" s="852"/>
      <c r="DF350" s="852"/>
      <c r="DG350" s="852"/>
      <c r="DH350" s="852"/>
      <c r="DI350" s="852"/>
      <c r="DJ350" s="852"/>
      <c r="DK350" s="852"/>
      <c r="DL350" s="177"/>
      <c r="DM350" s="177"/>
    </row>
    <row r="351" spans="5:117" s="176" customFormat="1" x14ac:dyDescent="0.2"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57"/>
      <c r="S351" s="1094"/>
      <c r="CV351" s="297"/>
      <c r="CW351" s="297"/>
      <c r="CX351" s="297"/>
      <c r="CY351" s="852"/>
      <c r="CZ351" s="852"/>
      <c r="DA351" s="852"/>
      <c r="DB351" s="852"/>
      <c r="DC351" s="852"/>
      <c r="DD351" s="852"/>
      <c r="DE351" s="852"/>
      <c r="DF351" s="852"/>
      <c r="DG351" s="852"/>
      <c r="DH351" s="852"/>
      <c r="DI351" s="852"/>
      <c r="DJ351" s="852"/>
      <c r="DK351" s="852"/>
      <c r="DL351" s="177"/>
      <c r="DM351" s="177"/>
    </row>
    <row r="352" spans="5:117" s="176" customFormat="1" x14ac:dyDescent="0.2"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57"/>
      <c r="S352" s="1094"/>
      <c r="CV352" s="297"/>
      <c r="CW352" s="297"/>
      <c r="CX352" s="297"/>
      <c r="CY352" s="852"/>
      <c r="CZ352" s="852"/>
      <c r="DA352" s="852"/>
      <c r="DB352" s="852"/>
      <c r="DC352" s="852"/>
      <c r="DD352" s="852"/>
      <c r="DE352" s="852"/>
      <c r="DF352" s="852"/>
      <c r="DG352" s="852"/>
      <c r="DH352" s="852"/>
      <c r="DI352" s="852"/>
      <c r="DJ352" s="852"/>
      <c r="DK352" s="852"/>
      <c r="DL352" s="177"/>
      <c r="DM352" s="177"/>
    </row>
    <row r="353" spans="5:117" s="176" customFormat="1" x14ac:dyDescent="0.2"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57"/>
      <c r="S353" s="1094"/>
      <c r="CV353" s="297"/>
      <c r="CW353" s="297"/>
      <c r="CX353" s="297"/>
      <c r="CY353" s="852"/>
      <c r="CZ353" s="852"/>
      <c r="DA353" s="852"/>
      <c r="DB353" s="852"/>
      <c r="DC353" s="852"/>
      <c r="DD353" s="852"/>
      <c r="DE353" s="852"/>
      <c r="DF353" s="852"/>
      <c r="DG353" s="852"/>
      <c r="DH353" s="852"/>
      <c r="DI353" s="852"/>
      <c r="DJ353" s="852"/>
      <c r="DK353" s="852"/>
      <c r="DL353" s="177"/>
      <c r="DM353" s="177"/>
    </row>
    <row r="354" spans="5:117" s="176" customFormat="1" x14ac:dyDescent="0.2"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57"/>
      <c r="S354" s="1094"/>
      <c r="CV354" s="297"/>
      <c r="CW354" s="297"/>
      <c r="CX354" s="297"/>
      <c r="CY354" s="852"/>
      <c r="CZ354" s="852"/>
      <c r="DA354" s="852"/>
      <c r="DB354" s="852"/>
      <c r="DC354" s="852"/>
      <c r="DD354" s="852"/>
      <c r="DE354" s="852"/>
      <c r="DF354" s="852"/>
      <c r="DG354" s="852"/>
      <c r="DH354" s="852"/>
      <c r="DI354" s="852"/>
      <c r="DJ354" s="852"/>
      <c r="DK354" s="852"/>
      <c r="DL354" s="177"/>
      <c r="DM354" s="177"/>
    </row>
    <row r="355" spans="5:117" s="176" customFormat="1" x14ac:dyDescent="0.2"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57"/>
      <c r="S355" s="1094"/>
      <c r="CV355" s="297"/>
      <c r="CW355" s="297"/>
      <c r="CX355" s="297"/>
      <c r="CY355" s="852"/>
      <c r="CZ355" s="852"/>
      <c r="DA355" s="852"/>
      <c r="DB355" s="852"/>
      <c r="DC355" s="852"/>
      <c r="DD355" s="852"/>
      <c r="DE355" s="852"/>
      <c r="DF355" s="852"/>
      <c r="DG355" s="852"/>
      <c r="DH355" s="852"/>
      <c r="DI355" s="852"/>
      <c r="DJ355" s="852"/>
      <c r="DK355" s="852"/>
      <c r="DL355" s="177"/>
      <c r="DM355" s="177"/>
    </row>
    <row r="356" spans="5:117" s="176" customFormat="1" x14ac:dyDescent="0.2"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57"/>
      <c r="S356" s="1094"/>
      <c r="CV356" s="297"/>
      <c r="CW356" s="297"/>
      <c r="CX356" s="297"/>
      <c r="CY356" s="852"/>
      <c r="CZ356" s="852"/>
      <c r="DA356" s="852"/>
      <c r="DB356" s="852"/>
      <c r="DC356" s="852"/>
      <c r="DD356" s="852"/>
      <c r="DE356" s="852"/>
      <c r="DF356" s="852"/>
      <c r="DG356" s="852"/>
      <c r="DH356" s="852"/>
      <c r="DI356" s="852"/>
      <c r="DJ356" s="852"/>
      <c r="DK356" s="852"/>
      <c r="DL356" s="177"/>
      <c r="DM356" s="177"/>
    </row>
    <row r="357" spans="5:117" s="176" customFormat="1" x14ac:dyDescent="0.2"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57"/>
      <c r="S357" s="1094"/>
      <c r="CV357" s="297"/>
      <c r="CW357" s="297"/>
      <c r="CX357" s="297"/>
      <c r="CY357" s="852"/>
      <c r="CZ357" s="852"/>
      <c r="DA357" s="852"/>
      <c r="DB357" s="852"/>
      <c r="DC357" s="852"/>
      <c r="DD357" s="852"/>
      <c r="DE357" s="852"/>
      <c r="DF357" s="852"/>
      <c r="DG357" s="852"/>
      <c r="DH357" s="852"/>
      <c r="DI357" s="852"/>
      <c r="DJ357" s="852"/>
      <c r="DK357" s="852"/>
      <c r="DL357" s="177"/>
      <c r="DM357" s="177"/>
    </row>
    <row r="358" spans="5:117" s="176" customFormat="1" x14ac:dyDescent="0.2"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57"/>
      <c r="S358" s="1094"/>
      <c r="CV358" s="297"/>
      <c r="CW358" s="297"/>
      <c r="CX358" s="297"/>
      <c r="CY358" s="852"/>
      <c r="CZ358" s="852"/>
      <c r="DA358" s="852"/>
      <c r="DB358" s="852"/>
      <c r="DC358" s="852"/>
      <c r="DD358" s="852"/>
      <c r="DE358" s="852"/>
      <c r="DF358" s="852"/>
      <c r="DG358" s="852"/>
      <c r="DH358" s="852"/>
      <c r="DI358" s="852"/>
      <c r="DJ358" s="852"/>
      <c r="DK358" s="852"/>
      <c r="DL358" s="177"/>
      <c r="DM358" s="177"/>
    </row>
    <row r="359" spans="5:117" s="176" customFormat="1" x14ac:dyDescent="0.2"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57"/>
      <c r="S359" s="1094"/>
      <c r="CV359" s="297"/>
      <c r="CW359" s="297"/>
      <c r="CX359" s="297"/>
      <c r="CY359" s="852"/>
      <c r="CZ359" s="852"/>
      <c r="DA359" s="852"/>
      <c r="DB359" s="852"/>
      <c r="DC359" s="852"/>
      <c r="DD359" s="852"/>
      <c r="DE359" s="852"/>
      <c r="DF359" s="852"/>
      <c r="DG359" s="852"/>
      <c r="DH359" s="852"/>
      <c r="DI359" s="852"/>
      <c r="DJ359" s="852"/>
      <c r="DK359" s="852"/>
      <c r="DL359" s="177"/>
      <c r="DM359" s="177"/>
    </row>
    <row r="360" spans="5:117" s="176" customFormat="1" x14ac:dyDescent="0.2"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57"/>
      <c r="S360" s="1094"/>
      <c r="CV360" s="297"/>
      <c r="CW360" s="297"/>
      <c r="CX360" s="297"/>
      <c r="CY360" s="852"/>
      <c r="CZ360" s="852"/>
      <c r="DA360" s="852"/>
      <c r="DB360" s="852"/>
      <c r="DC360" s="852"/>
      <c r="DD360" s="852"/>
      <c r="DE360" s="852"/>
      <c r="DF360" s="852"/>
      <c r="DG360" s="852"/>
      <c r="DH360" s="852"/>
      <c r="DI360" s="852"/>
      <c r="DJ360" s="852"/>
      <c r="DK360" s="852"/>
      <c r="DL360" s="177"/>
      <c r="DM360" s="177"/>
    </row>
    <row r="361" spans="5:117" s="176" customFormat="1" x14ac:dyDescent="0.2"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57"/>
      <c r="S361" s="1094"/>
      <c r="CV361" s="297"/>
      <c r="CW361" s="297"/>
      <c r="CX361" s="297"/>
      <c r="CY361" s="852"/>
      <c r="CZ361" s="852"/>
      <c r="DA361" s="852"/>
      <c r="DB361" s="852"/>
      <c r="DC361" s="852"/>
      <c r="DD361" s="852"/>
      <c r="DE361" s="852"/>
      <c r="DF361" s="852"/>
      <c r="DG361" s="852"/>
      <c r="DH361" s="852"/>
      <c r="DI361" s="852"/>
      <c r="DJ361" s="852"/>
      <c r="DK361" s="852"/>
      <c r="DL361" s="177"/>
      <c r="DM361" s="177"/>
    </row>
    <row r="362" spans="5:117" s="176" customFormat="1" x14ac:dyDescent="0.2"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57"/>
      <c r="S362" s="1094"/>
      <c r="CV362" s="297"/>
      <c r="CW362" s="297"/>
      <c r="CX362" s="297"/>
      <c r="CY362" s="852"/>
      <c r="CZ362" s="852"/>
      <c r="DA362" s="852"/>
      <c r="DB362" s="852"/>
      <c r="DC362" s="852"/>
      <c r="DD362" s="852"/>
      <c r="DE362" s="852"/>
      <c r="DF362" s="852"/>
      <c r="DG362" s="852"/>
      <c r="DH362" s="852"/>
      <c r="DI362" s="852"/>
      <c r="DJ362" s="852"/>
      <c r="DK362" s="852"/>
      <c r="DL362" s="177"/>
      <c r="DM362" s="177"/>
    </row>
    <row r="363" spans="5:117" s="176" customFormat="1" x14ac:dyDescent="0.2"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57"/>
      <c r="S363" s="1094"/>
      <c r="CV363" s="297"/>
      <c r="CW363" s="297"/>
      <c r="CX363" s="297"/>
      <c r="CY363" s="852"/>
      <c r="CZ363" s="852"/>
      <c r="DA363" s="852"/>
      <c r="DB363" s="852"/>
      <c r="DC363" s="852"/>
      <c r="DD363" s="852"/>
      <c r="DE363" s="852"/>
      <c r="DF363" s="852"/>
      <c r="DG363" s="852"/>
      <c r="DH363" s="852"/>
      <c r="DI363" s="852"/>
      <c r="DJ363" s="852"/>
      <c r="DK363" s="852"/>
      <c r="DL363" s="177"/>
      <c r="DM363" s="177"/>
    </row>
    <row r="364" spans="5:117" s="176" customFormat="1" x14ac:dyDescent="0.2"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57"/>
      <c r="S364" s="1094"/>
      <c r="CV364" s="297"/>
      <c r="CW364" s="297"/>
      <c r="CX364" s="297"/>
      <c r="CY364" s="852"/>
      <c r="CZ364" s="852"/>
      <c r="DA364" s="852"/>
      <c r="DB364" s="852"/>
      <c r="DC364" s="852"/>
      <c r="DD364" s="852"/>
      <c r="DE364" s="852"/>
      <c r="DF364" s="852"/>
      <c r="DG364" s="852"/>
      <c r="DH364" s="852"/>
      <c r="DI364" s="852"/>
      <c r="DJ364" s="852"/>
      <c r="DK364" s="852"/>
      <c r="DL364" s="177"/>
      <c r="DM364" s="177"/>
    </row>
    <row r="365" spans="5:117" s="176" customFormat="1" x14ac:dyDescent="0.2"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57"/>
      <c r="S365" s="1094"/>
      <c r="CV365" s="297"/>
      <c r="CW365" s="297"/>
      <c r="CX365" s="297"/>
      <c r="CY365" s="852"/>
      <c r="CZ365" s="852"/>
      <c r="DA365" s="852"/>
      <c r="DB365" s="852"/>
      <c r="DC365" s="852"/>
      <c r="DD365" s="852"/>
      <c r="DE365" s="852"/>
      <c r="DF365" s="852"/>
      <c r="DG365" s="852"/>
      <c r="DH365" s="852"/>
      <c r="DI365" s="852"/>
      <c r="DJ365" s="852"/>
      <c r="DK365" s="852"/>
      <c r="DL365" s="177"/>
      <c r="DM365" s="177"/>
    </row>
    <row r="366" spans="5:117" s="176" customFormat="1" x14ac:dyDescent="0.2"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57"/>
      <c r="S366" s="1094"/>
      <c r="CV366" s="297"/>
      <c r="CW366" s="297"/>
      <c r="CX366" s="297"/>
      <c r="CY366" s="852"/>
      <c r="CZ366" s="852"/>
      <c r="DA366" s="852"/>
      <c r="DB366" s="852"/>
      <c r="DC366" s="852"/>
      <c r="DD366" s="852"/>
      <c r="DE366" s="852"/>
      <c r="DF366" s="852"/>
      <c r="DG366" s="852"/>
      <c r="DH366" s="852"/>
      <c r="DI366" s="852"/>
      <c r="DJ366" s="852"/>
      <c r="DK366" s="852"/>
      <c r="DL366" s="177"/>
      <c r="DM366" s="177"/>
    </row>
    <row r="367" spans="5:117" s="176" customFormat="1" x14ac:dyDescent="0.2"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57"/>
      <c r="S367" s="1094"/>
      <c r="CV367" s="297"/>
      <c r="CW367" s="297"/>
      <c r="CX367" s="297"/>
      <c r="CY367" s="852"/>
      <c r="CZ367" s="852"/>
      <c r="DA367" s="852"/>
      <c r="DB367" s="852"/>
      <c r="DC367" s="852"/>
      <c r="DD367" s="852"/>
      <c r="DE367" s="852"/>
      <c r="DF367" s="852"/>
      <c r="DG367" s="852"/>
      <c r="DH367" s="852"/>
      <c r="DI367" s="852"/>
      <c r="DJ367" s="852"/>
      <c r="DK367" s="852"/>
      <c r="DL367" s="177"/>
      <c r="DM367" s="177"/>
    </row>
    <row r="368" spans="5:117" s="176" customFormat="1" x14ac:dyDescent="0.2"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57"/>
      <c r="S368" s="1094"/>
      <c r="CV368" s="297"/>
      <c r="CW368" s="297"/>
      <c r="CX368" s="297"/>
      <c r="CY368" s="852"/>
      <c r="CZ368" s="852"/>
      <c r="DA368" s="852"/>
      <c r="DB368" s="852"/>
      <c r="DC368" s="852"/>
      <c r="DD368" s="852"/>
      <c r="DE368" s="852"/>
      <c r="DF368" s="852"/>
      <c r="DG368" s="852"/>
      <c r="DH368" s="852"/>
      <c r="DI368" s="852"/>
      <c r="DJ368" s="852"/>
      <c r="DK368" s="852"/>
      <c r="DL368" s="177"/>
      <c r="DM368" s="177"/>
    </row>
    <row r="369" spans="5:117" s="176" customFormat="1" x14ac:dyDescent="0.2"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57"/>
      <c r="S369" s="1094"/>
      <c r="CV369" s="297"/>
      <c r="CW369" s="297"/>
      <c r="CX369" s="297"/>
      <c r="CY369" s="852"/>
      <c r="CZ369" s="852"/>
      <c r="DA369" s="852"/>
      <c r="DB369" s="852"/>
      <c r="DC369" s="852"/>
      <c r="DD369" s="852"/>
      <c r="DE369" s="852"/>
      <c r="DF369" s="852"/>
      <c r="DG369" s="852"/>
      <c r="DH369" s="852"/>
      <c r="DI369" s="852"/>
      <c r="DJ369" s="852"/>
      <c r="DK369" s="852"/>
      <c r="DL369" s="177"/>
      <c r="DM369" s="177"/>
    </row>
    <row r="370" spans="5:117" s="176" customFormat="1" x14ac:dyDescent="0.2"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57"/>
      <c r="S370" s="1094"/>
      <c r="CV370" s="297"/>
      <c r="CW370" s="297"/>
      <c r="CX370" s="297"/>
      <c r="CY370" s="852"/>
      <c r="CZ370" s="852"/>
      <c r="DA370" s="852"/>
      <c r="DB370" s="852"/>
      <c r="DC370" s="852"/>
      <c r="DD370" s="852"/>
      <c r="DE370" s="852"/>
      <c r="DF370" s="852"/>
      <c r="DG370" s="852"/>
      <c r="DH370" s="852"/>
      <c r="DI370" s="852"/>
      <c r="DJ370" s="852"/>
      <c r="DK370" s="852"/>
      <c r="DL370" s="177"/>
      <c r="DM370" s="177"/>
    </row>
    <row r="371" spans="5:117" s="176" customFormat="1" x14ac:dyDescent="0.2"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57"/>
      <c r="S371" s="1094"/>
      <c r="CV371" s="297"/>
      <c r="CW371" s="297"/>
      <c r="CX371" s="297"/>
      <c r="CY371" s="852"/>
      <c r="CZ371" s="852"/>
      <c r="DA371" s="852"/>
      <c r="DB371" s="852"/>
      <c r="DC371" s="852"/>
      <c r="DD371" s="852"/>
      <c r="DE371" s="852"/>
      <c r="DF371" s="852"/>
      <c r="DG371" s="852"/>
      <c r="DH371" s="852"/>
      <c r="DI371" s="852"/>
      <c r="DJ371" s="852"/>
      <c r="DK371" s="852"/>
      <c r="DL371" s="177"/>
      <c r="DM371" s="177"/>
    </row>
    <row r="372" spans="5:117" s="176" customFormat="1" x14ac:dyDescent="0.2"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57"/>
      <c r="S372" s="1094"/>
      <c r="CV372" s="297"/>
      <c r="CW372" s="297"/>
      <c r="CX372" s="297"/>
      <c r="CY372" s="852"/>
      <c r="CZ372" s="852"/>
      <c r="DA372" s="852"/>
      <c r="DB372" s="852"/>
      <c r="DC372" s="852"/>
      <c r="DD372" s="852"/>
      <c r="DE372" s="852"/>
      <c r="DF372" s="852"/>
      <c r="DG372" s="852"/>
      <c r="DH372" s="852"/>
      <c r="DI372" s="852"/>
      <c r="DJ372" s="852"/>
      <c r="DK372" s="852"/>
      <c r="DL372" s="177"/>
      <c r="DM372" s="177"/>
    </row>
    <row r="373" spans="5:117" s="176" customFormat="1" x14ac:dyDescent="0.2"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57"/>
      <c r="S373" s="1094"/>
      <c r="CV373" s="297"/>
      <c r="CW373" s="297"/>
      <c r="CX373" s="297"/>
      <c r="CY373" s="852"/>
      <c r="CZ373" s="852"/>
      <c r="DA373" s="852"/>
      <c r="DB373" s="852"/>
      <c r="DC373" s="852"/>
      <c r="DD373" s="852"/>
      <c r="DE373" s="852"/>
      <c r="DF373" s="852"/>
      <c r="DG373" s="852"/>
      <c r="DH373" s="852"/>
      <c r="DI373" s="852"/>
      <c r="DJ373" s="852"/>
      <c r="DK373" s="852"/>
      <c r="DL373" s="177"/>
      <c r="DM373" s="177"/>
    </row>
    <row r="374" spans="5:117" s="176" customFormat="1" x14ac:dyDescent="0.2"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57"/>
      <c r="S374" s="1094"/>
      <c r="CV374" s="297"/>
      <c r="CW374" s="297"/>
      <c r="CX374" s="297"/>
      <c r="CY374" s="852"/>
      <c r="CZ374" s="852"/>
      <c r="DA374" s="852"/>
      <c r="DB374" s="852"/>
      <c r="DC374" s="852"/>
      <c r="DD374" s="852"/>
      <c r="DE374" s="852"/>
      <c r="DF374" s="852"/>
      <c r="DG374" s="852"/>
      <c r="DH374" s="852"/>
      <c r="DI374" s="852"/>
      <c r="DJ374" s="852"/>
      <c r="DK374" s="852"/>
      <c r="DL374" s="177"/>
      <c r="DM374" s="177"/>
    </row>
    <row r="375" spans="5:117" s="176" customFormat="1" x14ac:dyDescent="0.2"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57"/>
      <c r="S375" s="1094"/>
      <c r="CV375" s="297"/>
      <c r="CW375" s="297"/>
      <c r="CX375" s="297"/>
      <c r="CY375" s="852"/>
      <c r="CZ375" s="852"/>
      <c r="DA375" s="852"/>
      <c r="DB375" s="852"/>
      <c r="DC375" s="852"/>
      <c r="DD375" s="852"/>
      <c r="DE375" s="852"/>
      <c r="DF375" s="852"/>
      <c r="DG375" s="852"/>
      <c r="DH375" s="852"/>
      <c r="DI375" s="852"/>
      <c r="DJ375" s="852"/>
      <c r="DK375" s="852"/>
      <c r="DL375" s="177"/>
      <c r="DM375" s="177"/>
    </row>
    <row r="376" spans="5:117" s="176" customFormat="1" x14ac:dyDescent="0.2"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57"/>
      <c r="S376" s="1094"/>
      <c r="CV376" s="297"/>
      <c r="CW376" s="297"/>
      <c r="CX376" s="297"/>
      <c r="CY376" s="852"/>
      <c r="CZ376" s="852"/>
      <c r="DA376" s="852"/>
      <c r="DB376" s="852"/>
      <c r="DC376" s="852"/>
      <c r="DD376" s="852"/>
      <c r="DE376" s="852"/>
      <c r="DF376" s="852"/>
      <c r="DG376" s="852"/>
      <c r="DH376" s="852"/>
      <c r="DI376" s="852"/>
      <c r="DJ376" s="852"/>
      <c r="DK376" s="852"/>
      <c r="DL376" s="177"/>
      <c r="DM376" s="177"/>
    </row>
    <row r="377" spans="5:117" s="176" customFormat="1" x14ac:dyDescent="0.2"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57"/>
      <c r="S377" s="1094"/>
      <c r="CV377" s="297"/>
      <c r="CW377" s="297"/>
      <c r="CX377" s="297"/>
      <c r="CY377" s="852"/>
      <c r="CZ377" s="852"/>
      <c r="DA377" s="852"/>
      <c r="DB377" s="852"/>
      <c r="DC377" s="852"/>
      <c r="DD377" s="852"/>
      <c r="DE377" s="852"/>
      <c r="DF377" s="852"/>
      <c r="DG377" s="852"/>
      <c r="DH377" s="852"/>
      <c r="DI377" s="852"/>
      <c r="DJ377" s="852"/>
      <c r="DK377" s="852"/>
      <c r="DL377" s="177"/>
      <c r="DM377" s="177"/>
    </row>
    <row r="378" spans="5:117" s="176" customFormat="1" x14ac:dyDescent="0.2"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57"/>
      <c r="S378" s="1094"/>
      <c r="CV378" s="297"/>
      <c r="CW378" s="297"/>
      <c r="CX378" s="297"/>
      <c r="CY378" s="852"/>
      <c r="CZ378" s="852"/>
      <c r="DA378" s="852"/>
      <c r="DB378" s="852"/>
      <c r="DC378" s="852"/>
      <c r="DD378" s="852"/>
      <c r="DE378" s="852"/>
      <c r="DF378" s="852"/>
      <c r="DG378" s="852"/>
      <c r="DH378" s="852"/>
      <c r="DI378" s="852"/>
      <c r="DJ378" s="852"/>
      <c r="DK378" s="852"/>
      <c r="DL378" s="177"/>
      <c r="DM378" s="177"/>
    </row>
    <row r="379" spans="5:117" s="176" customFormat="1" x14ac:dyDescent="0.2"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57"/>
      <c r="S379" s="1094"/>
      <c r="CV379" s="297"/>
      <c r="CW379" s="297"/>
      <c r="CX379" s="297"/>
      <c r="CY379" s="852"/>
      <c r="CZ379" s="852"/>
      <c r="DA379" s="852"/>
      <c r="DB379" s="852"/>
      <c r="DC379" s="852"/>
      <c r="DD379" s="852"/>
      <c r="DE379" s="852"/>
      <c r="DF379" s="852"/>
      <c r="DG379" s="852"/>
      <c r="DH379" s="852"/>
      <c r="DI379" s="852"/>
      <c r="DJ379" s="852"/>
      <c r="DK379" s="852"/>
      <c r="DL379" s="177"/>
      <c r="DM379" s="177"/>
    </row>
    <row r="380" spans="5:117" s="176" customFormat="1" x14ac:dyDescent="0.2"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57"/>
      <c r="S380" s="1094"/>
      <c r="CV380" s="297"/>
      <c r="CW380" s="297"/>
      <c r="CX380" s="297"/>
      <c r="CY380" s="852"/>
      <c r="CZ380" s="852"/>
      <c r="DA380" s="852"/>
      <c r="DB380" s="852"/>
      <c r="DC380" s="852"/>
      <c r="DD380" s="852"/>
      <c r="DE380" s="852"/>
      <c r="DF380" s="852"/>
      <c r="DG380" s="852"/>
      <c r="DH380" s="852"/>
      <c r="DI380" s="852"/>
      <c r="DJ380" s="852"/>
      <c r="DK380" s="852"/>
      <c r="DL380" s="177"/>
      <c r="DM380" s="177"/>
    </row>
    <row r="381" spans="5:117" s="176" customFormat="1" x14ac:dyDescent="0.2"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57"/>
      <c r="S381" s="1094"/>
      <c r="CV381" s="297"/>
      <c r="CW381" s="297"/>
      <c r="CX381" s="297"/>
      <c r="CY381" s="852"/>
      <c r="CZ381" s="852"/>
      <c r="DA381" s="852"/>
      <c r="DB381" s="852"/>
      <c r="DC381" s="852"/>
      <c r="DD381" s="852"/>
      <c r="DE381" s="852"/>
      <c r="DF381" s="852"/>
      <c r="DG381" s="852"/>
      <c r="DH381" s="852"/>
      <c r="DI381" s="852"/>
      <c r="DJ381" s="852"/>
      <c r="DK381" s="852"/>
      <c r="DL381" s="177"/>
      <c r="DM381" s="177"/>
    </row>
    <row r="382" spans="5:117" s="176" customFormat="1" x14ac:dyDescent="0.2"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57"/>
      <c r="S382" s="1094"/>
      <c r="CV382" s="297"/>
      <c r="CW382" s="297"/>
      <c r="CX382" s="297"/>
      <c r="CY382" s="852"/>
      <c r="CZ382" s="852"/>
      <c r="DA382" s="852"/>
      <c r="DB382" s="852"/>
      <c r="DC382" s="852"/>
      <c r="DD382" s="852"/>
      <c r="DE382" s="852"/>
      <c r="DF382" s="852"/>
      <c r="DG382" s="852"/>
      <c r="DH382" s="852"/>
      <c r="DI382" s="852"/>
      <c r="DJ382" s="852"/>
      <c r="DK382" s="852"/>
      <c r="DL382" s="177"/>
      <c r="DM382" s="177"/>
    </row>
    <row r="383" spans="5:117" s="176" customFormat="1" x14ac:dyDescent="0.2"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57"/>
      <c r="S383" s="1094"/>
      <c r="CV383" s="297"/>
      <c r="CW383" s="297"/>
      <c r="CX383" s="297"/>
      <c r="CY383" s="852"/>
      <c r="CZ383" s="852"/>
      <c r="DA383" s="852"/>
      <c r="DB383" s="852"/>
      <c r="DC383" s="852"/>
      <c r="DD383" s="852"/>
      <c r="DE383" s="852"/>
      <c r="DF383" s="852"/>
      <c r="DG383" s="852"/>
      <c r="DH383" s="852"/>
      <c r="DI383" s="852"/>
      <c r="DJ383" s="852"/>
      <c r="DK383" s="852"/>
      <c r="DL383" s="177"/>
      <c r="DM383" s="177"/>
    </row>
    <row r="384" spans="5:117" s="176" customFormat="1" x14ac:dyDescent="0.2"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57"/>
      <c r="S384" s="1094"/>
      <c r="CV384" s="297"/>
      <c r="CW384" s="297"/>
      <c r="CX384" s="297"/>
      <c r="CY384" s="852"/>
      <c r="CZ384" s="852"/>
      <c r="DA384" s="852"/>
      <c r="DB384" s="852"/>
      <c r="DC384" s="852"/>
      <c r="DD384" s="852"/>
      <c r="DE384" s="852"/>
      <c r="DF384" s="852"/>
      <c r="DG384" s="852"/>
      <c r="DH384" s="852"/>
      <c r="DI384" s="852"/>
      <c r="DJ384" s="852"/>
      <c r="DK384" s="852"/>
      <c r="DL384" s="177"/>
      <c r="DM384" s="177"/>
    </row>
    <row r="385" spans="5:117" s="176" customFormat="1" x14ac:dyDescent="0.2"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57"/>
      <c r="S385" s="1094"/>
      <c r="CV385" s="297"/>
      <c r="CW385" s="297"/>
      <c r="CX385" s="297"/>
      <c r="CY385" s="852"/>
      <c r="CZ385" s="852"/>
      <c r="DA385" s="852"/>
      <c r="DB385" s="852"/>
      <c r="DC385" s="852"/>
      <c r="DD385" s="852"/>
      <c r="DE385" s="852"/>
      <c r="DF385" s="852"/>
      <c r="DG385" s="852"/>
      <c r="DH385" s="852"/>
      <c r="DI385" s="852"/>
      <c r="DJ385" s="852"/>
      <c r="DK385" s="852"/>
      <c r="DL385" s="177"/>
      <c r="DM385" s="177"/>
    </row>
    <row r="386" spans="5:117" s="176" customFormat="1" x14ac:dyDescent="0.2"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57"/>
      <c r="S386" s="1094"/>
      <c r="CV386" s="297"/>
      <c r="CW386" s="297"/>
      <c r="CX386" s="297"/>
      <c r="CY386" s="852"/>
      <c r="CZ386" s="852"/>
      <c r="DA386" s="852"/>
      <c r="DB386" s="852"/>
      <c r="DC386" s="852"/>
      <c r="DD386" s="852"/>
      <c r="DE386" s="852"/>
      <c r="DF386" s="852"/>
      <c r="DG386" s="852"/>
      <c r="DH386" s="852"/>
      <c r="DI386" s="852"/>
      <c r="DJ386" s="852"/>
      <c r="DK386" s="852"/>
      <c r="DL386" s="177"/>
      <c r="DM386" s="177"/>
    </row>
    <row r="387" spans="5:117" s="176" customFormat="1" x14ac:dyDescent="0.2"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57"/>
      <c r="S387" s="1094"/>
      <c r="CV387" s="297"/>
      <c r="CW387" s="297"/>
      <c r="CX387" s="297"/>
      <c r="CY387" s="852"/>
      <c r="CZ387" s="852"/>
      <c r="DA387" s="852"/>
      <c r="DB387" s="852"/>
      <c r="DC387" s="852"/>
      <c r="DD387" s="852"/>
      <c r="DE387" s="852"/>
      <c r="DF387" s="852"/>
      <c r="DG387" s="852"/>
      <c r="DH387" s="852"/>
      <c r="DI387" s="852"/>
      <c r="DJ387" s="852"/>
      <c r="DK387" s="852"/>
      <c r="DL387" s="177"/>
      <c r="DM387" s="177"/>
    </row>
    <row r="388" spans="5:117" s="176" customFormat="1" x14ac:dyDescent="0.2"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57"/>
      <c r="S388" s="1094"/>
      <c r="CV388" s="297"/>
      <c r="CW388" s="297"/>
      <c r="CX388" s="297"/>
      <c r="CY388" s="852"/>
      <c r="CZ388" s="852"/>
      <c r="DA388" s="852"/>
      <c r="DB388" s="852"/>
      <c r="DC388" s="852"/>
      <c r="DD388" s="852"/>
      <c r="DE388" s="852"/>
      <c r="DF388" s="852"/>
      <c r="DG388" s="852"/>
      <c r="DH388" s="852"/>
      <c r="DI388" s="852"/>
      <c r="DJ388" s="852"/>
      <c r="DK388" s="852"/>
      <c r="DL388" s="177"/>
      <c r="DM388" s="177"/>
    </row>
    <row r="389" spans="5:117" s="176" customFormat="1" x14ac:dyDescent="0.2"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57"/>
      <c r="S389" s="1094"/>
      <c r="CV389" s="297"/>
      <c r="CW389" s="297"/>
      <c r="CX389" s="297"/>
      <c r="CY389" s="852"/>
      <c r="CZ389" s="852"/>
      <c r="DA389" s="852"/>
      <c r="DB389" s="852"/>
      <c r="DC389" s="852"/>
      <c r="DD389" s="852"/>
      <c r="DE389" s="852"/>
      <c r="DF389" s="852"/>
      <c r="DG389" s="852"/>
      <c r="DH389" s="852"/>
      <c r="DI389" s="852"/>
      <c r="DJ389" s="852"/>
      <c r="DK389" s="852"/>
      <c r="DL389" s="177"/>
      <c r="DM389" s="177"/>
    </row>
    <row r="390" spans="5:117" s="176" customFormat="1" x14ac:dyDescent="0.2"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57"/>
      <c r="S390" s="1094"/>
      <c r="CV390" s="297"/>
      <c r="CW390" s="297"/>
      <c r="CX390" s="297"/>
      <c r="CY390" s="852"/>
      <c r="CZ390" s="852"/>
      <c r="DA390" s="852"/>
      <c r="DB390" s="852"/>
      <c r="DC390" s="852"/>
      <c r="DD390" s="852"/>
      <c r="DE390" s="852"/>
      <c r="DF390" s="852"/>
      <c r="DG390" s="852"/>
      <c r="DH390" s="852"/>
      <c r="DI390" s="852"/>
      <c r="DJ390" s="852"/>
      <c r="DK390" s="852"/>
      <c r="DL390" s="177"/>
      <c r="DM390" s="177"/>
    </row>
    <row r="391" spans="5:117" s="176" customFormat="1" x14ac:dyDescent="0.2"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57"/>
      <c r="S391" s="1094"/>
      <c r="CV391" s="297"/>
      <c r="CW391" s="297"/>
      <c r="CX391" s="297"/>
      <c r="CY391" s="852"/>
      <c r="CZ391" s="852"/>
      <c r="DA391" s="852"/>
      <c r="DB391" s="852"/>
      <c r="DC391" s="852"/>
      <c r="DD391" s="852"/>
      <c r="DE391" s="852"/>
      <c r="DF391" s="852"/>
      <c r="DG391" s="852"/>
      <c r="DH391" s="852"/>
      <c r="DI391" s="852"/>
      <c r="DJ391" s="852"/>
      <c r="DK391" s="852"/>
      <c r="DL391" s="177"/>
      <c r="DM391" s="177"/>
    </row>
    <row r="392" spans="5:117" s="176" customFormat="1" x14ac:dyDescent="0.2"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57"/>
      <c r="S392" s="1094"/>
      <c r="CV392" s="297"/>
      <c r="CW392" s="297"/>
      <c r="CX392" s="297"/>
      <c r="CY392" s="852"/>
      <c r="CZ392" s="852"/>
      <c r="DA392" s="852"/>
      <c r="DB392" s="852"/>
      <c r="DC392" s="852"/>
      <c r="DD392" s="852"/>
      <c r="DE392" s="852"/>
      <c r="DF392" s="852"/>
      <c r="DG392" s="852"/>
      <c r="DH392" s="852"/>
      <c r="DI392" s="852"/>
      <c r="DJ392" s="852"/>
      <c r="DK392" s="852"/>
      <c r="DL392" s="177"/>
      <c r="DM392" s="177"/>
    </row>
    <row r="393" spans="5:117" s="176" customFormat="1" x14ac:dyDescent="0.2"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57"/>
      <c r="S393" s="1094"/>
      <c r="CV393" s="297"/>
      <c r="CW393" s="297"/>
      <c r="CX393" s="297"/>
      <c r="CY393" s="852"/>
      <c r="CZ393" s="852"/>
      <c r="DA393" s="852"/>
      <c r="DB393" s="852"/>
      <c r="DC393" s="852"/>
      <c r="DD393" s="852"/>
      <c r="DE393" s="852"/>
      <c r="DF393" s="852"/>
      <c r="DG393" s="852"/>
      <c r="DH393" s="852"/>
      <c r="DI393" s="852"/>
      <c r="DJ393" s="852"/>
      <c r="DK393" s="852"/>
      <c r="DL393" s="177"/>
      <c r="DM393" s="177"/>
    </row>
    <row r="394" spans="5:117" s="176" customFormat="1" x14ac:dyDescent="0.2"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57"/>
      <c r="S394" s="1094"/>
      <c r="CV394" s="297"/>
      <c r="CW394" s="297"/>
      <c r="CX394" s="297"/>
      <c r="CY394" s="852"/>
      <c r="CZ394" s="852"/>
      <c r="DA394" s="852"/>
      <c r="DB394" s="852"/>
      <c r="DC394" s="852"/>
      <c r="DD394" s="852"/>
      <c r="DE394" s="852"/>
      <c r="DF394" s="852"/>
      <c r="DG394" s="852"/>
      <c r="DH394" s="852"/>
      <c r="DI394" s="852"/>
      <c r="DJ394" s="852"/>
      <c r="DK394" s="852"/>
      <c r="DL394" s="177"/>
      <c r="DM394" s="177"/>
    </row>
    <row r="395" spans="5:117" s="176" customFormat="1" x14ac:dyDescent="0.2"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57"/>
      <c r="S395" s="1094"/>
      <c r="CV395" s="297"/>
      <c r="CW395" s="297"/>
      <c r="CX395" s="297"/>
      <c r="CY395" s="852"/>
      <c r="CZ395" s="852"/>
      <c r="DA395" s="852"/>
      <c r="DB395" s="852"/>
      <c r="DC395" s="852"/>
      <c r="DD395" s="852"/>
      <c r="DE395" s="852"/>
      <c r="DF395" s="852"/>
      <c r="DG395" s="852"/>
      <c r="DH395" s="852"/>
      <c r="DI395" s="852"/>
      <c r="DJ395" s="852"/>
      <c r="DK395" s="852"/>
      <c r="DL395" s="177"/>
      <c r="DM395" s="177"/>
    </row>
    <row r="396" spans="5:117" s="176" customFormat="1" x14ac:dyDescent="0.2"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57"/>
      <c r="S396" s="1094"/>
      <c r="CV396" s="297"/>
      <c r="CW396" s="297"/>
      <c r="CX396" s="297"/>
      <c r="CY396" s="852"/>
      <c r="CZ396" s="852"/>
      <c r="DA396" s="852"/>
      <c r="DB396" s="852"/>
      <c r="DC396" s="852"/>
      <c r="DD396" s="852"/>
      <c r="DE396" s="852"/>
      <c r="DF396" s="852"/>
      <c r="DG396" s="852"/>
      <c r="DH396" s="852"/>
      <c r="DI396" s="852"/>
      <c r="DJ396" s="852"/>
      <c r="DK396" s="852"/>
      <c r="DL396" s="177"/>
      <c r="DM396" s="177"/>
    </row>
    <row r="397" spans="5:117" s="176" customFormat="1" x14ac:dyDescent="0.2"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57"/>
      <c r="S397" s="1094"/>
      <c r="CV397" s="297"/>
      <c r="CW397" s="297"/>
      <c r="CX397" s="297"/>
      <c r="CY397" s="852"/>
      <c r="CZ397" s="852"/>
      <c r="DA397" s="852"/>
      <c r="DB397" s="852"/>
      <c r="DC397" s="852"/>
      <c r="DD397" s="852"/>
      <c r="DE397" s="852"/>
      <c r="DF397" s="852"/>
      <c r="DG397" s="852"/>
      <c r="DH397" s="852"/>
      <c r="DI397" s="852"/>
      <c r="DJ397" s="852"/>
      <c r="DK397" s="852"/>
      <c r="DL397" s="177"/>
      <c r="DM397" s="177"/>
    </row>
    <row r="398" spans="5:117" s="176" customFormat="1" x14ac:dyDescent="0.2"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57"/>
      <c r="S398" s="1094"/>
      <c r="CV398" s="297"/>
      <c r="CW398" s="297"/>
      <c r="CX398" s="297"/>
      <c r="CY398" s="852"/>
      <c r="CZ398" s="852"/>
      <c r="DA398" s="852"/>
      <c r="DB398" s="852"/>
      <c r="DC398" s="852"/>
      <c r="DD398" s="852"/>
      <c r="DE398" s="852"/>
      <c r="DF398" s="852"/>
      <c r="DG398" s="852"/>
      <c r="DH398" s="852"/>
      <c r="DI398" s="852"/>
      <c r="DJ398" s="852"/>
      <c r="DK398" s="852"/>
      <c r="DL398" s="177"/>
      <c r="DM398" s="177"/>
    </row>
    <row r="399" spans="5:117" s="176" customFormat="1" x14ac:dyDescent="0.2"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57"/>
      <c r="S399" s="1094"/>
      <c r="CV399" s="297"/>
      <c r="CW399" s="297"/>
      <c r="CX399" s="297"/>
      <c r="CY399" s="852"/>
      <c r="CZ399" s="852"/>
      <c r="DA399" s="852"/>
      <c r="DB399" s="852"/>
      <c r="DC399" s="852"/>
      <c r="DD399" s="852"/>
      <c r="DE399" s="852"/>
      <c r="DF399" s="852"/>
      <c r="DG399" s="852"/>
      <c r="DH399" s="852"/>
      <c r="DI399" s="852"/>
      <c r="DJ399" s="852"/>
      <c r="DK399" s="852"/>
      <c r="DL399" s="177"/>
      <c r="DM399" s="177"/>
    </row>
    <row r="400" spans="5:117" s="176" customFormat="1" x14ac:dyDescent="0.2"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57"/>
      <c r="S400" s="1094"/>
      <c r="CV400" s="297"/>
      <c r="CW400" s="297"/>
      <c r="CX400" s="297"/>
      <c r="CY400" s="852"/>
      <c r="CZ400" s="852"/>
      <c r="DA400" s="852"/>
      <c r="DB400" s="852"/>
      <c r="DC400" s="852"/>
      <c r="DD400" s="852"/>
      <c r="DE400" s="852"/>
      <c r="DF400" s="852"/>
      <c r="DG400" s="852"/>
      <c r="DH400" s="852"/>
      <c r="DI400" s="852"/>
      <c r="DJ400" s="852"/>
      <c r="DK400" s="852"/>
      <c r="DL400" s="177"/>
      <c r="DM400" s="177"/>
    </row>
    <row r="401" spans="5:117" s="176" customFormat="1" x14ac:dyDescent="0.2"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57"/>
      <c r="S401" s="1094"/>
      <c r="CV401" s="297"/>
      <c r="CW401" s="297"/>
      <c r="CX401" s="297"/>
      <c r="CY401" s="852"/>
      <c r="CZ401" s="852"/>
      <c r="DA401" s="852"/>
      <c r="DB401" s="852"/>
      <c r="DC401" s="852"/>
      <c r="DD401" s="852"/>
      <c r="DE401" s="852"/>
      <c r="DF401" s="852"/>
      <c r="DG401" s="852"/>
      <c r="DH401" s="852"/>
      <c r="DI401" s="852"/>
      <c r="DJ401" s="852"/>
      <c r="DK401" s="852"/>
      <c r="DL401" s="177"/>
      <c r="DM401" s="177"/>
    </row>
    <row r="402" spans="5:117" s="176" customFormat="1" x14ac:dyDescent="0.2"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57"/>
      <c r="S402" s="1094"/>
      <c r="CV402" s="297"/>
      <c r="CW402" s="297"/>
      <c r="CX402" s="297"/>
      <c r="CY402" s="852"/>
      <c r="CZ402" s="852"/>
      <c r="DA402" s="852"/>
      <c r="DB402" s="852"/>
      <c r="DC402" s="852"/>
      <c r="DD402" s="852"/>
      <c r="DE402" s="852"/>
      <c r="DF402" s="852"/>
      <c r="DG402" s="852"/>
      <c r="DH402" s="852"/>
      <c r="DI402" s="852"/>
      <c r="DJ402" s="852"/>
      <c r="DK402" s="852"/>
      <c r="DL402" s="177"/>
      <c r="DM402" s="177"/>
    </row>
    <row r="403" spans="5:117" s="176" customFormat="1" x14ac:dyDescent="0.2"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57"/>
      <c r="S403" s="1094"/>
      <c r="CV403" s="297"/>
      <c r="CW403" s="297"/>
      <c r="CX403" s="297"/>
      <c r="CY403" s="852"/>
      <c r="CZ403" s="852"/>
      <c r="DA403" s="852"/>
      <c r="DB403" s="852"/>
      <c r="DC403" s="852"/>
      <c r="DD403" s="852"/>
      <c r="DE403" s="852"/>
      <c r="DF403" s="852"/>
      <c r="DG403" s="852"/>
      <c r="DH403" s="852"/>
      <c r="DI403" s="852"/>
      <c r="DJ403" s="852"/>
      <c r="DK403" s="852"/>
      <c r="DL403" s="177"/>
      <c r="DM403" s="177"/>
    </row>
    <row r="404" spans="5:117" s="176" customFormat="1" x14ac:dyDescent="0.2"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57"/>
      <c r="S404" s="1094"/>
      <c r="CV404" s="297"/>
      <c r="CW404" s="297"/>
      <c r="CX404" s="297"/>
      <c r="CY404" s="852"/>
      <c r="CZ404" s="852"/>
      <c r="DA404" s="852"/>
      <c r="DB404" s="852"/>
      <c r="DC404" s="852"/>
      <c r="DD404" s="852"/>
      <c r="DE404" s="852"/>
      <c r="DF404" s="852"/>
      <c r="DG404" s="852"/>
      <c r="DH404" s="852"/>
      <c r="DI404" s="852"/>
      <c r="DJ404" s="852"/>
      <c r="DK404" s="852"/>
      <c r="DL404" s="177"/>
      <c r="DM404" s="177"/>
    </row>
    <row r="405" spans="5:117" s="176" customFormat="1" x14ac:dyDescent="0.2"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57"/>
      <c r="S405" s="1094"/>
      <c r="CV405" s="297"/>
      <c r="CW405" s="297"/>
      <c r="CX405" s="297"/>
      <c r="CY405" s="852"/>
      <c r="CZ405" s="852"/>
      <c r="DA405" s="852"/>
      <c r="DB405" s="852"/>
      <c r="DC405" s="852"/>
      <c r="DD405" s="852"/>
      <c r="DE405" s="852"/>
      <c r="DF405" s="852"/>
      <c r="DG405" s="852"/>
      <c r="DH405" s="852"/>
      <c r="DI405" s="852"/>
      <c r="DJ405" s="852"/>
      <c r="DK405" s="852"/>
      <c r="DL405" s="177"/>
      <c r="DM405" s="177"/>
    </row>
    <row r="406" spans="5:117" s="176" customFormat="1" x14ac:dyDescent="0.2"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57"/>
      <c r="S406" s="1094"/>
      <c r="CV406" s="297"/>
      <c r="CW406" s="297"/>
      <c r="CX406" s="297"/>
      <c r="CY406" s="852"/>
      <c r="CZ406" s="852"/>
      <c r="DA406" s="852"/>
      <c r="DB406" s="852"/>
      <c r="DC406" s="852"/>
      <c r="DD406" s="852"/>
      <c r="DE406" s="852"/>
      <c r="DF406" s="852"/>
      <c r="DG406" s="852"/>
      <c r="DH406" s="852"/>
      <c r="DI406" s="852"/>
      <c r="DJ406" s="852"/>
      <c r="DK406" s="852"/>
      <c r="DL406" s="177"/>
      <c r="DM406" s="177"/>
    </row>
    <row r="407" spans="5:117" s="176" customFormat="1" x14ac:dyDescent="0.2"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57"/>
      <c r="S407" s="1094"/>
      <c r="CV407" s="297"/>
      <c r="CW407" s="297"/>
      <c r="CX407" s="297"/>
      <c r="CY407" s="852"/>
      <c r="CZ407" s="852"/>
      <c r="DA407" s="852"/>
      <c r="DB407" s="852"/>
      <c r="DC407" s="852"/>
      <c r="DD407" s="852"/>
      <c r="DE407" s="852"/>
      <c r="DF407" s="852"/>
      <c r="DG407" s="852"/>
      <c r="DH407" s="852"/>
      <c r="DI407" s="852"/>
      <c r="DJ407" s="852"/>
      <c r="DK407" s="852"/>
      <c r="DL407" s="177"/>
      <c r="DM407" s="177"/>
    </row>
    <row r="408" spans="5:117" s="176" customFormat="1" x14ac:dyDescent="0.2"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57"/>
      <c r="S408" s="1094"/>
      <c r="CV408" s="297"/>
      <c r="CW408" s="297"/>
      <c r="CX408" s="297"/>
      <c r="CY408" s="852"/>
      <c r="CZ408" s="852"/>
      <c r="DA408" s="852"/>
      <c r="DB408" s="852"/>
      <c r="DC408" s="852"/>
      <c r="DD408" s="852"/>
      <c r="DE408" s="852"/>
      <c r="DF408" s="852"/>
      <c r="DG408" s="852"/>
      <c r="DH408" s="852"/>
      <c r="DI408" s="852"/>
      <c r="DJ408" s="852"/>
      <c r="DK408" s="852"/>
      <c r="DL408" s="177"/>
      <c r="DM408" s="177"/>
    </row>
    <row r="409" spans="5:117" s="176" customFormat="1" x14ac:dyDescent="0.2"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57"/>
      <c r="S409" s="1094"/>
      <c r="CV409" s="297"/>
      <c r="CW409" s="297"/>
      <c r="CX409" s="297"/>
      <c r="CY409" s="852"/>
      <c r="CZ409" s="852"/>
      <c r="DA409" s="852"/>
      <c r="DB409" s="852"/>
      <c r="DC409" s="852"/>
      <c r="DD409" s="852"/>
      <c r="DE409" s="852"/>
      <c r="DF409" s="852"/>
      <c r="DG409" s="852"/>
      <c r="DH409" s="852"/>
      <c r="DI409" s="852"/>
      <c r="DJ409" s="852"/>
      <c r="DK409" s="852"/>
      <c r="DL409" s="177"/>
      <c r="DM409" s="177"/>
    </row>
    <row r="410" spans="5:117" s="176" customFormat="1" x14ac:dyDescent="0.2"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57"/>
      <c r="S410" s="1094"/>
      <c r="CV410" s="297"/>
      <c r="CW410" s="297"/>
      <c r="CX410" s="297"/>
      <c r="CY410" s="852"/>
      <c r="CZ410" s="852"/>
      <c r="DA410" s="852"/>
      <c r="DB410" s="852"/>
      <c r="DC410" s="852"/>
      <c r="DD410" s="852"/>
      <c r="DE410" s="852"/>
      <c r="DF410" s="852"/>
      <c r="DG410" s="852"/>
      <c r="DH410" s="852"/>
      <c r="DI410" s="852"/>
      <c r="DJ410" s="852"/>
      <c r="DK410" s="852"/>
      <c r="DL410" s="177"/>
      <c r="DM410" s="177"/>
    </row>
    <row r="411" spans="5:117" s="176" customFormat="1" x14ac:dyDescent="0.2"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57"/>
      <c r="S411" s="1094"/>
      <c r="CV411" s="297"/>
      <c r="CW411" s="297"/>
      <c r="CX411" s="297"/>
      <c r="CY411" s="852"/>
      <c r="CZ411" s="852"/>
      <c r="DA411" s="852"/>
      <c r="DB411" s="852"/>
      <c r="DC411" s="852"/>
      <c r="DD411" s="852"/>
      <c r="DE411" s="852"/>
      <c r="DF411" s="852"/>
      <c r="DG411" s="852"/>
      <c r="DH411" s="852"/>
      <c r="DI411" s="852"/>
      <c r="DJ411" s="852"/>
      <c r="DK411" s="852"/>
      <c r="DL411" s="177"/>
      <c r="DM411" s="177"/>
    </row>
    <row r="412" spans="5:117" s="176" customFormat="1" x14ac:dyDescent="0.2"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57"/>
      <c r="S412" s="1094"/>
      <c r="CV412" s="297"/>
      <c r="CW412" s="297"/>
      <c r="CX412" s="297"/>
      <c r="CY412" s="852"/>
      <c r="CZ412" s="852"/>
      <c r="DA412" s="852"/>
      <c r="DB412" s="852"/>
      <c r="DC412" s="852"/>
      <c r="DD412" s="852"/>
      <c r="DE412" s="852"/>
      <c r="DF412" s="852"/>
      <c r="DG412" s="852"/>
      <c r="DH412" s="852"/>
      <c r="DI412" s="852"/>
      <c r="DJ412" s="852"/>
      <c r="DK412" s="852"/>
      <c r="DL412" s="177"/>
      <c r="DM412" s="177"/>
    </row>
    <row r="413" spans="5:117" s="176" customFormat="1" x14ac:dyDescent="0.2"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57"/>
      <c r="S413" s="1094"/>
      <c r="CV413" s="297"/>
      <c r="CW413" s="297"/>
      <c r="CX413" s="297"/>
      <c r="CY413" s="852"/>
      <c r="CZ413" s="852"/>
      <c r="DA413" s="852"/>
      <c r="DB413" s="852"/>
      <c r="DC413" s="852"/>
      <c r="DD413" s="852"/>
      <c r="DE413" s="852"/>
      <c r="DF413" s="852"/>
      <c r="DG413" s="852"/>
      <c r="DH413" s="852"/>
      <c r="DI413" s="852"/>
      <c r="DJ413" s="852"/>
      <c r="DK413" s="852"/>
      <c r="DL413" s="177"/>
      <c r="DM413" s="177"/>
    </row>
    <row r="414" spans="5:117" s="176" customFormat="1" x14ac:dyDescent="0.2"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57"/>
      <c r="S414" s="1094"/>
      <c r="CV414" s="297"/>
      <c r="CW414" s="297"/>
      <c r="CX414" s="297"/>
      <c r="CY414" s="852"/>
      <c r="CZ414" s="852"/>
      <c r="DA414" s="852"/>
      <c r="DB414" s="852"/>
      <c r="DC414" s="852"/>
      <c r="DD414" s="852"/>
      <c r="DE414" s="852"/>
      <c r="DF414" s="852"/>
      <c r="DG414" s="852"/>
      <c r="DH414" s="852"/>
      <c r="DI414" s="852"/>
      <c r="DJ414" s="852"/>
      <c r="DK414" s="852"/>
      <c r="DL414" s="177"/>
      <c r="DM414" s="177"/>
    </row>
    <row r="415" spans="5:117" s="176" customFormat="1" x14ac:dyDescent="0.2"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57"/>
      <c r="S415" s="1094"/>
      <c r="CV415" s="297"/>
      <c r="CW415" s="297"/>
      <c r="CX415" s="297"/>
      <c r="CY415" s="852"/>
      <c r="CZ415" s="852"/>
      <c r="DA415" s="852"/>
      <c r="DB415" s="852"/>
      <c r="DC415" s="852"/>
      <c r="DD415" s="852"/>
      <c r="DE415" s="852"/>
      <c r="DF415" s="852"/>
      <c r="DG415" s="852"/>
      <c r="DH415" s="852"/>
      <c r="DI415" s="852"/>
      <c r="DJ415" s="852"/>
      <c r="DK415" s="852"/>
      <c r="DL415" s="177"/>
      <c r="DM415" s="177"/>
    </row>
    <row r="416" spans="5:117" s="176" customFormat="1" x14ac:dyDescent="0.2"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57"/>
      <c r="S416" s="1094"/>
      <c r="CV416" s="297"/>
      <c r="CW416" s="297"/>
      <c r="CX416" s="297"/>
      <c r="CY416" s="852"/>
      <c r="CZ416" s="852"/>
      <c r="DA416" s="852"/>
      <c r="DB416" s="852"/>
      <c r="DC416" s="852"/>
      <c r="DD416" s="852"/>
      <c r="DE416" s="852"/>
      <c r="DF416" s="852"/>
      <c r="DG416" s="852"/>
      <c r="DH416" s="852"/>
      <c r="DI416" s="852"/>
      <c r="DJ416" s="852"/>
      <c r="DK416" s="852"/>
      <c r="DL416" s="177"/>
      <c r="DM416" s="177"/>
    </row>
    <row r="417" spans="5:117" s="176" customFormat="1" x14ac:dyDescent="0.2"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57"/>
      <c r="S417" s="1094"/>
      <c r="CV417" s="297"/>
      <c r="CW417" s="297"/>
      <c r="CX417" s="297"/>
      <c r="CY417" s="852"/>
      <c r="CZ417" s="852"/>
      <c r="DA417" s="852"/>
      <c r="DB417" s="852"/>
      <c r="DC417" s="852"/>
      <c r="DD417" s="852"/>
      <c r="DE417" s="852"/>
      <c r="DF417" s="852"/>
      <c r="DG417" s="852"/>
      <c r="DH417" s="852"/>
      <c r="DI417" s="852"/>
      <c r="DJ417" s="852"/>
      <c r="DK417" s="852"/>
      <c r="DL417" s="177"/>
      <c r="DM417" s="177"/>
    </row>
    <row r="418" spans="5:117" s="176" customFormat="1" x14ac:dyDescent="0.2"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57"/>
      <c r="S418" s="1094"/>
      <c r="CV418" s="297"/>
      <c r="CW418" s="297"/>
      <c r="CX418" s="297"/>
      <c r="CY418" s="852"/>
      <c r="CZ418" s="852"/>
      <c r="DA418" s="852"/>
      <c r="DB418" s="852"/>
      <c r="DC418" s="852"/>
      <c r="DD418" s="852"/>
      <c r="DE418" s="852"/>
      <c r="DF418" s="852"/>
      <c r="DG418" s="852"/>
      <c r="DH418" s="852"/>
      <c r="DI418" s="852"/>
      <c r="DJ418" s="852"/>
      <c r="DK418" s="852"/>
      <c r="DL418" s="177"/>
      <c r="DM418" s="177"/>
    </row>
    <row r="419" spans="5:117" s="176" customFormat="1" x14ac:dyDescent="0.2"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57"/>
      <c r="S419" s="1094"/>
      <c r="CV419" s="297"/>
      <c r="CW419" s="297"/>
      <c r="CX419" s="297"/>
      <c r="CY419" s="852"/>
      <c r="CZ419" s="852"/>
      <c r="DA419" s="852"/>
      <c r="DB419" s="852"/>
      <c r="DC419" s="852"/>
      <c r="DD419" s="852"/>
      <c r="DE419" s="852"/>
      <c r="DF419" s="852"/>
      <c r="DG419" s="852"/>
      <c r="DH419" s="852"/>
      <c r="DI419" s="852"/>
      <c r="DJ419" s="852"/>
      <c r="DK419" s="852"/>
      <c r="DL419" s="177"/>
      <c r="DM419" s="177"/>
    </row>
    <row r="420" spans="5:117" s="176" customFormat="1" x14ac:dyDescent="0.2"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57"/>
      <c r="S420" s="1094"/>
      <c r="CV420" s="297"/>
      <c r="CW420" s="297"/>
      <c r="CX420" s="297"/>
      <c r="CY420" s="852"/>
      <c r="CZ420" s="852"/>
      <c r="DA420" s="852"/>
      <c r="DB420" s="852"/>
      <c r="DC420" s="852"/>
      <c r="DD420" s="852"/>
      <c r="DE420" s="852"/>
      <c r="DF420" s="852"/>
      <c r="DG420" s="852"/>
      <c r="DH420" s="852"/>
      <c r="DI420" s="852"/>
      <c r="DJ420" s="852"/>
      <c r="DK420" s="852"/>
      <c r="DL420" s="177"/>
      <c r="DM420" s="177"/>
    </row>
    <row r="421" spans="5:117" s="176" customFormat="1" x14ac:dyDescent="0.2"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57"/>
      <c r="S421" s="1094"/>
      <c r="CV421" s="297"/>
      <c r="CW421" s="297"/>
      <c r="CX421" s="297"/>
      <c r="CY421" s="852"/>
      <c r="CZ421" s="852"/>
      <c r="DA421" s="852"/>
      <c r="DB421" s="852"/>
      <c r="DC421" s="852"/>
      <c r="DD421" s="852"/>
      <c r="DE421" s="852"/>
      <c r="DF421" s="852"/>
      <c r="DG421" s="852"/>
      <c r="DH421" s="852"/>
      <c r="DI421" s="852"/>
      <c r="DJ421" s="852"/>
      <c r="DK421" s="852"/>
      <c r="DL421" s="177"/>
      <c r="DM421" s="177"/>
    </row>
    <row r="422" spans="5:117" s="176" customFormat="1" x14ac:dyDescent="0.2"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57"/>
      <c r="S422" s="1094"/>
      <c r="CV422" s="297"/>
      <c r="CW422" s="297"/>
      <c r="CX422" s="297"/>
      <c r="CY422" s="852"/>
      <c r="CZ422" s="852"/>
      <c r="DA422" s="852"/>
      <c r="DB422" s="852"/>
      <c r="DC422" s="852"/>
      <c r="DD422" s="852"/>
      <c r="DE422" s="852"/>
      <c r="DF422" s="852"/>
      <c r="DG422" s="852"/>
      <c r="DH422" s="852"/>
      <c r="DI422" s="852"/>
      <c r="DJ422" s="852"/>
      <c r="DK422" s="852"/>
      <c r="DL422" s="177"/>
      <c r="DM422" s="177"/>
    </row>
    <row r="423" spans="5:117" s="176" customFormat="1" x14ac:dyDescent="0.2"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57"/>
      <c r="S423" s="1094"/>
      <c r="CV423" s="297"/>
      <c r="CW423" s="297"/>
      <c r="CX423" s="297"/>
      <c r="CY423" s="852"/>
      <c r="CZ423" s="852"/>
      <c r="DA423" s="852"/>
      <c r="DB423" s="852"/>
      <c r="DC423" s="852"/>
      <c r="DD423" s="852"/>
      <c r="DE423" s="852"/>
      <c r="DF423" s="852"/>
      <c r="DG423" s="852"/>
      <c r="DH423" s="852"/>
      <c r="DI423" s="852"/>
      <c r="DJ423" s="852"/>
      <c r="DK423" s="852"/>
      <c r="DL423" s="177"/>
      <c r="DM423" s="177"/>
    </row>
    <row r="424" spans="5:117" s="176" customFormat="1" x14ac:dyDescent="0.2"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57"/>
      <c r="S424" s="1094"/>
      <c r="CV424" s="297"/>
      <c r="CW424" s="297"/>
      <c r="CX424" s="297"/>
      <c r="CY424" s="852"/>
      <c r="CZ424" s="852"/>
      <c r="DA424" s="852"/>
      <c r="DB424" s="852"/>
      <c r="DC424" s="852"/>
      <c r="DD424" s="852"/>
      <c r="DE424" s="852"/>
      <c r="DF424" s="852"/>
      <c r="DG424" s="852"/>
      <c r="DH424" s="852"/>
      <c r="DI424" s="852"/>
      <c r="DJ424" s="852"/>
      <c r="DK424" s="852"/>
      <c r="DL424" s="177"/>
      <c r="DM424" s="177"/>
    </row>
    <row r="425" spans="5:117" s="176" customFormat="1" x14ac:dyDescent="0.2"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57"/>
      <c r="S425" s="1094"/>
      <c r="CV425" s="297"/>
      <c r="CW425" s="297"/>
      <c r="CX425" s="297"/>
      <c r="CY425" s="852"/>
      <c r="CZ425" s="852"/>
      <c r="DA425" s="852"/>
      <c r="DB425" s="852"/>
      <c r="DC425" s="852"/>
      <c r="DD425" s="852"/>
      <c r="DE425" s="852"/>
      <c r="DF425" s="852"/>
      <c r="DG425" s="852"/>
      <c r="DH425" s="852"/>
      <c r="DI425" s="852"/>
      <c r="DJ425" s="852"/>
      <c r="DK425" s="852"/>
      <c r="DL425" s="177"/>
      <c r="DM425" s="177"/>
    </row>
    <row r="426" spans="5:117" s="176" customFormat="1" x14ac:dyDescent="0.2"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57"/>
      <c r="S426" s="1094"/>
      <c r="CV426" s="297"/>
      <c r="CW426" s="297"/>
      <c r="CX426" s="297"/>
      <c r="CY426" s="852"/>
      <c r="CZ426" s="852"/>
      <c r="DA426" s="852"/>
      <c r="DB426" s="852"/>
      <c r="DC426" s="852"/>
      <c r="DD426" s="852"/>
      <c r="DE426" s="852"/>
      <c r="DF426" s="852"/>
      <c r="DG426" s="852"/>
      <c r="DH426" s="852"/>
      <c r="DI426" s="852"/>
      <c r="DJ426" s="852"/>
      <c r="DK426" s="852"/>
      <c r="DL426" s="177"/>
      <c r="DM426" s="177"/>
    </row>
    <row r="427" spans="5:117" s="176" customFormat="1" x14ac:dyDescent="0.2"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57"/>
      <c r="S427" s="1094"/>
      <c r="CV427" s="297"/>
      <c r="CW427" s="297"/>
      <c r="CX427" s="297"/>
      <c r="CY427" s="852"/>
      <c r="CZ427" s="852"/>
      <c r="DA427" s="852"/>
      <c r="DB427" s="852"/>
      <c r="DC427" s="852"/>
      <c r="DD427" s="852"/>
      <c r="DE427" s="852"/>
      <c r="DF427" s="852"/>
      <c r="DG427" s="852"/>
      <c r="DH427" s="852"/>
      <c r="DI427" s="852"/>
      <c r="DJ427" s="852"/>
      <c r="DK427" s="852"/>
      <c r="DL427" s="177"/>
      <c r="DM427" s="177"/>
    </row>
    <row r="428" spans="5:117" s="176" customFormat="1" x14ac:dyDescent="0.2"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57"/>
      <c r="S428" s="1094"/>
      <c r="CV428" s="297"/>
      <c r="CW428" s="297"/>
      <c r="CX428" s="297"/>
      <c r="CY428" s="852"/>
      <c r="CZ428" s="852"/>
      <c r="DA428" s="852"/>
      <c r="DB428" s="852"/>
      <c r="DC428" s="852"/>
      <c r="DD428" s="852"/>
      <c r="DE428" s="852"/>
      <c r="DF428" s="852"/>
      <c r="DG428" s="852"/>
      <c r="DH428" s="852"/>
      <c r="DI428" s="852"/>
      <c r="DJ428" s="852"/>
      <c r="DK428" s="852"/>
      <c r="DL428" s="177"/>
      <c r="DM428" s="177"/>
    </row>
    <row r="429" spans="5:117" s="176" customFormat="1" x14ac:dyDescent="0.2"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57"/>
      <c r="S429" s="1094"/>
      <c r="CV429" s="297"/>
      <c r="CW429" s="297"/>
      <c r="CX429" s="297"/>
      <c r="CY429" s="852"/>
      <c r="CZ429" s="852"/>
      <c r="DA429" s="852"/>
      <c r="DB429" s="852"/>
      <c r="DC429" s="852"/>
      <c r="DD429" s="852"/>
      <c r="DE429" s="852"/>
      <c r="DF429" s="852"/>
      <c r="DG429" s="852"/>
      <c r="DH429" s="852"/>
      <c r="DI429" s="852"/>
      <c r="DJ429" s="852"/>
      <c r="DK429" s="852"/>
      <c r="DL429" s="177"/>
      <c r="DM429" s="177"/>
    </row>
    <row r="430" spans="5:117" s="176" customFormat="1" x14ac:dyDescent="0.2"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57"/>
      <c r="S430" s="1094"/>
      <c r="CV430" s="297"/>
      <c r="CW430" s="297"/>
      <c r="CX430" s="297"/>
      <c r="CY430" s="852"/>
      <c r="CZ430" s="852"/>
      <c r="DA430" s="852"/>
      <c r="DB430" s="852"/>
      <c r="DC430" s="852"/>
      <c r="DD430" s="852"/>
      <c r="DE430" s="852"/>
      <c r="DF430" s="852"/>
      <c r="DG430" s="852"/>
      <c r="DH430" s="852"/>
      <c r="DI430" s="852"/>
      <c r="DJ430" s="852"/>
      <c r="DK430" s="852"/>
      <c r="DL430" s="177"/>
      <c r="DM430" s="177"/>
    </row>
    <row r="431" spans="5:117" s="176" customFormat="1" x14ac:dyDescent="0.2"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57"/>
      <c r="S431" s="1094"/>
      <c r="CV431" s="297"/>
      <c r="CW431" s="297"/>
      <c r="CX431" s="297"/>
      <c r="CY431" s="852"/>
      <c r="CZ431" s="852"/>
      <c r="DA431" s="852"/>
      <c r="DB431" s="852"/>
      <c r="DC431" s="852"/>
      <c r="DD431" s="852"/>
      <c r="DE431" s="852"/>
      <c r="DF431" s="852"/>
      <c r="DG431" s="852"/>
      <c r="DH431" s="852"/>
      <c r="DI431" s="852"/>
      <c r="DJ431" s="852"/>
      <c r="DK431" s="852"/>
      <c r="DL431" s="177"/>
      <c r="DM431" s="177"/>
    </row>
    <row r="432" spans="5:117" s="176" customFormat="1" x14ac:dyDescent="0.2"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57"/>
      <c r="S432" s="1094"/>
      <c r="CV432" s="297"/>
      <c r="CW432" s="297"/>
      <c r="CX432" s="297"/>
      <c r="CY432" s="852"/>
      <c r="CZ432" s="852"/>
      <c r="DA432" s="852"/>
      <c r="DB432" s="852"/>
      <c r="DC432" s="852"/>
      <c r="DD432" s="852"/>
      <c r="DE432" s="852"/>
      <c r="DF432" s="852"/>
      <c r="DG432" s="852"/>
      <c r="DH432" s="852"/>
      <c r="DI432" s="852"/>
      <c r="DJ432" s="852"/>
      <c r="DK432" s="852"/>
      <c r="DL432" s="177"/>
      <c r="DM432" s="177"/>
    </row>
    <row r="433" spans="5:117" s="176" customFormat="1" x14ac:dyDescent="0.2"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57"/>
      <c r="S433" s="1094"/>
      <c r="CV433" s="297"/>
      <c r="CW433" s="297"/>
      <c r="CX433" s="297"/>
      <c r="CY433" s="852"/>
      <c r="CZ433" s="852"/>
      <c r="DA433" s="852"/>
      <c r="DB433" s="852"/>
      <c r="DC433" s="852"/>
      <c r="DD433" s="852"/>
      <c r="DE433" s="852"/>
      <c r="DF433" s="852"/>
      <c r="DG433" s="852"/>
      <c r="DH433" s="852"/>
      <c r="DI433" s="852"/>
      <c r="DJ433" s="852"/>
      <c r="DK433" s="852"/>
      <c r="DL433" s="177"/>
      <c r="DM433" s="177"/>
    </row>
    <row r="434" spans="5:117" s="176" customFormat="1" x14ac:dyDescent="0.2"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57"/>
      <c r="S434" s="1094"/>
      <c r="CV434" s="297"/>
      <c r="CW434" s="297"/>
      <c r="CX434" s="297"/>
      <c r="CY434" s="852"/>
      <c r="CZ434" s="852"/>
      <c r="DA434" s="852"/>
      <c r="DB434" s="852"/>
      <c r="DC434" s="852"/>
      <c r="DD434" s="852"/>
      <c r="DE434" s="852"/>
      <c r="DF434" s="852"/>
      <c r="DG434" s="852"/>
      <c r="DH434" s="852"/>
      <c r="DI434" s="852"/>
      <c r="DJ434" s="852"/>
      <c r="DK434" s="852"/>
      <c r="DL434" s="177"/>
      <c r="DM434" s="177"/>
    </row>
    <row r="435" spans="5:117" s="176" customFormat="1" x14ac:dyDescent="0.2"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57"/>
      <c r="S435" s="1094"/>
      <c r="CV435" s="297"/>
      <c r="CW435" s="297"/>
      <c r="CX435" s="297"/>
      <c r="CY435" s="852"/>
      <c r="CZ435" s="852"/>
      <c r="DA435" s="852"/>
      <c r="DB435" s="852"/>
      <c r="DC435" s="852"/>
      <c r="DD435" s="852"/>
      <c r="DE435" s="852"/>
      <c r="DF435" s="852"/>
      <c r="DG435" s="852"/>
      <c r="DH435" s="852"/>
      <c r="DI435" s="852"/>
      <c r="DJ435" s="852"/>
      <c r="DK435" s="852"/>
      <c r="DL435" s="177"/>
      <c r="DM435" s="177"/>
    </row>
    <row r="436" spans="5:117" s="176" customFormat="1" x14ac:dyDescent="0.2"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57"/>
      <c r="S436" s="1094"/>
      <c r="CV436" s="297"/>
      <c r="CW436" s="297"/>
      <c r="CX436" s="297"/>
      <c r="CY436" s="852"/>
      <c r="CZ436" s="852"/>
      <c r="DA436" s="852"/>
      <c r="DB436" s="852"/>
      <c r="DC436" s="852"/>
      <c r="DD436" s="852"/>
      <c r="DE436" s="852"/>
      <c r="DF436" s="852"/>
      <c r="DG436" s="852"/>
      <c r="DH436" s="852"/>
      <c r="DI436" s="852"/>
      <c r="DJ436" s="852"/>
      <c r="DK436" s="852"/>
      <c r="DL436" s="177"/>
      <c r="DM436" s="177"/>
    </row>
    <row r="437" spans="5:117" s="176" customFormat="1" x14ac:dyDescent="0.2"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57"/>
      <c r="S437" s="1094"/>
      <c r="CV437" s="297"/>
      <c r="CW437" s="297"/>
      <c r="CX437" s="297"/>
      <c r="CY437" s="852"/>
      <c r="CZ437" s="852"/>
      <c r="DA437" s="852"/>
      <c r="DB437" s="852"/>
      <c r="DC437" s="852"/>
      <c r="DD437" s="852"/>
      <c r="DE437" s="852"/>
      <c r="DF437" s="852"/>
      <c r="DG437" s="852"/>
      <c r="DH437" s="852"/>
      <c r="DI437" s="852"/>
      <c r="DJ437" s="852"/>
      <c r="DK437" s="852"/>
      <c r="DL437" s="177"/>
      <c r="DM437" s="177"/>
    </row>
    <row r="438" spans="5:117" s="176" customFormat="1" x14ac:dyDescent="0.2"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57"/>
      <c r="S438" s="1094"/>
      <c r="CV438" s="297"/>
      <c r="CW438" s="297"/>
      <c r="CX438" s="297"/>
      <c r="CY438" s="852"/>
      <c r="CZ438" s="852"/>
      <c r="DA438" s="852"/>
      <c r="DB438" s="852"/>
      <c r="DC438" s="852"/>
      <c r="DD438" s="852"/>
      <c r="DE438" s="852"/>
      <c r="DF438" s="852"/>
      <c r="DG438" s="852"/>
      <c r="DH438" s="852"/>
      <c r="DI438" s="852"/>
      <c r="DJ438" s="852"/>
      <c r="DK438" s="852"/>
      <c r="DL438" s="177"/>
      <c r="DM438" s="177"/>
    </row>
    <row r="439" spans="5:117" s="176" customFormat="1" x14ac:dyDescent="0.2"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57"/>
      <c r="S439" s="1094"/>
      <c r="CV439" s="297"/>
      <c r="CW439" s="297"/>
      <c r="CX439" s="297"/>
      <c r="CY439" s="852"/>
      <c r="CZ439" s="852"/>
      <c r="DA439" s="852"/>
      <c r="DB439" s="852"/>
      <c r="DC439" s="852"/>
      <c r="DD439" s="852"/>
      <c r="DE439" s="852"/>
      <c r="DF439" s="852"/>
      <c r="DG439" s="852"/>
      <c r="DH439" s="852"/>
      <c r="DI439" s="852"/>
      <c r="DJ439" s="852"/>
      <c r="DK439" s="852"/>
      <c r="DL439" s="177"/>
      <c r="DM439" s="177"/>
    </row>
    <row r="440" spans="5:117" s="176" customFormat="1" x14ac:dyDescent="0.2"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57"/>
      <c r="S440" s="1094"/>
      <c r="CV440" s="297"/>
      <c r="CW440" s="297"/>
      <c r="CX440" s="297"/>
      <c r="CY440" s="852"/>
      <c r="CZ440" s="852"/>
      <c r="DA440" s="852"/>
      <c r="DB440" s="852"/>
      <c r="DC440" s="852"/>
      <c r="DD440" s="852"/>
      <c r="DE440" s="852"/>
      <c r="DF440" s="852"/>
      <c r="DG440" s="852"/>
      <c r="DH440" s="852"/>
      <c r="DI440" s="852"/>
      <c r="DJ440" s="852"/>
      <c r="DK440" s="852"/>
      <c r="DL440" s="177"/>
      <c r="DM440" s="177"/>
    </row>
    <row r="441" spans="5:117" s="176" customFormat="1" x14ac:dyDescent="0.2"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57"/>
      <c r="S441" s="1094"/>
      <c r="CV441" s="297"/>
      <c r="CW441" s="297"/>
      <c r="CX441" s="297"/>
      <c r="CY441" s="852"/>
      <c r="CZ441" s="852"/>
      <c r="DA441" s="852"/>
      <c r="DB441" s="852"/>
      <c r="DC441" s="852"/>
      <c r="DD441" s="852"/>
      <c r="DE441" s="852"/>
      <c r="DF441" s="852"/>
      <c r="DG441" s="852"/>
      <c r="DH441" s="852"/>
      <c r="DI441" s="852"/>
      <c r="DJ441" s="852"/>
      <c r="DK441" s="852"/>
      <c r="DL441" s="177"/>
      <c r="DM441" s="177"/>
    </row>
    <row r="442" spans="5:117" s="176" customFormat="1" x14ac:dyDescent="0.2"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57"/>
      <c r="S442" s="1094"/>
      <c r="CV442" s="297"/>
      <c r="CW442" s="297"/>
      <c r="CX442" s="297"/>
      <c r="CY442" s="852"/>
      <c r="CZ442" s="852"/>
      <c r="DA442" s="852"/>
      <c r="DB442" s="852"/>
      <c r="DC442" s="852"/>
      <c r="DD442" s="852"/>
      <c r="DE442" s="852"/>
      <c r="DF442" s="852"/>
      <c r="DG442" s="852"/>
      <c r="DH442" s="852"/>
      <c r="DI442" s="852"/>
      <c r="DJ442" s="852"/>
      <c r="DK442" s="852"/>
      <c r="DL442" s="177"/>
      <c r="DM442" s="177"/>
    </row>
    <row r="443" spans="5:117" s="176" customFormat="1" x14ac:dyDescent="0.2"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57"/>
      <c r="S443" s="1094"/>
      <c r="CV443" s="297"/>
      <c r="CW443" s="297"/>
      <c r="CX443" s="297"/>
      <c r="CY443" s="852"/>
      <c r="CZ443" s="852"/>
      <c r="DA443" s="852"/>
      <c r="DB443" s="852"/>
      <c r="DC443" s="852"/>
      <c r="DD443" s="852"/>
      <c r="DE443" s="852"/>
      <c r="DF443" s="852"/>
      <c r="DG443" s="852"/>
      <c r="DH443" s="852"/>
      <c r="DI443" s="852"/>
      <c r="DJ443" s="852"/>
      <c r="DK443" s="852"/>
      <c r="DL443" s="177"/>
      <c r="DM443" s="177"/>
    </row>
    <row r="444" spans="5:117" s="176" customFormat="1" x14ac:dyDescent="0.2"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57"/>
      <c r="S444" s="1094"/>
      <c r="CV444" s="297"/>
      <c r="CW444" s="297"/>
      <c r="CX444" s="297"/>
      <c r="CY444" s="852"/>
      <c r="CZ444" s="852"/>
      <c r="DA444" s="852"/>
      <c r="DB444" s="852"/>
      <c r="DC444" s="852"/>
      <c r="DD444" s="852"/>
      <c r="DE444" s="852"/>
      <c r="DF444" s="852"/>
      <c r="DG444" s="852"/>
      <c r="DH444" s="852"/>
      <c r="DI444" s="852"/>
      <c r="DJ444" s="852"/>
      <c r="DK444" s="852"/>
      <c r="DL444" s="177"/>
      <c r="DM444" s="177"/>
    </row>
    <row r="445" spans="5:117" s="176" customFormat="1" x14ac:dyDescent="0.2"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57"/>
      <c r="S445" s="1094"/>
      <c r="CV445" s="297"/>
      <c r="CW445" s="297"/>
      <c r="CX445" s="297"/>
      <c r="CY445" s="852"/>
      <c r="CZ445" s="852"/>
      <c r="DA445" s="852"/>
      <c r="DB445" s="852"/>
      <c r="DC445" s="852"/>
      <c r="DD445" s="852"/>
      <c r="DE445" s="852"/>
      <c r="DF445" s="852"/>
      <c r="DG445" s="852"/>
      <c r="DH445" s="852"/>
      <c r="DI445" s="852"/>
      <c r="DJ445" s="852"/>
      <c r="DK445" s="852"/>
      <c r="DL445" s="177"/>
      <c r="DM445" s="177"/>
    </row>
    <row r="446" spans="5:117" s="176" customFormat="1" x14ac:dyDescent="0.2"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57"/>
      <c r="S446" s="1094"/>
      <c r="CV446" s="297"/>
      <c r="CW446" s="297"/>
      <c r="CX446" s="297"/>
      <c r="CY446" s="852"/>
      <c r="CZ446" s="852"/>
      <c r="DA446" s="852"/>
      <c r="DB446" s="852"/>
      <c r="DC446" s="852"/>
      <c r="DD446" s="852"/>
      <c r="DE446" s="852"/>
      <c r="DF446" s="852"/>
      <c r="DG446" s="852"/>
      <c r="DH446" s="852"/>
      <c r="DI446" s="852"/>
      <c r="DJ446" s="852"/>
      <c r="DK446" s="852"/>
      <c r="DL446" s="177"/>
      <c r="DM446" s="177"/>
    </row>
    <row r="447" spans="5:117" s="176" customFormat="1" x14ac:dyDescent="0.2"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57"/>
      <c r="S447" s="1094"/>
      <c r="CV447" s="297"/>
      <c r="CW447" s="297"/>
      <c r="CX447" s="297"/>
      <c r="CY447" s="852"/>
      <c r="CZ447" s="852"/>
      <c r="DA447" s="852"/>
      <c r="DB447" s="852"/>
      <c r="DC447" s="852"/>
      <c r="DD447" s="852"/>
      <c r="DE447" s="852"/>
      <c r="DF447" s="852"/>
      <c r="DG447" s="852"/>
      <c r="DH447" s="852"/>
      <c r="DI447" s="852"/>
      <c r="DJ447" s="852"/>
      <c r="DK447" s="852"/>
      <c r="DL447" s="177"/>
      <c r="DM447" s="177"/>
    </row>
    <row r="448" spans="5:117" s="176" customFormat="1" x14ac:dyDescent="0.2"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57"/>
      <c r="S448" s="1094"/>
      <c r="CV448" s="297"/>
      <c r="CW448" s="297"/>
      <c r="CX448" s="297"/>
      <c r="CY448" s="852"/>
      <c r="CZ448" s="852"/>
      <c r="DA448" s="852"/>
      <c r="DB448" s="852"/>
      <c r="DC448" s="852"/>
      <c r="DD448" s="852"/>
      <c r="DE448" s="852"/>
      <c r="DF448" s="852"/>
      <c r="DG448" s="852"/>
      <c r="DH448" s="852"/>
      <c r="DI448" s="852"/>
      <c r="DJ448" s="852"/>
      <c r="DK448" s="852"/>
      <c r="DL448" s="177"/>
      <c r="DM448" s="177"/>
    </row>
    <row r="449" spans="5:117" s="176" customFormat="1" x14ac:dyDescent="0.2"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57"/>
      <c r="S449" s="1094"/>
      <c r="CV449" s="297"/>
      <c r="CW449" s="297"/>
      <c r="CX449" s="297"/>
      <c r="CY449" s="852"/>
      <c r="CZ449" s="852"/>
      <c r="DA449" s="852"/>
      <c r="DB449" s="852"/>
      <c r="DC449" s="852"/>
      <c r="DD449" s="852"/>
      <c r="DE449" s="852"/>
      <c r="DF449" s="852"/>
      <c r="DG449" s="852"/>
      <c r="DH449" s="852"/>
      <c r="DI449" s="852"/>
      <c r="DJ449" s="852"/>
      <c r="DK449" s="852"/>
      <c r="DL449" s="177"/>
      <c r="DM449" s="177"/>
    </row>
    <row r="450" spans="5:117" s="176" customFormat="1" x14ac:dyDescent="0.2"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57"/>
      <c r="S450" s="1094"/>
      <c r="CV450" s="297"/>
      <c r="CW450" s="297"/>
      <c r="CX450" s="297"/>
      <c r="CY450" s="852"/>
      <c r="CZ450" s="852"/>
      <c r="DA450" s="852"/>
      <c r="DB450" s="852"/>
      <c r="DC450" s="852"/>
      <c r="DD450" s="852"/>
      <c r="DE450" s="852"/>
      <c r="DF450" s="852"/>
      <c r="DG450" s="852"/>
      <c r="DH450" s="852"/>
      <c r="DI450" s="852"/>
      <c r="DJ450" s="852"/>
      <c r="DK450" s="852"/>
      <c r="DL450" s="177"/>
      <c r="DM450" s="177"/>
    </row>
    <row r="451" spans="5:117" s="176" customFormat="1" x14ac:dyDescent="0.2"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57"/>
      <c r="S451" s="1094"/>
      <c r="CV451" s="297"/>
      <c r="CW451" s="297"/>
      <c r="CX451" s="297"/>
      <c r="CY451" s="852"/>
      <c r="CZ451" s="852"/>
      <c r="DA451" s="852"/>
      <c r="DB451" s="852"/>
      <c r="DC451" s="852"/>
      <c r="DD451" s="852"/>
      <c r="DE451" s="852"/>
      <c r="DF451" s="852"/>
      <c r="DG451" s="852"/>
      <c r="DH451" s="852"/>
      <c r="DI451" s="852"/>
      <c r="DJ451" s="852"/>
      <c r="DK451" s="852"/>
      <c r="DL451" s="177"/>
      <c r="DM451" s="177"/>
    </row>
    <row r="452" spans="5:117" s="176" customFormat="1" x14ac:dyDescent="0.2"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57"/>
      <c r="S452" s="1094"/>
      <c r="CV452" s="297"/>
      <c r="CW452" s="297"/>
      <c r="CX452" s="297"/>
      <c r="CY452" s="852"/>
      <c r="CZ452" s="852"/>
      <c r="DA452" s="852"/>
      <c r="DB452" s="852"/>
      <c r="DC452" s="852"/>
      <c r="DD452" s="852"/>
      <c r="DE452" s="852"/>
      <c r="DF452" s="852"/>
      <c r="DG452" s="852"/>
      <c r="DH452" s="852"/>
      <c r="DI452" s="852"/>
      <c r="DJ452" s="852"/>
      <c r="DK452" s="852"/>
      <c r="DL452" s="177"/>
      <c r="DM452" s="177"/>
    </row>
    <row r="453" spans="5:117" s="176" customFormat="1" x14ac:dyDescent="0.2"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57"/>
      <c r="S453" s="1094"/>
      <c r="CV453" s="297"/>
      <c r="CW453" s="297"/>
      <c r="CX453" s="297"/>
      <c r="CY453" s="852"/>
      <c r="CZ453" s="852"/>
      <c r="DA453" s="852"/>
      <c r="DB453" s="852"/>
      <c r="DC453" s="852"/>
      <c r="DD453" s="852"/>
      <c r="DE453" s="852"/>
      <c r="DF453" s="852"/>
      <c r="DG453" s="852"/>
      <c r="DH453" s="852"/>
      <c r="DI453" s="852"/>
      <c r="DJ453" s="852"/>
      <c r="DK453" s="852"/>
      <c r="DL453" s="177"/>
      <c r="DM453" s="177"/>
    </row>
    <row r="454" spans="5:117" s="176" customFormat="1" x14ac:dyDescent="0.2"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57"/>
      <c r="S454" s="1094"/>
      <c r="CV454" s="297"/>
      <c r="CW454" s="297"/>
      <c r="CX454" s="297"/>
      <c r="CY454" s="852"/>
      <c r="CZ454" s="852"/>
      <c r="DA454" s="852"/>
      <c r="DB454" s="852"/>
      <c r="DC454" s="852"/>
      <c r="DD454" s="852"/>
      <c r="DE454" s="852"/>
      <c r="DF454" s="852"/>
      <c r="DG454" s="852"/>
      <c r="DH454" s="852"/>
      <c r="DI454" s="852"/>
      <c r="DJ454" s="852"/>
      <c r="DK454" s="852"/>
      <c r="DL454" s="177"/>
      <c r="DM454" s="177"/>
    </row>
    <row r="455" spans="5:117" s="176" customFormat="1" x14ac:dyDescent="0.2"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57"/>
      <c r="S455" s="1094"/>
      <c r="CV455" s="297"/>
      <c r="CW455" s="297"/>
      <c r="CX455" s="297"/>
      <c r="CY455" s="852"/>
      <c r="CZ455" s="852"/>
      <c r="DA455" s="852"/>
      <c r="DB455" s="852"/>
      <c r="DC455" s="852"/>
      <c r="DD455" s="852"/>
      <c r="DE455" s="852"/>
      <c r="DF455" s="852"/>
      <c r="DG455" s="852"/>
      <c r="DH455" s="852"/>
      <c r="DI455" s="852"/>
      <c r="DJ455" s="852"/>
      <c r="DK455" s="852"/>
      <c r="DL455" s="177"/>
      <c r="DM455" s="177"/>
    </row>
    <row r="456" spans="5:117" s="176" customFormat="1" x14ac:dyDescent="0.2"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57"/>
      <c r="S456" s="1094"/>
      <c r="CV456" s="297"/>
      <c r="CW456" s="297"/>
      <c r="CX456" s="297"/>
      <c r="CY456" s="852"/>
      <c r="CZ456" s="852"/>
      <c r="DA456" s="852"/>
      <c r="DB456" s="852"/>
      <c r="DC456" s="852"/>
      <c r="DD456" s="852"/>
      <c r="DE456" s="852"/>
      <c r="DF456" s="852"/>
      <c r="DG456" s="852"/>
      <c r="DH456" s="852"/>
      <c r="DI456" s="852"/>
      <c r="DJ456" s="852"/>
      <c r="DK456" s="852"/>
      <c r="DL456" s="177"/>
      <c r="DM456" s="177"/>
    </row>
    <row r="457" spans="5:117" s="176" customFormat="1" x14ac:dyDescent="0.2"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57"/>
      <c r="S457" s="1094"/>
      <c r="CV457" s="297"/>
      <c r="CW457" s="297"/>
      <c r="CX457" s="297"/>
      <c r="CY457" s="852"/>
      <c r="CZ457" s="852"/>
      <c r="DA457" s="852"/>
      <c r="DB457" s="852"/>
      <c r="DC457" s="852"/>
      <c r="DD457" s="852"/>
      <c r="DE457" s="852"/>
      <c r="DF457" s="852"/>
      <c r="DG457" s="852"/>
      <c r="DH457" s="852"/>
      <c r="DI457" s="852"/>
      <c r="DJ457" s="852"/>
      <c r="DK457" s="852"/>
      <c r="DL457" s="177"/>
      <c r="DM457" s="177"/>
    </row>
    <row r="458" spans="5:117" s="176" customFormat="1" x14ac:dyDescent="0.2"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57"/>
      <c r="S458" s="1094"/>
      <c r="CV458" s="297"/>
      <c r="CW458" s="297"/>
      <c r="CX458" s="297"/>
      <c r="CY458" s="852"/>
      <c r="CZ458" s="852"/>
      <c r="DA458" s="852"/>
      <c r="DB458" s="852"/>
      <c r="DC458" s="852"/>
      <c r="DD458" s="852"/>
      <c r="DE458" s="852"/>
      <c r="DF458" s="852"/>
      <c r="DG458" s="852"/>
      <c r="DH458" s="852"/>
      <c r="DI458" s="852"/>
      <c r="DJ458" s="852"/>
      <c r="DK458" s="852"/>
      <c r="DL458" s="177"/>
      <c r="DM458" s="177"/>
    </row>
    <row r="459" spans="5:117" s="176" customFormat="1" x14ac:dyDescent="0.2"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57"/>
      <c r="S459" s="1094"/>
      <c r="CV459" s="297"/>
      <c r="CW459" s="297"/>
      <c r="CX459" s="297"/>
      <c r="CY459" s="852"/>
      <c r="CZ459" s="852"/>
      <c r="DA459" s="852"/>
      <c r="DB459" s="852"/>
      <c r="DC459" s="852"/>
      <c r="DD459" s="852"/>
      <c r="DE459" s="852"/>
      <c r="DF459" s="852"/>
      <c r="DG459" s="852"/>
      <c r="DH459" s="852"/>
      <c r="DI459" s="852"/>
      <c r="DJ459" s="852"/>
      <c r="DK459" s="852"/>
      <c r="DL459" s="177"/>
      <c r="DM459" s="177"/>
    </row>
    <row r="460" spans="5:117" s="176" customFormat="1" x14ac:dyDescent="0.2"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57"/>
      <c r="S460" s="1094"/>
      <c r="CV460" s="297"/>
      <c r="CW460" s="297"/>
      <c r="CX460" s="297"/>
      <c r="CY460" s="852"/>
      <c r="CZ460" s="852"/>
      <c r="DA460" s="852"/>
      <c r="DB460" s="852"/>
      <c r="DC460" s="852"/>
      <c r="DD460" s="852"/>
      <c r="DE460" s="852"/>
      <c r="DF460" s="852"/>
      <c r="DG460" s="852"/>
      <c r="DH460" s="852"/>
      <c r="DI460" s="852"/>
      <c r="DJ460" s="852"/>
      <c r="DK460" s="852"/>
      <c r="DL460" s="177"/>
      <c r="DM460" s="177"/>
    </row>
    <row r="461" spans="5:117" s="176" customFormat="1" x14ac:dyDescent="0.2"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57"/>
      <c r="S461" s="1094"/>
      <c r="CV461" s="297"/>
      <c r="CW461" s="297"/>
      <c r="CX461" s="297"/>
      <c r="CY461" s="852"/>
      <c r="CZ461" s="852"/>
      <c r="DA461" s="852"/>
      <c r="DB461" s="852"/>
      <c r="DC461" s="852"/>
      <c r="DD461" s="852"/>
      <c r="DE461" s="852"/>
      <c r="DF461" s="852"/>
      <c r="DG461" s="852"/>
      <c r="DH461" s="852"/>
      <c r="DI461" s="852"/>
      <c r="DJ461" s="852"/>
      <c r="DK461" s="852"/>
      <c r="DL461" s="177"/>
      <c r="DM461" s="177"/>
    </row>
    <row r="462" spans="5:117" s="176" customFormat="1" x14ac:dyDescent="0.2"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57"/>
      <c r="S462" s="1094"/>
      <c r="CV462" s="297"/>
      <c r="CW462" s="297"/>
      <c r="CX462" s="297"/>
      <c r="CY462" s="852"/>
      <c r="CZ462" s="852"/>
      <c r="DA462" s="852"/>
      <c r="DB462" s="852"/>
      <c r="DC462" s="852"/>
      <c r="DD462" s="852"/>
      <c r="DE462" s="852"/>
      <c r="DF462" s="852"/>
      <c r="DG462" s="852"/>
      <c r="DH462" s="852"/>
      <c r="DI462" s="852"/>
      <c r="DJ462" s="852"/>
      <c r="DK462" s="852"/>
      <c r="DL462" s="177"/>
      <c r="DM462" s="177"/>
    </row>
    <row r="463" spans="5:117" s="176" customFormat="1" x14ac:dyDescent="0.2"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57"/>
      <c r="S463" s="1094"/>
      <c r="CV463" s="297"/>
      <c r="CW463" s="297"/>
      <c r="CX463" s="297"/>
      <c r="CY463" s="852"/>
      <c r="CZ463" s="852"/>
      <c r="DA463" s="852"/>
      <c r="DB463" s="852"/>
      <c r="DC463" s="852"/>
      <c r="DD463" s="852"/>
      <c r="DE463" s="852"/>
      <c r="DF463" s="852"/>
      <c r="DG463" s="852"/>
      <c r="DH463" s="852"/>
      <c r="DI463" s="852"/>
      <c r="DJ463" s="852"/>
      <c r="DK463" s="852"/>
      <c r="DL463" s="177"/>
      <c r="DM463" s="177"/>
    </row>
    <row r="464" spans="5:117" s="176" customFormat="1" x14ac:dyDescent="0.2"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57"/>
      <c r="S464" s="1094"/>
      <c r="CV464" s="297"/>
      <c r="CW464" s="297"/>
      <c r="CX464" s="297"/>
      <c r="CY464" s="852"/>
      <c r="CZ464" s="852"/>
      <c r="DA464" s="852"/>
      <c r="DB464" s="852"/>
      <c r="DC464" s="852"/>
      <c r="DD464" s="852"/>
      <c r="DE464" s="852"/>
      <c r="DF464" s="852"/>
      <c r="DG464" s="852"/>
      <c r="DH464" s="852"/>
      <c r="DI464" s="852"/>
      <c r="DJ464" s="852"/>
      <c r="DK464" s="852"/>
      <c r="DL464" s="177"/>
      <c r="DM464" s="177"/>
    </row>
    <row r="465" spans="5:117" s="176" customFormat="1" x14ac:dyDescent="0.2"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57"/>
      <c r="S465" s="1094"/>
      <c r="CV465" s="297"/>
      <c r="CW465" s="297"/>
      <c r="CX465" s="297"/>
      <c r="CY465" s="852"/>
      <c r="CZ465" s="852"/>
      <c r="DA465" s="852"/>
      <c r="DB465" s="852"/>
      <c r="DC465" s="852"/>
      <c r="DD465" s="852"/>
      <c r="DE465" s="852"/>
      <c r="DF465" s="852"/>
      <c r="DG465" s="852"/>
      <c r="DH465" s="852"/>
      <c r="DI465" s="852"/>
      <c r="DJ465" s="852"/>
      <c r="DK465" s="852"/>
      <c r="DL465" s="177"/>
      <c r="DM465" s="177"/>
    </row>
    <row r="466" spans="5:117" s="176" customFormat="1" x14ac:dyDescent="0.2"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57"/>
      <c r="S466" s="1094"/>
      <c r="CV466" s="297"/>
      <c r="CW466" s="297"/>
      <c r="CX466" s="297"/>
      <c r="CY466" s="852"/>
      <c r="CZ466" s="852"/>
      <c r="DA466" s="852"/>
      <c r="DB466" s="852"/>
      <c r="DC466" s="852"/>
      <c r="DD466" s="852"/>
      <c r="DE466" s="852"/>
      <c r="DF466" s="852"/>
      <c r="DG466" s="852"/>
      <c r="DH466" s="852"/>
      <c r="DI466" s="852"/>
      <c r="DJ466" s="852"/>
      <c r="DK466" s="852"/>
      <c r="DL466" s="177"/>
      <c r="DM466" s="177"/>
    </row>
    <row r="467" spans="5:117" s="176" customFormat="1" x14ac:dyDescent="0.2"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57"/>
      <c r="S467" s="1094"/>
      <c r="CV467" s="297"/>
      <c r="CW467" s="297"/>
      <c r="CX467" s="297"/>
      <c r="CY467" s="852"/>
      <c r="CZ467" s="852"/>
      <c r="DA467" s="852"/>
      <c r="DB467" s="852"/>
      <c r="DC467" s="852"/>
      <c r="DD467" s="852"/>
      <c r="DE467" s="852"/>
      <c r="DF467" s="852"/>
      <c r="DG467" s="852"/>
      <c r="DH467" s="852"/>
      <c r="DI467" s="852"/>
      <c r="DJ467" s="852"/>
      <c r="DK467" s="852"/>
      <c r="DL467" s="177"/>
      <c r="DM467" s="177"/>
    </row>
    <row r="468" spans="5:117" s="176" customFormat="1" x14ac:dyDescent="0.2"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57"/>
      <c r="S468" s="1094"/>
      <c r="CV468" s="297"/>
      <c r="CW468" s="297"/>
      <c r="CX468" s="297"/>
      <c r="CY468" s="852"/>
      <c r="CZ468" s="852"/>
      <c r="DA468" s="852"/>
      <c r="DB468" s="852"/>
      <c r="DC468" s="852"/>
      <c r="DD468" s="852"/>
      <c r="DE468" s="852"/>
      <c r="DF468" s="852"/>
      <c r="DG468" s="852"/>
      <c r="DH468" s="852"/>
      <c r="DI468" s="852"/>
      <c r="DJ468" s="852"/>
      <c r="DK468" s="852"/>
      <c r="DL468" s="177"/>
      <c r="DM468" s="177"/>
    </row>
    <row r="469" spans="5:117" s="176" customFormat="1" x14ac:dyDescent="0.2"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57"/>
      <c r="S469" s="1094"/>
      <c r="CV469" s="297"/>
      <c r="CW469" s="297"/>
      <c r="CX469" s="297"/>
      <c r="CY469" s="852"/>
      <c r="CZ469" s="852"/>
      <c r="DA469" s="852"/>
      <c r="DB469" s="852"/>
      <c r="DC469" s="852"/>
      <c r="DD469" s="852"/>
      <c r="DE469" s="852"/>
      <c r="DF469" s="852"/>
      <c r="DG469" s="852"/>
      <c r="DH469" s="852"/>
      <c r="DI469" s="852"/>
      <c r="DJ469" s="852"/>
      <c r="DK469" s="852"/>
      <c r="DL469" s="177"/>
      <c r="DM469" s="177"/>
    </row>
    <row r="470" spans="5:117" s="176" customFormat="1" x14ac:dyDescent="0.2"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57"/>
      <c r="S470" s="1094"/>
      <c r="CV470" s="297"/>
      <c r="CW470" s="297"/>
      <c r="CX470" s="297"/>
      <c r="CY470" s="852"/>
      <c r="CZ470" s="852"/>
      <c r="DA470" s="852"/>
      <c r="DB470" s="852"/>
      <c r="DC470" s="852"/>
      <c r="DD470" s="852"/>
      <c r="DE470" s="852"/>
      <c r="DF470" s="852"/>
      <c r="DG470" s="852"/>
      <c r="DH470" s="852"/>
      <c r="DI470" s="852"/>
      <c r="DJ470" s="852"/>
      <c r="DK470" s="852"/>
      <c r="DL470" s="177"/>
      <c r="DM470" s="177"/>
    </row>
    <row r="471" spans="5:117" s="176" customFormat="1" x14ac:dyDescent="0.2"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57"/>
      <c r="S471" s="1094"/>
      <c r="CV471" s="297"/>
      <c r="CW471" s="297"/>
      <c r="CX471" s="297"/>
      <c r="CY471" s="852"/>
      <c r="CZ471" s="852"/>
      <c r="DA471" s="852"/>
      <c r="DB471" s="852"/>
      <c r="DC471" s="852"/>
      <c r="DD471" s="852"/>
      <c r="DE471" s="852"/>
      <c r="DF471" s="852"/>
      <c r="DG471" s="852"/>
      <c r="DH471" s="852"/>
      <c r="DI471" s="852"/>
      <c r="DJ471" s="852"/>
      <c r="DK471" s="852"/>
      <c r="DL471" s="177"/>
      <c r="DM471" s="177"/>
    </row>
    <row r="472" spans="5:117" s="176" customFormat="1" x14ac:dyDescent="0.2"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57"/>
      <c r="S472" s="1094"/>
      <c r="CV472" s="297"/>
      <c r="CW472" s="297"/>
      <c r="CX472" s="297"/>
      <c r="CY472" s="852"/>
      <c r="CZ472" s="852"/>
      <c r="DA472" s="852"/>
      <c r="DB472" s="852"/>
      <c r="DC472" s="852"/>
      <c r="DD472" s="852"/>
      <c r="DE472" s="852"/>
      <c r="DF472" s="852"/>
      <c r="DG472" s="852"/>
      <c r="DH472" s="852"/>
      <c r="DI472" s="852"/>
      <c r="DJ472" s="852"/>
      <c r="DK472" s="852"/>
      <c r="DL472" s="177"/>
      <c r="DM472" s="177"/>
    </row>
    <row r="473" spans="5:117" s="176" customFormat="1" x14ac:dyDescent="0.2"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57"/>
      <c r="S473" s="1094"/>
      <c r="CV473" s="297"/>
      <c r="CW473" s="297"/>
      <c r="CX473" s="297"/>
      <c r="CY473" s="852"/>
      <c r="CZ473" s="852"/>
      <c r="DA473" s="852"/>
      <c r="DB473" s="852"/>
      <c r="DC473" s="852"/>
      <c r="DD473" s="852"/>
      <c r="DE473" s="852"/>
      <c r="DF473" s="852"/>
      <c r="DG473" s="852"/>
      <c r="DH473" s="852"/>
      <c r="DI473" s="852"/>
      <c r="DJ473" s="852"/>
      <c r="DK473" s="852"/>
      <c r="DL473" s="177"/>
      <c r="DM473" s="177"/>
    </row>
    <row r="474" spans="5:117" s="176" customFormat="1" x14ac:dyDescent="0.2"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57"/>
      <c r="S474" s="1094"/>
      <c r="CV474" s="297"/>
      <c r="CW474" s="297"/>
      <c r="CX474" s="297"/>
      <c r="CY474" s="852"/>
      <c r="CZ474" s="852"/>
      <c r="DA474" s="852"/>
      <c r="DB474" s="852"/>
      <c r="DC474" s="852"/>
      <c r="DD474" s="852"/>
      <c r="DE474" s="852"/>
      <c r="DF474" s="852"/>
      <c r="DG474" s="852"/>
      <c r="DH474" s="852"/>
      <c r="DI474" s="852"/>
      <c r="DJ474" s="852"/>
      <c r="DK474" s="852"/>
      <c r="DL474" s="177"/>
      <c r="DM474" s="177"/>
    </row>
    <row r="475" spans="5:117" s="176" customFormat="1" x14ac:dyDescent="0.2"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57"/>
      <c r="S475" s="1094"/>
      <c r="CV475" s="297"/>
      <c r="CW475" s="297"/>
      <c r="CX475" s="297"/>
      <c r="CY475" s="852"/>
      <c r="CZ475" s="852"/>
      <c r="DA475" s="852"/>
      <c r="DB475" s="852"/>
      <c r="DC475" s="852"/>
      <c r="DD475" s="852"/>
      <c r="DE475" s="852"/>
      <c r="DF475" s="852"/>
      <c r="DG475" s="852"/>
      <c r="DH475" s="852"/>
      <c r="DI475" s="852"/>
      <c r="DJ475" s="852"/>
      <c r="DK475" s="852"/>
      <c r="DL475" s="177"/>
      <c r="DM475" s="177"/>
    </row>
    <row r="476" spans="5:117" s="176" customFormat="1" x14ac:dyDescent="0.2"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57"/>
      <c r="S476" s="1094"/>
      <c r="CV476" s="297"/>
      <c r="CW476" s="297"/>
      <c r="CX476" s="297"/>
      <c r="CY476" s="852"/>
      <c r="CZ476" s="852"/>
      <c r="DA476" s="852"/>
      <c r="DB476" s="852"/>
      <c r="DC476" s="852"/>
      <c r="DD476" s="852"/>
      <c r="DE476" s="852"/>
      <c r="DF476" s="852"/>
      <c r="DG476" s="852"/>
      <c r="DH476" s="852"/>
      <c r="DI476" s="852"/>
      <c r="DJ476" s="852"/>
      <c r="DK476" s="852"/>
      <c r="DL476" s="177"/>
      <c r="DM476" s="177"/>
    </row>
    <row r="477" spans="5:117" s="176" customFormat="1" x14ac:dyDescent="0.2"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57"/>
      <c r="S477" s="1094"/>
      <c r="CV477" s="297"/>
      <c r="CW477" s="297"/>
      <c r="CX477" s="297"/>
      <c r="CY477" s="852"/>
      <c r="CZ477" s="852"/>
      <c r="DA477" s="852"/>
      <c r="DB477" s="852"/>
      <c r="DC477" s="852"/>
      <c r="DD477" s="852"/>
      <c r="DE477" s="852"/>
      <c r="DF477" s="852"/>
      <c r="DG477" s="852"/>
      <c r="DH477" s="852"/>
      <c r="DI477" s="852"/>
      <c r="DJ477" s="852"/>
      <c r="DK477" s="852"/>
      <c r="DL477" s="177"/>
      <c r="DM477" s="177"/>
    </row>
    <row r="478" spans="5:117" s="176" customFormat="1" x14ac:dyDescent="0.2"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57"/>
      <c r="S478" s="1094"/>
      <c r="CV478" s="297"/>
      <c r="CW478" s="297"/>
      <c r="CX478" s="297"/>
      <c r="CY478" s="852"/>
      <c r="CZ478" s="852"/>
      <c r="DA478" s="852"/>
      <c r="DB478" s="852"/>
      <c r="DC478" s="852"/>
      <c r="DD478" s="852"/>
      <c r="DE478" s="852"/>
      <c r="DF478" s="852"/>
      <c r="DG478" s="852"/>
      <c r="DH478" s="852"/>
      <c r="DI478" s="852"/>
      <c r="DJ478" s="852"/>
      <c r="DK478" s="852"/>
      <c r="DL478" s="177"/>
      <c r="DM478" s="177"/>
    </row>
    <row r="479" spans="5:117" s="176" customFormat="1" x14ac:dyDescent="0.2"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57"/>
      <c r="S479" s="1094"/>
      <c r="CV479" s="297"/>
      <c r="CW479" s="297"/>
      <c r="CX479" s="297"/>
      <c r="CY479" s="852"/>
      <c r="CZ479" s="852"/>
      <c r="DA479" s="852"/>
      <c r="DB479" s="852"/>
      <c r="DC479" s="852"/>
      <c r="DD479" s="852"/>
      <c r="DE479" s="852"/>
      <c r="DF479" s="852"/>
      <c r="DG479" s="852"/>
      <c r="DH479" s="852"/>
      <c r="DI479" s="852"/>
      <c r="DJ479" s="852"/>
      <c r="DK479" s="852"/>
      <c r="DL479" s="177"/>
      <c r="DM479" s="177"/>
    </row>
    <row r="480" spans="5:117" s="176" customFormat="1" x14ac:dyDescent="0.2"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57"/>
      <c r="S480" s="1094"/>
      <c r="CV480" s="297"/>
      <c r="CW480" s="297"/>
      <c r="CX480" s="297"/>
      <c r="CY480" s="852"/>
      <c r="CZ480" s="852"/>
      <c r="DA480" s="852"/>
      <c r="DB480" s="852"/>
      <c r="DC480" s="852"/>
      <c r="DD480" s="852"/>
      <c r="DE480" s="852"/>
      <c r="DF480" s="852"/>
      <c r="DG480" s="852"/>
      <c r="DH480" s="852"/>
      <c r="DI480" s="852"/>
      <c r="DJ480" s="852"/>
      <c r="DK480" s="852"/>
      <c r="DL480" s="177"/>
      <c r="DM480" s="177"/>
    </row>
    <row r="481" spans="5:117" s="176" customFormat="1" x14ac:dyDescent="0.2"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57"/>
      <c r="S481" s="1094"/>
      <c r="CV481" s="297"/>
      <c r="CW481" s="297"/>
      <c r="CX481" s="297"/>
      <c r="CY481" s="852"/>
      <c r="CZ481" s="852"/>
      <c r="DA481" s="852"/>
      <c r="DB481" s="852"/>
      <c r="DC481" s="852"/>
      <c r="DD481" s="852"/>
      <c r="DE481" s="852"/>
      <c r="DF481" s="852"/>
      <c r="DG481" s="852"/>
      <c r="DH481" s="852"/>
      <c r="DI481" s="852"/>
      <c r="DJ481" s="852"/>
      <c r="DK481" s="852"/>
      <c r="DL481" s="177"/>
      <c r="DM481" s="177"/>
    </row>
    <row r="482" spans="5:117" s="176" customFormat="1" x14ac:dyDescent="0.2"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57"/>
      <c r="S482" s="1094"/>
      <c r="CV482" s="297"/>
      <c r="CW482" s="297"/>
      <c r="CX482" s="297"/>
      <c r="CY482" s="852"/>
      <c r="CZ482" s="852"/>
      <c r="DA482" s="852"/>
      <c r="DB482" s="852"/>
      <c r="DC482" s="852"/>
      <c r="DD482" s="852"/>
      <c r="DE482" s="852"/>
      <c r="DF482" s="852"/>
      <c r="DG482" s="852"/>
      <c r="DH482" s="852"/>
      <c r="DI482" s="852"/>
      <c r="DJ482" s="852"/>
      <c r="DK482" s="852"/>
      <c r="DL482" s="177"/>
      <c r="DM482" s="177"/>
    </row>
    <row r="483" spans="5:117" s="176" customFormat="1" x14ac:dyDescent="0.2"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57"/>
      <c r="S483" s="1094"/>
      <c r="CV483" s="297"/>
      <c r="CW483" s="297"/>
      <c r="CX483" s="297"/>
      <c r="CY483" s="852"/>
      <c r="CZ483" s="852"/>
      <c r="DA483" s="852"/>
      <c r="DB483" s="852"/>
      <c r="DC483" s="852"/>
      <c r="DD483" s="852"/>
      <c r="DE483" s="852"/>
      <c r="DF483" s="852"/>
      <c r="DG483" s="852"/>
      <c r="DH483" s="852"/>
      <c r="DI483" s="852"/>
      <c r="DJ483" s="852"/>
      <c r="DK483" s="852"/>
      <c r="DL483" s="177"/>
      <c r="DM483" s="177"/>
    </row>
    <row r="484" spans="5:117" s="176" customFormat="1" x14ac:dyDescent="0.2"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57"/>
      <c r="S484" s="1094"/>
      <c r="CV484" s="297"/>
      <c r="CW484" s="297"/>
      <c r="CX484" s="297"/>
      <c r="CY484" s="852"/>
      <c r="CZ484" s="852"/>
      <c r="DA484" s="852"/>
      <c r="DB484" s="852"/>
      <c r="DC484" s="852"/>
      <c r="DD484" s="852"/>
      <c r="DE484" s="852"/>
      <c r="DF484" s="852"/>
      <c r="DG484" s="852"/>
      <c r="DH484" s="852"/>
      <c r="DI484" s="852"/>
      <c r="DJ484" s="852"/>
      <c r="DK484" s="852"/>
      <c r="DL484" s="177"/>
      <c r="DM484" s="177"/>
    </row>
    <row r="485" spans="5:117" s="176" customFormat="1" x14ac:dyDescent="0.2"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57"/>
      <c r="S485" s="1094"/>
      <c r="CV485" s="297"/>
      <c r="CW485" s="297"/>
      <c r="CX485" s="297"/>
      <c r="CY485" s="852"/>
      <c r="CZ485" s="852"/>
      <c r="DA485" s="852"/>
      <c r="DB485" s="852"/>
      <c r="DC485" s="852"/>
      <c r="DD485" s="852"/>
      <c r="DE485" s="852"/>
      <c r="DF485" s="852"/>
      <c r="DG485" s="852"/>
      <c r="DH485" s="852"/>
      <c r="DI485" s="852"/>
      <c r="DJ485" s="852"/>
      <c r="DK485" s="852"/>
      <c r="DL485" s="177"/>
      <c r="DM485" s="177"/>
    </row>
    <row r="486" spans="5:117" s="176" customFormat="1" x14ac:dyDescent="0.2"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57"/>
      <c r="S486" s="1094"/>
      <c r="CV486" s="297"/>
      <c r="CW486" s="297"/>
      <c r="CX486" s="297"/>
      <c r="CY486" s="852"/>
      <c r="CZ486" s="852"/>
      <c r="DA486" s="852"/>
      <c r="DB486" s="852"/>
      <c r="DC486" s="852"/>
      <c r="DD486" s="852"/>
      <c r="DE486" s="852"/>
      <c r="DF486" s="852"/>
      <c r="DG486" s="852"/>
      <c r="DH486" s="852"/>
      <c r="DI486" s="852"/>
      <c r="DJ486" s="852"/>
      <c r="DK486" s="852"/>
      <c r="DL486" s="177"/>
      <c r="DM486" s="177"/>
    </row>
    <row r="487" spans="5:117" s="176" customFormat="1" x14ac:dyDescent="0.2"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57"/>
      <c r="S487" s="1094"/>
      <c r="CV487" s="297"/>
      <c r="CW487" s="297"/>
      <c r="CX487" s="297"/>
      <c r="CY487" s="852"/>
      <c r="CZ487" s="852"/>
      <c r="DA487" s="852"/>
      <c r="DB487" s="852"/>
      <c r="DC487" s="852"/>
      <c r="DD487" s="852"/>
      <c r="DE487" s="852"/>
      <c r="DF487" s="852"/>
      <c r="DG487" s="852"/>
      <c r="DH487" s="852"/>
      <c r="DI487" s="852"/>
      <c r="DJ487" s="852"/>
      <c r="DK487" s="852"/>
      <c r="DL487" s="177"/>
      <c r="DM487" s="177"/>
    </row>
    <row r="488" spans="5:117" s="176" customFormat="1" x14ac:dyDescent="0.2"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57"/>
      <c r="S488" s="1094"/>
      <c r="CV488" s="297"/>
      <c r="CW488" s="297"/>
      <c r="CX488" s="297"/>
      <c r="CY488" s="852"/>
      <c r="CZ488" s="852"/>
      <c r="DA488" s="852"/>
      <c r="DB488" s="852"/>
      <c r="DC488" s="852"/>
      <c r="DD488" s="852"/>
      <c r="DE488" s="852"/>
      <c r="DF488" s="852"/>
      <c r="DG488" s="852"/>
      <c r="DH488" s="852"/>
      <c r="DI488" s="852"/>
      <c r="DJ488" s="852"/>
      <c r="DK488" s="852"/>
      <c r="DL488" s="177"/>
      <c r="DM488" s="177"/>
    </row>
    <row r="489" spans="5:117" s="176" customFormat="1" x14ac:dyDescent="0.2"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57"/>
      <c r="S489" s="1094"/>
      <c r="CV489" s="297"/>
      <c r="CW489" s="297"/>
      <c r="CX489" s="297"/>
      <c r="CY489" s="852"/>
      <c r="CZ489" s="852"/>
      <c r="DA489" s="852"/>
      <c r="DB489" s="852"/>
      <c r="DC489" s="852"/>
      <c r="DD489" s="852"/>
      <c r="DE489" s="852"/>
      <c r="DF489" s="852"/>
      <c r="DG489" s="852"/>
      <c r="DH489" s="852"/>
      <c r="DI489" s="852"/>
      <c r="DJ489" s="852"/>
      <c r="DK489" s="852"/>
      <c r="DL489" s="177"/>
      <c r="DM489" s="177"/>
    </row>
    <row r="490" spans="5:117" s="176" customFormat="1" x14ac:dyDescent="0.2"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57"/>
      <c r="S490" s="1094"/>
      <c r="CV490" s="297"/>
      <c r="CW490" s="297"/>
      <c r="CX490" s="297"/>
      <c r="CY490" s="852"/>
      <c r="CZ490" s="852"/>
      <c r="DA490" s="852"/>
      <c r="DB490" s="852"/>
      <c r="DC490" s="852"/>
      <c r="DD490" s="852"/>
      <c r="DE490" s="852"/>
      <c r="DF490" s="852"/>
      <c r="DG490" s="852"/>
      <c r="DH490" s="852"/>
      <c r="DI490" s="852"/>
      <c r="DJ490" s="852"/>
      <c r="DK490" s="852"/>
      <c r="DL490" s="177"/>
      <c r="DM490" s="177"/>
    </row>
    <row r="491" spans="5:117" s="176" customFormat="1" x14ac:dyDescent="0.2"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57"/>
      <c r="S491" s="1094"/>
      <c r="CV491" s="297"/>
      <c r="CW491" s="297"/>
      <c r="CX491" s="297"/>
      <c r="CY491" s="852"/>
      <c r="CZ491" s="852"/>
      <c r="DA491" s="852"/>
      <c r="DB491" s="852"/>
      <c r="DC491" s="852"/>
      <c r="DD491" s="852"/>
      <c r="DE491" s="852"/>
      <c r="DF491" s="852"/>
      <c r="DG491" s="852"/>
      <c r="DH491" s="852"/>
      <c r="DI491" s="852"/>
      <c r="DJ491" s="852"/>
      <c r="DK491" s="852"/>
      <c r="DL491" s="177"/>
      <c r="DM491" s="177"/>
    </row>
    <row r="492" spans="5:117" s="176" customFormat="1" x14ac:dyDescent="0.2"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57"/>
      <c r="S492" s="1094"/>
      <c r="CV492" s="297"/>
      <c r="CW492" s="297"/>
      <c r="CX492" s="297"/>
      <c r="CY492" s="852"/>
      <c r="CZ492" s="852"/>
      <c r="DA492" s="852"/>
      <c r="DB492" s="852"/>
      <c r="DC492" s="852"/>
      <c r="DD492" s="852"/>
      <c r="DE492" s="852"/>
      <c r="DF492" s="852"/>
      <c r="DG492" s="852"/>
      <c r="DH492" s="852"/>
      <c r="DI492" s="852"/>
      <c r="DJ492" s="852"/>
      <c r="DK492" s="852"/>
      <c r="DL492" s="177"/>
      <c r="DM492" s="177"/>
    </row>
    <row r="493" spans="5:117" s="176" customFormat="1" x14ac:dyDescent="0.2"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57"/>
      <c r="S493" s="1094"/>
      <c r="CV493" s="297"/>
      <c r="CW493" s="297"/>
      <c r="CX493" s="297"/>
      <c r="CY493" s="852"/>
      <c r="CZ493" s="852"/>
      <c r="DA493" s="852"/>
      <c r="DB493" s="852"/>
      <c r="DC493" s="852"/>
      <c r="DD493" s="852"/>
      <c r="DE493" s="852"/>
      <c r="DF493" s="852"/>
      <c r="DG493" s="852"/>
      <c r="DH493" s="852"/>
      <c r="DI493" s="852"/>
      <c r="DJ493" s="852"/>
      <c r="DK493" s="852"/>
      <c r="DL493" s="177"/>
      <c r="DM493" s="177"/>
    </row>
    <row r="494" spans="5:117" s="176" customFormat="1" x14ac:dyDescent="0.2"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57"/>
      <c r="S494" s="1094"/>
      <c r="CV494" s="297"/>
      <c r="CW494" s="297"/>
      <c r="CX494" s="297"/>
      <c r="CY494" s="852"/>
      <c r="CZ494" s="852"/>
      <c r="DA494" s="852"/>
      <c r="DB494" s="852"/>
      <c r="DC494" s="852"/>
      <c r="DD494" s="852"/>
      <c r="DE494" s="852"/>
      <c r="DF494" s="852"/>
      <c r="DG494" s="852"/>
      <c r="DH494" s="852"/>
      <c r="DI494" s="852"/>
      <c r="DJ494" s="852"/>
      <c r="DK494" s="852"/>
      <c r="DL494" s="177"/>
      <c r="DM494" s="177"/>
    </row>
    <row r="495" spans="5:117" s="176" customFormat="1" x14ac:dyDescent="0.2"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57"/>
      <c r="S495" s="1094"/>
      <c r="CV495" s="297"/>
      <c r="CW495" s="297"/>
      <c r="CX495" s="297"/>
      <c r="CY495" s="852"/>
      <c r="CZ495" s="852"/>
      <c r="DA495" s="852"/>
      <c r="DB495" s="852"/>
      <c r="DC495" s="852"/>
      <c r="DD495" s="852"/>
      <c r="DE495" s="852"/>
      <c r="DF495" s="852"/>
      <c r="DG495" s="852"/>
      <c r="DH495" s="852"/>
      <c r="DI495" s="852"/>
      <c r="DJ495" s="852"/>
      <c r="DK495" s="852"/>
      <c r="DL495" s="177"/>
      <c r="DM495" s="177"/>
    </row>
    <row r="496" spans="5:117" s="176" customFormat="1" x14ac:dyDescent="0.2"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57"/>
      <c r="S496" s="1094"/>
      <c r="CV496" s="297"/>
      <c r="CW496" s="297"/>
      <c r="CX496" s="297"/>
      <c r="CY496" s="852"/>
      <c r="CZ496" s="852"/>
      <c r="DA496" s="852"/>
      <c r="DB496" s="852"/>
      <c r="DC496" s="852"/>
      <c r="DD496" s="852"/>
      <c r="DE496" s="852"/>
      <c r="DF496" s="852"/>
      <c r="DG496" s="852"/>
      <c r="DH496" s="852"/>
      <c r="DI496" s="852"/>
      <c r="DJ496" s="852"/>
      <c r="DK496" s="852"/>
      <c r="DL496" s="177"/>
      <c r="DM496" s="177"/>
    </row>
    <row r="497" spans="5:117" s="176" customFormat="1" x14ac:dyDescent="0.2"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57"/>
      <c r="S497" s="1094"/>
      <c r="CV497" s="297"/>
      <c r="CW497" s="297"/>
      <c r="CX497" s="297"/>
      <c r="CY497" s="852"/>
      <c r="CZ497" s="852"/>
      <c r="DA497" s="852"/>
      <c r="DB497" s="852"/>
      <c r="DC497" s="852"/>
      <c r="DD497" s="852"/>
      <c r="DE497" s="852"/>
      <c r="DF497" s="852"/>
      <c r="DG497" s="852"/>
      <c r="DH497" s="852"/>
      <c r="DI497" s="852"/>
      <c r="DJ497" s="852"/>
      <c r="DK497" s="852"/>
      <c r="DL497" s="177"/>
      <c r="DM497" s="177"/>
    </row>
    <row r="498" spans="5:117" s="176" customFormat="1" x14ac:dyDescent="0.2"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57"/>
      <c r="S498" s="1094"/>
      <c r="CV498" s="297"/>
      <c r="CW498" s="297"/>
      <c r="CX498" s="297"/>
      <c r="CY498" s="852"/>
      <c r="CZ498" s="852"/>
      <c r="DA498" s="852"/>
      <c r="DB498" s="852"/>
      <c r="DC498" s="852"/>
      <c r="DD498" s="852"/>
      <c r="DE498" s="852"/>
      <c r="DF498" s="852"/>
      <c r="DG498" s="852"/>
      <c r="DH498" s="852"/>
      <c r="DI498" s="852"/>
      <c r="DJ498" s="852"/>
      <c r="DK498" s="852"/>
      <c r="DL498" s="177"/>
      <c r="DM498" s="177"/>
    </row>
    <row r="499" spans="5:117" s="176" customFormat="1" x14ac:dyDescent="0.2"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57"/>
      <c r="S499" s="1094"/>
      <c r="CV499" s="297"/>
      <c r="CW499" s="297"/>
      <c r="CX499" s="297"/>
      <c r="CY499" s="852"/>
      <c r="CZ499" s="852"/>
      <c r="DA499" s="852"/>
      <c r="DB499" s="852"/>
      <c r="DC499" s="852"/>
      <c r="DD499" s="852"/>
      <c r="DE499" s="852"/>
      <c r="DF499" s="852"/>
      <c r="DG499" s="852"/>
      <c r="DH499" s="852"/>
      <c r="DI499" s="852"/>
      <c r="DJ499" s="852"/>
      <c r="DK499" s="852"/>
      <c r="DL499" s="177"/>
      <c r="DM499" s="177"/>
    </row>
    <row r="500" spans="5:117" s="176" customFormat="1" x14ac:dyDescent="0.2"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57"/>
      <c r="S500" s="1094"/>
      <c r="CV500" s="297"/>
      <c r="CW500" s="297"/>
      <c r="CX500" s="297"/>
      <c r="CY500" s="852"/>
      <c r="CZ500" s="852"/>
      <c r="DA500" s="852"/>
      <c r="DB500" s="852"/>
      <c r="DC500" s="852"/>
      <c r="DD500" s="852"/>
      <c r="DE500" s="852"/>
      <c r="DF500" s="852"/>
      <c r="DG500" s="852"/>
      <c r="DH500" s="852"/>
      <c r="DI500" s="852"/>
      <c r="DJ500" s="852"/>
      <c r="DK500" s="852"/>
      <c r="DL500" s="177"/>
      <c r="DM500" s="177"/>
    </row>
    <row r="501" spans="5:117" s="176" customFormat="1" x14ac:dyDescent="0.2"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57"/>
      <c r="S501" s="1094"/>
      <c r="CV501" s="297"/>
      <c r="CW501" s="297"/>
      <c r="CX501" s="297"/>
      <c r="CY501" s="852"/>
      <c r="CZ501" s="852"/>
      <c r="DA501" s="852"/>
      <c r="DB501" s="852"/>
      <c r="DC501" s="852"/>
      <c r="DD501" s="852"/>
      <c r="DE501" s="852"/>
      <c r="DF501" s="852"/>
      <c r="DG501" s="852"/>
      <c r="DH501" s="852"/>
      <c r="DI501" s="852"/>
      <c r="DJ501" s="852"/>
      <c r="DK501" s="852"/>
      <c r="DL501" s="177"/>
      <c r="DM501" s="177"/>
    </row>
    <row r="502" spans="5:117" s="176" customFormat="1" x14ac:dyDescent="0.2"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57"/>
      <c r="S502" s="1094"/>
      <c r="CV502" s="297"/>
      <c r="CW502" s="297"/>
      <c r="CX502" s="297"/>
      <c r="CY502" s="852"/>
      <c r="CZ502" s="852"/>
      <c r="DA502" s="852"/>
      <c r="DB502" s="852"/>
      <c r="DC502" s="852"/>
      <c r="DD502" s="852"/>
      <c r="DE502" s="852"/>
      <c r="DF502" s="852"/>
      <c r="DG502" s="852"/>
      <c r="DH502" s="852"/>
      <c r="DI502" s="852"/>
      <c r="DJ502" s="852"/>
      <c r="DK502" s="852"/>
      <c r="DL502" s="177"/>
      <c r="DM502" s="177"/>
    </row>
    <row r="503" spans="5:117" s="176" customFormat="1" x14ac:dyDescent="0.2"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57"/>
      <c r="S503" s="1094"/>
      <c r="CV503" s="297"/>
      <c r="CW503" s="297"/>
      <c r="CX503" s="297"/>
      <c r="CY503" s="852"/>
      <c r="CZ503" s="852"/>
      <c r="DA503" s="852"/>
      <c r="DB503" s="852"/>
      <c r="DC503" s="852"/>
      <c r="DD503" s="852"/>
      <c r="DE503" s="852"/>
      <c r="DF503" s="852"/>
      <c r="DG503" s="852"/>
      <c r="DH503" s="852"/>
      <c r="DI503" s="852"/>
      <c r="DJ503" s="852"/>
      <c r="DK503" s="852"/>
      <c r="DL503" s="177"/>
      <c r="DM503" s="177"/>
    </row>
    <row r="504" spans="5:117" s="176" customFormat="1" x14ac:dyDescent="0.2"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57"/>
      <c r="S504" s="1094"/>
      <c r="CV504" s="297"/>
      <c r="CW504" s="297"/>
      <c r="CX504" s="297"/>
      <c r="CY504" s="852"/>
      <c r="CZ504" s="852"/>
      <c r="DA504" s="852"/>
      <c r="DB504" s="852"/>
      <c r="DC504" s="852"/>
      <c r="DD504" s="852"/>
      <c r="DE504" s="852"/>
      <c r="DF504" s="852"/>
      <c r="DG504" s="852"/>
      <c r="DH504" s="852"/>
      <c r="DI504" s="852"/>
      <c r="DJ504" s="852"/>
      <c r="DK504" s="852"/>
      <c r="DL504" s="177"/>
      <c r="DM504" s="177"/>
    </row>
    <row r="505" spans="5:117" s="176" customFormat="1" x14ac:dyDescent="0.2"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57"/>
      <c r="S505" s="1094"/>
      <c r="CV505" s="297"/>
      <c r="CW505" s="297"/>
      <c r="CX505" s="297"/>
      <c r="CY505" s="852"/>
      <c r="CZ505" s="852"/>
      <c r="DA505" s="852"/>
      <c r="DB505" s="852"/>
      <c r="DC505" s="852"/>
      <c r="DD505" s="852"/>
      <c r="DE505" s="852"/>
      <c r="DF505" s="852"/>
      <c r="DG505" s="852"/>
      <c r="DH505" s="852"/>
      <c r="DI505" s="852"/>
      <c r="DJ505" s="852"/>
      <c r="DK505" s="852"/>
      <c r="DL505" s="177"/>
      <c r="DM505" s="177"/>
    </row>
    <row r="506" spans="5:117" s="176" customFormat="1" x14ac:dyDescent="0.2"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57"/>
      <c r="S506" s="1094"/>
      <c r="CV506" s="297"/>
      <c r="CW506" s="297"/>
      <c r="CX506" s="297"/>
      <c r="CY506" s="852"/>
      <c r="CZ506" s="852"/>
      <c r="DA506" s="852"/>
      <c r="DB506" s="852"/>
      <c r="DC506" s="852"/>
      <c r="DD506" s="852"/>
      <c r="DE506" s="852"/>
      <c r="DF506" s="852"/>
      <c r="DG506" s="852"/>
      <c r="DH506" s="852"/>
      <c r="DI506" s="852"/>
      <c r="DJ506" s="852"/>
      <c r="DK506" s="852"/>
      <c r="DL506" s="177"/>
      <c r="DM506" s="177"/>
    </row>
    <row r="507" spans="5:117" s="176" customFormat="1" x14ac:dyDescent="0.2"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57"/>
      <c r="S507" s="1094"/>
      <c r="CV507" s="297"/>
      <c r="CW507" s="297"/>
      <c r="CX507" s="297"/>
      <c r="CY507" s="852"/>
      <c r="CZ507" s="852"/>
      <c r="DA507" s="852"/>
      <c r="DB507" s="852"/>
      <c r="DC507" s="852"/>
      <c r="DD507" s="852"/>
      <c r="DE507" s="852"/>
      <c r="DF507" s="852"/>
      <c r="DG507" s="852"/>
      <c r="DH507" s="852"/>
      <c r="DI507" s="852"/>
      <c r="DJ507" s="852"/>
      <c r="DK507" s="852"/>
      <c r="DL507" s="177"/>
      <c r="DM507" s="177"/>
    </row>
    <row r="508" spans="5:117" s="176" customFormat="1" x14ac:dyDescent="0.2"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57"/>
      <c r="S508" s="1094"/>
      <c r="CV508" s="297"/>
      <c r="CW508" s="297"/>
      <c r="CX508" s="297"/>
      <c r="CY508" s="852"/>
      <c r="CZ508" s="852"/>
      <c r="DA508" s="852"/>
      <c r="DB508" s="852"/>
      <c r="DC508" s="852"/>
      <c r="DD508" s="852"/>
      <c r="DE508" s="852"/>
      <c r="DF508" s="852"/>
      <c r="DG508" s="852"/>
      <c r="DH508" s="852"/>
      <c r="DI508" s="852"/>
      <c r="DJ508" s="852"/>
      <c r="DK508" s="852"/>
      <c r="DL508" s="177"/>
      <c r="DM508" s="177"/>
    </row>
    <row r="509" spans="5:117" s="176" customFormat="1" x14ac:dyDescent="0.2"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57"/>
      <c r="S509" s="1094"/>
      <c r="CV509" s="297"/>
      <c r="CW509" s="297"/>
      <c r="CX509" s="297"/>
      <c r="CY509" s="852"/>
      <c r="CZ509" s="852"/>
      <c r="DA509" s="852"/>
      <c r="DB509" s="852"/>
      <c r="DC509" s="852"/>
      <c r="DD509" s="852"/>
      <c r="DE509" s="852"/>
      <c r="DF509" s="852"/>
      <c r="DG509" s="852"/>
      <c r="DH509" s="852"/>
      <c r="DI509" s="852"/>
      <c r="DJ509" s="852"/>
      <c r="DK509" s="852"/>
      <c r="DL509" s="177"/>
      <c r="DM509" s="177"/>
    </row>
    <row r="510" spans="5:117" s="176" customFormat="1" x14ac:dyDescent="0.2"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57"/>
      <c r="S510" s="1094"/>
      <c r="CV510" s="297"/>
      <c r="CW510" s="297"/>
      <c r="CX510" s="297"/>
      <c r="CY510" s="852"/>
      <c r="CZ510" s="852"/>
      <c r="DA510" s="852"/>
      <c r="DB510" s="852"/>
      <c r="DC510" s="852"/>
      <c r="DD510" s="852"/>
      <c r="DE510" s="852"/>
      <c r="DF510" s="852"/>
      <c r="DG510" s="852"/>
      <c r="DH510" s="852"/>
      <c r="DI510" s="852"/>
      <c r="DJ510" s="852"/>
      <c r="DK510" s="852"/>
      <c r="DL510" s="177"/>
      <c r="DM510" s="177"/>
    </row>
    <row r="511" spans="5:117" s="176" customFormat="1" x14ac:dyDescent="0.2"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57"/>
      <c r="S511" s="1094"/>
      <c r="CV511" s="297"/>
      <c r="CW511" s="297"/>
      <c r="CX511" s="297"/>
      <c r="CY511" s="852"/>
      <c r="CZ511" s="852"/>
      <c r="DA511" s="852"/>
      <c r="DB511" s="852"/>
      <c r="DC511" s="852"/>
      <c r="DD511" s="852"/>
      <c r="DE511" s="852"/>
      <c r="DF511" s="852"/>
      <c r="DG511" s="852"/>
      <c r="DH511" s="852"/>
      <c r="DI511" s="852"/>
      <c r="DJ511" s="852"/>
      <c r="DK511" s="852"/>
      <c r="DL511" s="177"/>
      <c r="DM511" s="177"/>
    </row>
    <row r="512" spans="5:117" s="176" customFormat="1" x14ac:dyDescent="0.2"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57"/>
      <c r="S512" s="1094"/>
      <c r="CV512" s="297"/>
      <c r="CW512" s="297"/>
      <c r="CX512" s="297"/>
      <c r="CY512" s="852"/>
      <c r="CZ512" s="852"/>
      <c r="DA512" s="852"/>
      <c r="DB512" s="852"/>
      <c r="DC512" s="852"/>
      <c r="DD512" s="852"/>
      <c r="DE512" s="852"/>
      <c r="DF512" s="852"/>
      <c r="DG512" s="852"/>
      <c r="DH512" s="852"/>
      <c r="DI512" s="852"/>
      <c r="DJ512" s="852"/>
      <c r="DK512" s="852"/>
      <c r="DL512" s="177"/>
      <c r="DM512" s="177"/>
    </row>
    <row r="513" spans="5:117" s="176" customFormat="1" x14ac:dyDescent="0.2"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57"/>
      <c r="S513" s="1094"/>
      <c r="CV513" s="297"/>
      <c r="CW513" s="297"/>
      <c r="CX513" s="297"/>
      <c r="CY513" s="852"/>
      <c r="CZ513" s="852"/>
      <c r="DA513" s="852"/>
      <c r="DB513" s="852"/>
      <c r="DC513" s="852"/>
      <c r="DD513" s="852"/>
      <c r="DE513" s="852"/>
      <c r="DF513" s="852"/>
      <c r="DG513" s="852"/>
      <c r="DH513" s="852"/>
      <c r="DI513" s="852"/>
      <c r="DJ513" s="852"/>
      <c r="DK513" s="852"/>
      <c r="DL513" s="177"/>
      <c r="DM513" s="177"/>
    </row>
    <row r="514" spans="5:117" s="176" customFormat="1" x14ac:dyDescent="0.2"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57"/>
      <c r="S514" s="1094"/>
      <c r="CV514" s="297"/>
      <c r="CW514" s="297"/>
      <c r="CX514" s="297"/>
      <c r="CY514" s="852"/>
      <c r="CZ514" s="852"/>
      <c r="DA514" s="852"/>
      <c r="DB514" s="852"/>
      <c r="DC514" s="852"/>
      <c r="DD514" s="852"/>
      <c r="DE514" s="852"/>
      <c r="DF514" s="852"/>
      <c r="DG514" s="852"/>
      <c r="DH514" s="852"/>
      <c r="DI514" s="852"/>
      <c r="DJ514" s="852"/>
      <c r="DK514" s="852"/>
      <c r="DL514" s="177"/>
      <c r="DM514" s="177"/>
    </row>
    <row r="515" spans="5:117" s="176" customFormat="1" x14ac:dyDescent="0.2"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57"/>
      <c r="S515" s="1094"/>
      <c r="CV515" s="297"/>
      <c r="CW515" s="297"/>
      <c r="CX515" s="297"/>
      <c r="CY515" s="852"/>
      <c r="CZ515" s="852"/>
      <c r="DA515" s="852"/>
      <c r="DB515" s="852"/>
      <c r="DC515" s="852"/>
      <c r="DD515" s="852"/>
      <c r="DE515" s="852"/>
      <c r="DF515" s="852"/>
      <c r="DG515" s="852"/>
      <c r="DH515" s="852"/>
      <c r="DI515" s="852"/>
      <c r="DJ515" s="852"/>
      <c r="DK515" s="852"/>
      <c r="DL515" s="177"/>
      <c r="DM515" s="177"/>
    </row>
    <row r="516" spans="5:117" s="176" customFormat="1" x14ac:dyDescent="0.2"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57"/>
      <c r="S516" s="1094"/>
      <c r="CV516" s="297"/>
      <c r="CW516" s="297"/>
      <c r="CX516" s="297"/>
      <c r="CY516" s="852"/>
      <c r="CZ516" s="852"/>
      <c r="DA516" s="852"/>
      <c r="DB516" s="852"/>
      <c r="DC516" s="852"/>
      <c r="DD516" s="852"/>
      <c r="DE516" s="852"/>
      <c r="DF516" s="852"/>
      <c r="DG516" s="852"/>
      <c r="DH516" s="852"/>
      <c r="DI516" s="852"/>
      <c r="DJ516" s="852"/>
      <c r="DK516" s="852"/>
      <c r="DL516" s="177"/>
      <c r="DM516" s="177"/>
    </row>
    <row r="517" spans="5:117" s="176" customFormat="1" x14ac:dyDescent="0.2"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57"/>
      <c r="S517" s="1094"/>
      <c r="CV517" s="297"/>
      <c r="CW517" s="297"/>
      <c r="CX517" s="297"/>
      <c r="CY517" s="852"/>
      <c r="CZ517" s="852"/>
      <c r="DA517" s="852"/>
      <c r="DB517" s="852"/>
      <c r="DC517" s="852"/>
      <c r="DD517" s="852"/>
      <c r="DE517" s="852"/>
      <c r="DF517" s="852"/>
      <c r="DG517" s="852"/>
      <c r="DH517" s="852"/>
      <c r="DI517" s="852"/>
      <c r="DJ517" s="852"/>
      <c r="DK517" s="852"/>
      <c r="DL517" s="177"/>
      <c r="DM517" s="177"/>
    </row>
    <row r="518" spans="5:117" s="176" customFormat="1" x14ac:dyDescent="0.2"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57"/>
      <c r="S518" s="1094"/>
      <c r="CV518" s="297"/>
      <c r="CW518" s="297"/>
      <c r="CX518" s="297"/>
      <c r="CY518" s="852"/>
      <c r="CZ518" s="852"/>
      <c r="DA518" s="852"/>
      <c r="DB518" s="852"/>
      <c r="DC518" s="852"/>
      <c r="DD518" s="852"/>
      <c r="DE518" s="852"/>
      <c r="DF518" s="852"/>
      <c r="DG518" s="852"/>
      <c r="DH518" s="852"/>
      <c r="DI518" s="852"/>
      <c r="DJ518" s="852"/>
      <c r="DK518" s="852"/>
      <c r="DL518" s="177"/>
      <c r="DM518" s="177"/>
    </row>
    <row r="519" spans="5:117" s="176" customFormat="1" x14ac:dyDescent="0.2"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57"/>
      <c r="S519" s="1094"/>
      <c r="CV519" s="297"/>
      <c r="CW519" s="297"/>
      <c r="CX519" s="297"/>
      <c r="CY519" s="852"/>
      <c r="CZ519" s="852"/>
      <c r="DA519" s="852"/>
      <c r="DB519" s="852"/>
      <c r="DC519" s="852"/>
      <c r="DD519" s="852"/>
      <c r="DE519" s="852"/>
      <c r="DF519" s="852"/>
      <c r="DG519" s="852"/>
      <c r="DH519" s="852"/>
      <c r="DI519" s="852"/>
      <c r="DJ519" s="852"/>
      <c r="DK519" s="852"/>
      <c r="DL519" s="177"/>
      <c r="DM519" s="177"/>
    </row>
    <row r="520" spans="5:117" s="176" customFormat="1" x14ac:dyDescent="0.2"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57"/>
      <c r="S520" s="1094"/>
      <c r="CV520" s="297"/>
      <c r="CW520" s="297"/>
      <c r="CX520" s="297"/>
      <c r="CY520" s="852"/>
      <c r="CZ520" s="852"/>
      <c r="DA520" s="852"/>
      <c r="DB520" s="852"/>
      <c r="DC520" s="852"/>
      <c r="DD520" s="852"/>
      <c r="DE520" s="852"/>
      <c r="DF520" s="852"/>
      <c r="DG520" s="852"/>
      <c r="DH520" s="852"/>
      <c r="DI520" s="852"/>
      <c r="DJ520" s="852"/>
      <c r="DK520" s="852"/>
      <c r="DL520" s="177"/>
      <c r="DM520" s="177"/>
    </row>
    <row r="521" spans="5:117" s="176" customFormat="1" x14ac:dyDescent="0.2"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57"/>
      <c r="S521" s="1094"/>
      <c r="CV521" s="297"/>
      <c r="CW521" s="297"/>
      <c r="CX521" s="297"/>
      <c r="CY521" s="852"/>
      <c r="CZ521" s="852"/>
      <c r="DA521" s="852"/>
      <c r="DB521" s="852"/>
      <c r="DC521" s="852"/>
      <c r="DD521" s="852"/>
      <c r="DE521" s="852"/>
      <c r="DF521" s="852"/>
      <c r="DG521" s="852"/>
      <c r="DH521" s="852"/>
      <c r="DI521" s="852"/>
      <c r="DJ521" s="852"/>
      <c r="DK521" s="852"/>
      <c r="DL521" s="177"/>
      <c r="DM521" s="177"/>
    </row>
    <row r="522" spans="5:117" s="176" customFormat="1" x14ac:dyDescent="0.2"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57"/>
      <c r="S522" s="1094"/>
      <c r="CV522" s="297"/>
      <c r="CW522" s="297"/>
      <c r="CX522" s="297"/>
      <c r="CY522" s="852"/>
      <c r="CZ522" s="852"/>
      <c r="DA522" s="852"/>
      <c r="DB522" s="852"/>
      <c r="DC522" s="852"/>
      <c r="DD522" s="852"/>
      <c r="DE522" s="852"/>
      <c r="DF522" s="852"/>
      <c r="DG522" s="852"/>
      <c r="DH522" s="852"/>
      <c r="DI522" s="852"/>
      <c r="DJ522" s="852"/>
      <c r="DK522" s="852"/>
      <c r="DL522" s="177"/>
      <c r="DM522" s="177"/>
    </row>
    <row r="523" spans="5:117" s="176" customFormat="1" x14ac:dyDescent="0.2"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57"/>
      <c r="S523" s="1094"/>
      <c r="CV523" s="297"/>
      <c r="CW523" s="297"/>
      <c r="CX523" s="297"/>
      <c r="CY523" s="852"/>
      <c r="CZ523" s="852"/>
      <c r="DA523" s="852"/>
      <c r="DB523" s="852"/>
      <c r="DC523" s="852"/>
      <c r="DD523" s="852"/>
      <c r="DE523" s="852"/>
      <c r="DF523" s="852"/>
      <c r="DG523" s="852"/>
      <c r="DH523" s="852"/>
      <c r="DI523" s="852"/>
      <c r="DJ523" s="852"/>
      <c r="DK523" s="852"/>
      <c r="DL523" s="177"/>
      <c r="DM523" s="177"/>
    </row>
    <row r="524" spans="5:117" s="176" customFormat="1" x14ac:dyDescent="0.2"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57"/>
      <c r="S524" s="1094"/>
      <c r="CV524" s="297"/>
      <c r="CW524" s="297"/>
      <c r="CX524" s="297"/>
      <c r="CY524" s="852"/>
      <c r="CZ524" s="852"/>
      <c r="DA524" s="852"/>
      <c r="DB524" s="852"/>
      <c r="DC524" s="852"/>
      <c r="DD524" s="852"/>
      <c r="DE524" s="852"/>
      <c r="DF524" s="852"/>
      <c r="DG524" s="852"/>
      <c r="DH524" s="852"/>
      <c r="DI524" s="852"/>
      <c r="DJ524" s="852"/>
      <c r="DK524" s="852"/>
      <c r="DL524" s="177"/>
      <c r="DM524" s="177"/>
    </row>
    <row r="525" spans="5:117" s="176" customFormat="1" x14ac:dyDescent="0.2"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57"/>
      <c r="S525" s="1094"/>
      <c r="CV525" s="297"/>
      <c r="CW525" s="297"/>
      <c r="CX525" s="297"/>
      <c r="CY525" s="852"/>
      <c r="CZ525" s="852"/>
      <c r="DA525" s="852"/>
      <c r="DB525" s="852"/>
      <c r="DC525" s="852"/>
      <c r="DD525" s="852"/>
      <c r="DE525" s="852"/>
      <c r="DF525" s="852"/>
      <c r="DG525" s="852"/>
      <c r="DH525" s="852"/>
      <c r="DI525" s="852"/>
      <c r="DJ525" s="852"/>
      <c r="DK525" s="852"/>
      <c r="DL525" s="177"/>
      <c r="DM525" s="177"/>
    </row>
    <row r="526" spans="5:117" s="176" customFormat="1" x14ac:dyDescent="0.2"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57"/>
      <c r="S526" s="1094"/>
      <c r="CV526" s="297"/>
      <c r="CW526" s="297"/>
      <c r="CX526" s="297"/>
      <c r="CY526" s="852"/>
      <c r="CZ526" s="852"/>
      <c r="DA526" s="852"/>
      <c r="DB526" s="852"/>
      <c r="DC526" s="852"/>
      <c r="DD526" s="852"/>
      <c r="DE526" s="852"/>
      <c r="DF526" s="852"/>
      <c r="DG526" s="852"/>
      <c r="DH526" s="852"/>
      <c r="DI526" s="852"/>
      <c r="DJ526" s="852"/>
      <c r="DK526" s="852"/>
      <c r="DL526" s="177"/>
      <c r="DM526" s="177"/>
    </row>
    <row r="527" spans="5:117" s="176" customFormat="1" x14ac:dyDescent="0.2"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57"/>
      <c r="S527" s="1094"/>
      <c r="CV527" s="297"/>
      <c r="CW527" s="297"/>
      <c r="CX527" s="297"/>
      <c r="CY527" s="852"/>
      <c r="CZ527" s="852"/>
      <c r="DA527" s="852"/>
      <c r="DB527" s="852"/>
      <c r="DC527" s="852"/>
      <c r="DD527" s="852"/>
      <c r="DE527" s="852"/>
      <c r="DF527" s="852"/>
      <c r="DG527" s="852"/>
      <c r="DH527" s="852"/>
      <c r="DI527" s="852"/>
      <c r="DJ527" s="852"/>
      <c r="DK527" s="852"/>
      <c r="DL527" s="177"/>
      <c r="DM527" s="177"/>
    </row>
    <row r="528" spans="5:117" s="176" customFormat="1" x14ac:dyDescent="0.2"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57"/>
      <c r="S528" s="1094"/>
      <c r="CV528" s="297"/>
      <c r="CW528" s="297"/>
      <c r="CX528" s="297"/>
      <c r="CY528" s="852"/>
      <c r="CZ528" s="852"/>
      <c r="DA528" s="852"/>
      <c r="DB528" s="852"/>
      <c r="DC528" s="852"/>
      <c r="DD528" s="852"/>
      <c r="DE528" s="852"/>
      <c r="DF528" s="852"/>
      <c r="DG528" s="852"/>
      <c r="DH528" s="852"/>
      <c r="DI528" s="852"/>
      <c r="DJ528" s="852"/>
      <c r="DK528" s="852"/>
      <c r="DL528" s="177"/>
      <c r="DM528" s="177"/>
    </row>
    <row r="529" spans="5:117" s="176" customFormat="1" x14ac:dyDescent="0.2"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57"/>
      <c r="S529" s="1094"/>
      <c r="CV529" s="297"/>
      <c r="CW529" s="297"/>
      <c r="CX529" s="297"/>
      <c r="CY529" s="852"/>
      <c r="CZ529" s="852"/>
      <c r="DA529" s="852"/>
      <c r="DB529" s="852"/>
      <c r="DC529" s="852"/>
      <c r="DD529" s="852"/>
      <c r="DE529" s="852"/>
      <c r="DF529" s="852"/>
      <c r="DG529" s="852"/>
      <c r="DH529" s="852"/>
      <c r="DI529" s="852"/>
      <c r="DJ529" s="852"/>
      <c r="DK529" s="852"/>
      <c r="DL529" s="177"/>
      <c r="DM529" s="177"/>
    </row>
    <row r="530" spans="5:117" s="176" customFormat="1" x14ac:dyDescent="0.2"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57"/>
      <c r="S530" s="1094"/>
      <c r="CV530" s="297"/>
      <c r="CW530" s="297"/>
      <c r="CX530" s="297"/>
      <c r="CY530" s="852"/>
      <c r="CZ530" s="852"/>
      <c r="DA530" s="852"/>
      <c r="DB530" s="852"/>
      <c r="DC530" s="852"/>
      <c r="DD530" s="852"/>
      <c r="DE530" s="852"/>
      <c r="DF530" s="852"/>
      <c r="DG530" s="852"/>
      <c r="DH530" s="852"/>
      <c r="DI530" s="852"/>
      <c r="DJ530" s="852"/>
      <c r="DK530" s="852"/>
      <c r="DL530" s="177"/>
      <c r="DM530" s="177"/>
    </row>
    <row r="531" spans="5:117" s="176" customFormat="1" x14ac:dyDescent="0.2"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57"/>
      <c r="S531" s="1094"/>
      <c r="CV531" s="297"/>
      <c r="CW531" s="297"/>
      <c r="CX531" s="297"/>
      <c r="CY531" s="852"/>
      <c r="CZ531" s="852"/>
      <c r="DA531" s="852"/>
      <c r="DB531" s="852"/>
      <c r="DC531" s="852"/>
      <c r="DD531" s="852"/>
      <c r="DE531" s="852"/>
      <c r="DF531" s="852"/>
      <c r="DG531" s="852"/>
      <c r="DH531" s="852"/>
      <c r="DI531" s="852"/>
      <c r="DJ531" s="852"/>
      <c r="DK531" s="852"/>
      <c r="DL531" s="177"/>
      <c r="DM531" s="177"/>
    </row>
    <row r="532" spans="5:117" s="176" customFormat="1" x14ac:dyDescent="0.2"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57"/>
      <c r="S532" s="1094"/>
      <c r="CV532" s="297"/>
      <c r="CW532" s="297"/>
      <c r="CX532" s="297"/>
      <c r="CY532" s="852"/>
      <c r="CZ532" s="852"/>
      <c r="DA532" s="852"/>
      <c r="DB532" s="852"/>
      <c r="DC532" s="852"/>
      <c r="DD532" s="852"/>
      <c r="DE532" s="852"/>
      <c r="DF532" s="852"/>
      <c r="DG532" s="852"/>
      <c r="DH532" s="852"/>
      <c r="DI532" s="852"/>
      <c r="DJ532" s="852"/>
      <c r="DK532" s="852"/>
      <c r="DL532" s="177"/>
      <c r="DM532" s="177"/>
    </row>
    <row r="533" spans="5:117" s="176" customFormat="1" x14ac:dyDescent="0.2"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57"/>
      <c r="S533" s="1094"/>
      <c r="CV533" s="297"/>
      <c r="CW533" s="297"/>
      <c r="CX533" s="297"/>
      <c r="CY533" s="852"/>
      <c r="CZ533" s="852"/>
      <c r="DA533" s="852"/>
      <c r="DB533" s="852"/>
      <c r="DC533" s="852"/>
      <c r="DD533" s="852"/>
      <c r="DE533" s="852"/>
      <c r="DF533" s="852"/>
      <c r="DG533" s="852"/>
      <c r="DH533" s="852"/>
      <c r="DI533" s="852"/>
      <c r="DJ533" s="852"/>
      <c r="DK533" s="852"/>
      <c r="DL533" s="177"/>
      <c r="DM533" s="177"/>
    </row>
    <row r="534" spans="5:117" s="176" customFormat="1" x14ac:dyDescent="0.2"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57"/>
      <c r="S534" s="1094"/>
      <c r="CV534" s="297"/>
      <c r="CW534" s="297"/>
      <c r="CX534" s="297"/>
      <c r="CY534" s="852"/>
      <c r="CZ534" s="852"/>
      <c r="DA534" s="852"/>
      <c r="DB534" s="852"/>
      <c r="DC534" s="852"/>
      <c r="DD534" s="852"/>
      <c r="DE534" s="852"/>
      <c r="DF534" s="852"/>
      <c r="DG534" s="852"/>
      <c r="DH534" s="852"/>
      <c r="DI534" s="852"/>
      <c r="DJ534" s="852"/>
      <c r="DK534" s="852"/>
      <c r="DL534" s="177"/>
      <c r="DM534" s="177"/>
    </row>
    <row r="535" spans="5:117" s="176" customFormat="1" x14ac:dyDescent="0.2"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57"/>
      <c r="S535" s="1094"/>
      <c r="CV535" s="297"/>
      <c r="CW535" s="297"/>
      <c r="CX535" s="297"/>
      <c r="CY535" s="852"/>
      <c r="CZ535" s="852"/>
      <c r="DA535" s="852"/>
      <c r="DB535" s="852"/>
      <c r="DC535" s="852"/>
      <c r="DD535" s="852"/>
      <c r="DE535" s="852"/>
      <c r="DF535" s="852"/>
      <c r="DG535" s="852"/>
      <c r="DH535" s="852"/>
      <c r="DI535" s="852"/>
      <c r="DJ535" s="852"/>
      <c r="DK535" s="852"/>
      <c r="DL535" s="177"/>
      <c r="DM535" s="177"/>
    </row>
    <row r="536" spans="5:117" s="176" customFormat="1" x14ac:dyDescent="0.2"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57"/>
      <c r="S536" s="1094"/>
      <c r="CV536" s="297"/>
      <c r="CW536" s="297"/>
      <c r="CX536" s="297"/>
      <c r="CY536" s="852"/>
      <c r="CZ536" s="852"/>
      <c r="DA536" s="852"/>
      <c r="DB536" s="852"/>
      <c r="DC536" s="852"/>
      <c r="DD536" s="852"/>
      <c r="DE536" s="852"/>
      <c r="DF536" s="852"/>
      <c r="DG536" s="852"/>
      <c r="DH536" s="852"/>
      <c r="DI536" s="852"/>
      <c r="DJ536" s="852"/>
      <c r="DK536" s="852"/>
      <c r="DL536" s="177"/>
      <c r="DM536" s="177"/>
    </row>
    <row r="537" spans="5:117" s="176" customFormat="1" x14ac:dyDescent="0.2"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57"/>
      <c r="S537" s="1094"/>
      <c r="CV537" s="297"/>
      <c r="CW537" s="297"/>
      <c r="CX537" s="297"/>
      <c r="CY537" s="852"/>
      <c r="CZ537" s="852"/>
      <c r="DA537" s="852"/>
      <c r="DB537" s="852"/>
      <c r="DC537" s="852"/>
      <c r="DD537" s="852"/>
      <c r="DE537" s="852"/>
      <c r="DF537" s="852"/>
      <c r="DG537" s="852"/>
      <c r="DH537" s="852"/>
      <c r="DI537" s="852"/>
      <c r="DJ537" s="852"/>
      <c r="DK537" s="852"/>
      <c r="DL537" s="177"/>
      <c r="DM537" s="177"/>
    </row>
    <row r="538" spans="5:117" s="176" customFormat="1" x14ac:dyDescent="0.2"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57"/>
      <c r="S538" s="1094"/>
      <c r="CV538" s="297"/>
      <c r="CW538" s="297"/>
      <c r="CX538" s="297"/>
      <c r="CY538" s="852"/>
      <c r="CZ538" s="852"/>
      <c r="DA538" s="852"/>
      <c r="DB538" s="852"/>
      <c r="DC538" s="852"/>
      <c r="DD538" s="852"/>
      <c r="DE538" s="852"/>
      <c r="DF538" s="852"/>
      <c r="DG538" s="852"/>
      <c r="DH538" s="852"/>
      <c r="DI538" s="852"/>
      <c r="DJ538" s="852"/>
      <c r="DK538" s="852"/>
      <c r="DL538" s="177"/>
      <c r="DM538" s="177"/>
    </row>
    <row r="539" spans="5:117" s="176" customFormat="1" x14ac:dyDescent="0.2"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57"/>
      <c r="S539" s="1094"/>
      <c r="CV539" s="297"/>
      <c r="CW539" s="297"/>
      <c r="CX539" s="297"/>
      <c r="CY539" s="852"/>
      <c r="CZ539" s="852"/>
      <c r="DA539" s="852"/>
      <c r="DB539" s="852"/>
      <c r="DC539" s="852"/>
      <c r="DD539" s="852"/>
      <c r="DE539" s="852"/>
      <c r="DF539" s="852"/>
      <c r="DG539" s="852"/>
      <c r="DH539" s="852"/>
      <c r="DI539" s="852"/>
      <c r="DJ539" s="852"/>
      <c r="DK539" s="852"/>
      <c r="DL539" s="177"/>
      <c r="DM539" s="177"/>
    </row>
    <row r="540" spans="5:117" s="176" customFormat="1" x14ac:dyDescent="0.2"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57"/>
      <c r="S540" s="1094"/>
      <c r="CV540" s="297"/>
      <c r="CW540" s="297"/>
      <c r="CX540" s="297"/>
      <c r="CY540" s="852"/>
      <c r="CZ540" s="852"/>
      <c r="DA540" s="852"/>
      <c r="DB540" s="852"/>
      <c r="DC540" s="852"/>
      <c r="DD540" s="852"/>
      <c r="DE540" s="852"/>
      <c r="DF540" s="852"/>
      <c r="DG540" s="852"/>
      <c r="DH540" s="852"/>
      <c r="DI540" s="852"/>
      <c r="DJ540" s="852"/>
      <c r="DK540" s="852"/>
      <c r="DL540" s="177"/>
      <c r="DM540" s="177"/>
    </row>
    <row r="541" spans="5:117" s="176" customFormat="1" x14ac:dyDescent="0.2"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57"/>
      <c r="S541" s="1094"/>
      <c r="CV541" s="297"/>
      <c r="CW541" s="297"/>
      <c r="CX541" s="297"/>
      <c r="CY541" s="852"/>
      <c r="CZ541" s="852"/>
      <c r="DA541" s="852"/>
      <c r="DB541" s="852"/>
      <c r="DC541" s="852"/>
      <c r="DD541" s="852"/>
      <c r="DE541" s="852"/>
      <c r="DF541" s="852"/>
      <c r="DG541" s="852"/>
      <c r="DH541" s="852"/>
      <c r="DI541" s="852"/>
      <c r="DJ541" s="852"/>
      <c r="DK541" s="852"/>
      <c r="DL541" s="177"/>
      <c r="DM541" s="177"/>
    </row>
    <row r="542" spans="5:117" s="176" customFormat="1" x14ac:dyDescent="0.2"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57"/>
      <c r="S542" s="1094"/>
      <c r="CV542" s="297"/>
      <c r="CW542" s="297"/>
      <c r="CX542" s="297"/>
      <c r="CY542" s="852"/>
      <c r="CZ542" s="852"/>
      <c r="DA542" s="852"/>
      <c r="DB542" s="852"/>
      <c r="DC542" s="852"/>
      <c r="DD542" s="852"/>
      <c r="DE542" s="852"/>
      <c r="DF542" s="852"/>
      <c r="DG542" s="852"/>
      <c r="DH542" s="852"/>
      <c r="DI542" s="852"/>
      <c r="DJ542" s="852"/>
      <c r="DK542" s="852"/>
      <c r="DL542" s="177"/>
      <c r="DM542" s="177"/>
    </row>
    <row r="543" spans="5:117" s="176" customFormat="1" x14ac:dyDescent="0.2"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57"/>
      <c r="S543" s="1094"/>
      <c r="CV543" s="297"/>
      <c r="CW543" s="297"/>
      <c r="CX543" s="297"/>
      <c r="CY543" s="852"/>
      <c r="CZ543" s="852"/>
      <c r="DA543" s="852"/>
      <c r="DB543" s="852"/>
      <c r="DC543" s="852"/>
      <c r="DD543" s="852"/>
      <c r="DE543" s="852"/>
      <c r="DF543" s="852"/>
      <c r="DG543" s="852"/>
      <c r="DH543" s="852"/>
      <c r="DI543" s="852"/>
      <c r="DJ543" s="852"/>
      <c r="DK543" s="852"/>
      <c r="DL543" s="177"/>
      <c r="DM543" s="177"/>
    </row>
    <row r="544" spans="5:117" s="176" customFormat="1" x14ac:dyDescent="0.2"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57"/>
      <c r="S544" s="1094"/>
      <c r="CV544" s="297"/>
      <c r="CW544" s="297"/>
      <c r="CX544" s="297"/>
      <c r="CY544" s="852"/>
      <c r="CZ544" s="852"/>
      <c r="DA544" s="852"/>
      <c r="DB544" s="852"/>
      <c r="DC544" s="852"/>
      <c r="DD544" s="852"/>
      <c r="DE544" s="852"/>
      <c r="DF544" s="852"/>
      <c r="DG544" s="852"/>
      <c r="DH544" s="852"/>
      <c r="DI544" s="852"/>
      <c r="DJ544" s="852"/>
      <c r="DK544" s="852"/>
      <c r="DL544" s="177"/>
      <c r="DM544" s="177"/>
    </row>
    <row r="545" spans="5:117" s="176" customFormat="1" x14ac:dyDescent="0.2"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57"/>
      <c r="S545" s="1094"/>
      <c r="CV545" s="297"/>
      <c r="CW545" s="297"/>
      <c r="CX545" s="297"/>
      <c r="CY545" s="852"/>
      <c r="CZ545" s="852"/>
      <c r="DA545" s="852"/>
      <c r="DB545" s="852"/>
      <c r="DC545" s="852"/>
      <c r="DD545" s="852"/>
      <c r="DE545" s="852"/>
      <c r="DF545" s="852"/>
      <c r="DG545" s="852"/>
      <c r="DH545" s="852"/>
      <c r="DI545" s="852"/>
      <c r="DJ545" s="852"/>
      <c r="DK545" s="852"/>
      <c r="DL545" s="177"/>
      <c r="DM545" s="177"/>
    </row>
    <row r="546" spans="5:117" s="176" customFormat="1" x14ac:dyDescent="0.2"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57"/>
      <c r="S546" s="1094"/>
      <c r="CV546" s="297"/>
      <c r="CW546" s="297"/>
      <c r="CX546" s="297"/>
      <c r="CY546" s="852"/>
      <c r="CZ546" s="852"/>
      <c r="DA546" s="852"/>
      <c r="DB546" s="852"/>
      <c r="DC546" s="852"/>
      <c r="DD546" s="852"/>
      <c r="DE546" s="852"/>
      <c r="DF546" s="852"/>
      <c r="DG546" s="852"/>
      <c r="DH546" s="852"/>
      <c r="DI546" s="852"/>
      <c r="DJ546" s="852"/>
      <c r="DK546" s="852"/>
      <c r="DL546" s="177"/>
      <c r="DM546" s="177"/>
    </row>
    <row r="547" spans="5:117" s="176" customFormat="1" x14ac:dyDescent="0.2"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57"/>
      <c r="S547" s="1094"/>
      <c r="CV547" s="297"/>
      <c r="CW547" s="297"/>
      <c r="CX547" s="297"/>
      <c r="CY547" s="852"/>
      <c r="CZ547" s="852"/>
      <c r="DA547" s="852"/>
      <c r="DB547" s="852"/>
      <c r="DC547" s="852"/>
      <c r="DD547" s="852"/>
      <c r="DE547" s="852"/>
      <c r="DF547" s="852"/>
      <c r="DG547" s="852"/>
      <c r="DH547" s="852"/>
      <c r="DI547" s="852"/>
      <c r="DJ547" s="852"/>
      <c r="DK547" s="852"/>
      <c r="DL547" s="177"/>
      <c r="DM547" s="177"/>
    </row>
    <row r="548" spans="5:117" s="176" customFormat="1" x14ac:dyDescent="0.2"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57"/>
      <c r="S548" s="1094"/>
      <c r="CV548" s="297"/>
      <c r="CW548" s="297"/>
      <c r="CX548" s="297"/>
      <c r="CY548" s="852"/>
      <c r="CZ548" s="852"/>
      <c r="DA548" s="852"/>
      <c r="DB548" s="852"/>
      <c r="DC548" s="852"/>
      <c r="DD548" s="852"/>
      <c r="DE548" s="852"/>
      <c r="DF548" s="852"/>
      <c r="DG548" s="852"/>
      <c r="DH548" s="852"/>
      <c r="DI548" s="852"/>
      <c r="DJ548" s="852"/>
      <c r="DK548" s="852"/>
      <c r="DL548" s="177"/>
      <c r="DM548" s="177"/>
    </row>
    <row r="549" spans="5:117" s="176" customFormat="1" x14ac:dyDescent="0.2"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57"/>
      <c r="S549" s="1094"/>
      <c r="CV549" s="297"/>
      <c r="CW549" s="297"/>
      <c r="CX549" s="297"/>
      <c r="CY549" s="852"/>
      <c r="CZ549" s="852"/>
      <c r="DA549" s="852"/>
      <c r="DB549" s="852"/>
      <c r="DC549" s="852"/>
      <c r="DD549" s="852"/>
      <c r="DE549" s="852"/>
      <c r="DF549" s="852"/>
      <c r="DG549" s="852"/>
      <c r="DH549" s="852"/>
      <c r="DI549" s="852"/>
      <c r="DJ549" s="852"/>
      <c r="DK549" s="852"/>
      <c r="DL549" s="177"/>
      <c r="DM549" s="177"/>
    </row>
    <row r="550" spans="5:117" s="176" customFormat="1" x14ac:dyDescent="0.2"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57"/>
      <c r="S550" s="1094"/>
      <c r="CV550" s="297"/>
      <c r="CW550" s="297"/>
      <c r="CX550" s="297"/>
      <c r="CY550" s="852"/>
      <c r="CZ550" s="852"/>
      <c r="DA550" s="852"/>
      <c r="DB550" s="852"/>
      <c r="DC550" s="852"/>
      <c r="DD550" s="852"/>
      <c r="DE550" s="852"/>
      <c r="DF550" s="852"/>
      <c r="DG550" s="852"/>
      <c r="DH550" s="852"/>
      <c r="DI550" s="852"/>
      <c r="DJ550" s="852"/>
      <c r="DK550" s="852"/>
      <c r="DL550" s="177"/>
      <c r="DM550" s="177"/>
    </row>
    <row r="551" spans="5:117" s="176" customFormat="1" x14ac:dyDescent="0.2"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57"/>
      <c r="S551" s="1094"/>
      <c r="CV551" s="297"/>
      <c r="CW551" s="297"/>
      <c r="CX551" s="297"/>
      <c r="CY551" s="852"/>
      <c r="CZ551" s="852"/>
      <c r="DA551" s="852"/>
      <c r="DB551" s="852"/>
      <c r="DC551" s="852"/>
      <c r="DD551" s="852"/>
      <c r="DE551" s="852"/>
      <c r="DF551" s="852"/>
      <c r="DG551" s="852"/>
      <c r="DH551" s="852"/>
      <c r="DI551" s="852"/>
      <c r="DJ551" s="852"/>
      <c r="DK551" s="852"/>
      <c r="DL551" s="177"/>
      <c r="DM551" s="177"/>
    </row>
    <row r="552" spans="5:117" s="176" customFormat="1" x14ac:dyDescent="0.2"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57"/>
      <c r="S552" s="1094"/>
      <c r="CV552" s="297"/>
      <c r="CW552" s="297"/>
      <c r="CX552" s="297"/>
      <c r="CY552" s="852"/>
      <c r="CZ552" s="852"/>
      <c r="DA552" s="852"/>
      <c r="DB552" s="852"/>
      <c r="DC552" s="852"/>
      <c r="DD552" s="852"/>
      <c r="DE552" s="852"/>
      <c r="DF552" s="852"/>
      <c r="DG552" s="852"/>
      <c r="DH552" s="852"/>
      <c r="DI552" s="852"/>
      <c r="DJ552" s="852"/>
      <c r="DK552" s="852"/>
      <c r="DL552" s="177"/>
      <c r="DM552" s="177"/>
    </row>
    <row r="553" spans="5:117" s="176" customFormat="1" x14ac:dyDescent="0.2"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57"/>
      <c r="S553" s="1094"/>
      <c r="CV553" s="297"/>
      <c r="CW553" s="297"/>
      <c r="CX553" s="297"/>
      <c r="CY553" s="852"/>
      <c r="CZ553" s="852"/>
      <c r="DA553" s="852"/>
      <c r="DB553" s="852"/>
      <c r="DC553" s="852"/>
      <c r="DD553" s="852"/>
      <c r="DE553" s="852"/>
      <c r="DF553" s="852"/>
      <c r="DG553" s="852"/>
      <c r="DH553" s="852"/>
      <c r="DI553" s="852"/>
      <c r="DJ553" s="852"/>
      <c r="DK553" s="852"/>
      <c r="DL553" s="177"/>
      <c r="DM553" s="177"/>
    </row>
    <row r="554" spans="5:117" s="176" customFormat="1" x14ac:dyDescent="0.2"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57"/>
      <c r="S554" s="1094"/>
      <c r="CV554" s="297"/>
      <c r="CW554" s="297"/>
      <c r="CX554" s="297"/>
      <c r="CY554" s="852"/>
      <c r="CZ554" s="852"/>
      <c r="DA554" s="852"/>
      <c r="DB554" s="852"/>
      <c r="DC554" s="852"/>
      <c r="DD554" s="852"/>
      <c r="DE554" s="852"/>
      <c r="DF554" s="852"/>
      <c r="DG554" s="852"/>
      <c r="DH554" s="852"/>
      <c r="DI554" s="852"/>
      <c r="DJ554" s="852"/>
      <c r="DK554" s="852"/>
      <c r="DL554" s="177"/>
      <c r="DM554" s="177"/>
    </row>
    <row r="555" spans="5:117" s="176" customFormat="1" x14ac:dyDescent="0.2"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57"/>
      <c r="S555" s="1094"/>
      <c r="CV555" s="297"/>
      <c r="CW555" s="297"/>
      <c r="CX555" s="297"/>
      <c r="CY555" s="852"/>
      <c r="CZ555" s="852"/>
      <c r="DA555" s="852"/>
      <c r="DB555" s="852"/>
      <c r="DC555" s="852"/>
      <c r="DD555" s="852"/>
      <c r="DE555" s="852"/>
      <c r="DF555" s="852"/>
      <c r="DG555" s="852"/>
      <c r="DH555" s="852"/>
      <c r="DI555" s="852"/>
      <c r="DJ555" s="852"/>
      <c r="DK555" s="852"/>
      <c r="DL555" s="177"/>
      <c r="DM555" s="177"/>
    </row>
    <row r="556" spans="5:117" s="176" customFormat="1" x14ac:dyDescent="0.2"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57"/>
      <c r="S556" s="1094"/>
      <c r="CV556" s="297"/>
      <c r="CW556" s="297"/>
      <c r="CX556" s="297"/>
      <c r="CY556" s="852"/>
      <c r="CZ556" s="852"/>
      <c r="DA556" s="852"/>
      <c r="DB556" s="852"/>
      <c r="DC556" s="852"/>
      <c r="DD556" s="852"/>
      <c r="DE556" s="852"/>
      <c r="DF556" s="852"/>
      <c r="DG556" s="852"/>
      <c r="DH556" s="852"/>
      <c r="DI556" s="852"/>
      <c r="DJ556" s="852"/>
      <c r="DK556" s="852"/>
      <c r="DL556" s="177"/>
      <c r="DM556" s="177"/>
    </row>
    <row r="557" spans="5:117" s="176" customFormat="1" x14ac:dyDescent="0.2"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57"/>
      <c r="S557" s="1094"/>
      <c r="CV557" s="297"/>
      <c r="CW557" s="297"/>
      <c r="CX557" s="297"/>
      <c r="CY557" s="852"/>
      <c r="CZ557" s="852"/>
      <c r="DA557" s="852"/>
      <c r="DB557" s="852"/>
      <c r="DC557" s="852"/>
      <c r="DD557" s="852"/>
      <c r="DE557" s="852"/>
      <c r="DF557" s="852"/>
      <c r="DG557" s="852"/>
      <c r="DH557" s="852"/>
      <c r="DI557" s="852"/>
      <c r="DJ557" s="852"/>
      <c r="DK557" s="852"/>
      <c r="DL557" s="177"/>
      <c r="DM557" s="177"/>
    </row>
    <row r="558" spans="5:117" s="176" customFormat="1" x14ac:dyDescent="0.2"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57"/>
      <c r="S558" s="1094"/>
      <c r="CV558" s="297"/>
      <c r="CW558" s="297"/>
      <c r="CX558" s="297"/>
      <c r="CY558" s="852"/>
      <c r="CZ558" s="852"/>
      <c r="DA558" s="852"/>
      <c r="DB558" s="852"/>
      <c r="DC558" s="852"/>
      <c r="DD558" s="852"/>
      <c r="DE558" s="852"/>
      <c r="DF558" s="852"/>
      <c r="DG558" s="852"/>
      <c r="DH558" s="852"/>
      <c r="DI558" s="852"/>
      <c r="DJ558" s="852"/>
      <c r="DK558" s="852"/>
      <c r="DL558" s="177"/>
      <c r="DM558" s="177"/>
    </row>
    <row r="559" spans="5:117" s="176" customFormat="1" x14ac:dyDescent="0.2"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57"/>
      <c r="S559" s="1094"/>
      <c r="CV559" s="297"/>
      <c r="CW559" s="297"/>
      <c r="CX559" s="297"/>
      <c r="CY559" s="852"/>
      <c r="CZ559" s="852"/>
      <c r="DA559" s="852"/>
      <c r="DB559" s="852"/>
      <c r="DC559" s="852"/>
      <c r="DD559" s="852"/>
      <c r="DE559" s="852"/>
      <c r="DF559" s="852"/>
      <c r="DG559" s="852"/>
      <c r="DH559" s="852"/>
      <c r="DI559" s="852"/>
      <c r="DJ559" s="852"/>
      <c r="DK559" s="852"/>
      <c r="DL559" s="177"/>
      <c r="DM559" s="177"/>
    </row>
    <row r="560" spans="5:117" s="176" customFormat="1" x14ac:dyDescent="0.2"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57"/>
      <c r="S560" s="1094"/>
      <c r="CV560" s="297"/>
      <c r="CW560" s="297"/>
      <c r="CX560" s="297"/>
      <c r="CY560" s="852"/>
      <c r="CZ560" s="852"/>
      <c r="DA560" s="852"/>
      <c r="DB560" s="852"/>
      <c r="DC560" s="852"/>
      <c r="DD560" s="852"/>
      <c r="DE560" s="852"/>
      <c r="DF560" s="852"/>
      <c r="DG560" s="852"/>
      <c r="DH560" s="852"/>
      <c r="DI560" s="852"/>
      <c r="DJ560" s="852"/>
      <c r="DK560" s="852"/>
      <c r="DL560" s="177"/>
      <c r="DM560" s="177"/>
    </row>
    <row r="561" spans="5:117" s="176" customFormat="1" x14ac:dyDescent="0.2"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57"/>
      <c r="S561" s="1094"/>
      <c r="CV561" s="297"/>
      <c r="CW561" s="297"/>
      <c r="CX561" s="297"/>
      <c r="CY561" s="852"/>
      <c r="CZ561" s="852"/>
      <c r="DA561" s="852"/>
      <c r="DB561" s="852"/>
      <c r="DC561" s="852"/>
      <c r="DD561" s="852"/>
      <c r="DE561" s="852"/>
      <c r="DF561" s="852"/>
      <c r="DG561" s="852"/>
      <c r="DH561" s="852"/>
      <c r="DI561" s="852"/>
      <c r="DJ561" s="852"/>
      <c r="DK561" s="852"/>
      <c r="DL561" s="177"/>
      <c r="DM561" s="177"/>
    </row>
    <row r="562" spans="5:117" s="176" customFormat="1" x14ac:dyDescent="0.2"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57"/>
      <c r="S562" s="1094"/>
      <c r="CV562" s="297"/>
      <c r="CW562" s="297"/>
      <c r="CX562" s="297"/>
      <c r="CY562" s="852"/>
      <c r="CZ562" s="852"/>
      <c r="DA562" s="852"/>
      <c r="DB562" s="852"/>
      <c r="DC562" s="852"/>
      <c r="DD562" s="852"/>
      <c r="DE562" s="852"/>
      <c r="DF562" s="852"/>
      <c r="DG562" s="852"/>
      <c r="DH562" s="852"/>
      <c r="DI562" s="852"/>
      <c r="DJ562" s="852"/>
      <c r="DK562" s="852"/>
      <c r="DL562" s="177"/>
      <c r="DM562" s="177"/>
    </row>
    <row r="563" spans="5:117" s="176" customFormat="1" x14ac:dyDescent="0.2"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57"/>
      <c r="S563" s="1094"/>
      <c r="CV563" s="297"/>
      <c r="CW563" s="297"/>
      <c r="CX563" s="297"/>
      <c r="CY563" s="852"/>
      <c r="CZ563" s="852"/>
      <c r="DA563" s="852"/>
      <c r="DB563" s="852"/>
      <c r="DC563" s="852"/>
      <c r="DD563" s="852"/>
      <c r="DE563" s="852"/>
      <c r="DF563" s="852"/>
      <c r="DG563" s="852"/>
      <c r="DH563" s="852"/>
      <c r="DI563" s="852"/>
      <c r="DJ563" s="852"/>
      <c r="DK563" s="852"/>
      <c r="DL563" s="177"/>
      <c r="DM563" s="177"/>
    </row>
    <row r="564" spans="5:117" s="176" customFormat="1" x14ac:dyDescent="0.2"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57"/>
      <c r="S564" s="1094"/>
      <c r="CV564" s="297"/>
      <c r="CW564" s="297"/>
      <c r="CX564" s="297"/>
      <c r="CY564" s="852"/>
      <c r="CZ564" s="852"/>
      <c r="DA564" s="852"/>
      <c r="DB564" s="852"/>
      <c r="DC564" s="852"/>
      <c r="DD564" s="852"/>
      <c r="DE564" s="852"/>
      <c r="DF564" s="852"/>
      <c r="DG564" s="852"/>
      <c r="DH564" s="852"/>
      <c r="DI564" s="852"/>
      <c r="DJ564" s="852"/>
      <c r="DK564" s="852"/>
      <c r="DL564" s="177"/>
      <c r="DM564" s="177"/>
    </row>
    <row r="565" spans="5:117" s="176" customFormat="1" x14ac:dyDescent="0.2"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57"/>
      <c r="S565" s="1094"/>
      <c r="CV565" s="297"/>
      <c r="CW565" s="297"/>
      <c r="CX565" s="297"/>
      <c r="CY565" s="852"/>
      <c r="CZ565" s="852"/>
      <c r="DA565" s="852"/>
      <c r="DB565" s="852"/>
      <c r="DC565" s="852"/>
      <c r="DD565" s="852"/>
      <c r="DE565" s="852"/>
      <c r="DF565" s="852"/>
      <c r="DG565" s="852"/>
      <c r="DH565" s="852"/>
      <c r="DI565" s="852"/>
      <c r="DJ565" s="852"/>
      <c r="DK565" s="852"/>
      <c r="DL565" s="177"/>
      <c r="DM565" s="177"/>
    </row>
    <row r="566" spans="5:117" s="176" customFormat="1" x14ac:dyDescent="0.2"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57"/>
      <c r="S566" s="1094"/>
      <c r="CV566" s="297"/>
      <c r="CW566" s="297"/>
      <c r="CX566" s="297"/>
      <c r="CY566" s="852"/>
      <c r="CZ566" s="852"/>
      <c r="DA566" s="852"/>
      <c r="DB566" s="852"/>
      <c r="DC566" s="852"/>
      <c r="DD566" s="852"/>
      <c r="DE566" s="852"/>
      <c r="DF566" s="852"/>
      <c r="DG566" s="852"/>
      <c r="DH566" s="852"/>
      <c r="DI566" s="852"/>
      <c r="DJ566" s="852"/>
      <c r="DK566" s="852"/>
      <c r="DL566" s="177"/>
      <c r="DM566" s="177"/>
    </row>
    <row r="567" spans="5:117" s="176" customFormat="1" x14ac:dyDescent="0.2"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57"/>
      <c r="S567" s="1094"/>
      <c r="CV567" s="297"/>
      <c r="CW567" s="297"/>
      <c r="CX567" s="297"/>
      <c r="CY567" s="852"/>
      <c r="CZ567" s="852"/>
      <c r="DA567" s="852"/>
      <c r="DB567" s="852"/>
      <c r="DC567" s="852"/>
      <c r="DD567" s="852"/>
      <c r="DE567" s="852"/>
      <c r="DF567" s="852"/>
      <c r="DG567" s="852"/>
      <c r="DH567" s="852"/>
      <c r="DI567" s="852"/>
      <c r="DJ567" s="852"/>
      <c r="DK567" s="852"/>
      <c r="DL567" s="177"/>
      <c r="DM567" s="177"/>
    </row>
    <row r="568" spans="5:117" s="176" customFormat="1" x14ac:dyDescent="0.2"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57"/>
      <c r="S568" s="1094"/>
      <c r="CV568" s="297"/>
      <c r="CW568" s="297"/>
      <c r="CX568" s="297"/>
      <c r="CY568" s="852"/>
      <c r="CZ568" s="852"/>
      <c r="DA568" s="852"/>
      <c r="DB568" s="852"/>
      <c r="DC568" s="852"/>
      <c r="DD568" s="852"/>
      <c r="DE568" s="852"/>
      <c r="DF568" s="852"/>
      <c r="DG568" s="852"/>
      <c r="DH568" s="852"/>
      <c r="DI568" s="852"/>
      <c r="DJ568" s="852"/>
      <c r="DK568" s="852"/>
      <c r="DL568" s="177"/>
      <c r="DM568" s="177"/>
    </row>
    <row r="569" spans="5:117" s="176" customFormat="1" x14ac:dyDescent="0.2"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57"/>
      <c r="S569" s="1094"/>
      <c r="CV569" s="297"/>
      <c r="CW569" s="297"/>
      <c r="CX569" s="297"/>
      <c r="CY569" s="852"/>
      <c r="CZ569" s="852"/>
      <c r="DA569" s="852"/>
      <c r="DB569" s="852"/>
      <c r="DC569" s="852"/>
      <c r="DD569" s="852"/>
      <c r="DE569" s="852"/>
      <c r="DF569" s="852"/>
      <c r="DG569" s="852"/>
      <c r="DH569" s="852"/>
      <c r="DI569" s="852"/>
      <c r="DJ569" s="852"/>
      <c r="DK569" s="852"/>
      <c r="DL569" s="177"/>
      <c r="DM569" s="177"/>
    </row>
    <row r="570" spans="5:117" s="176" customFormat="1" x14ac:dyDescent="0.2"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57"/>
      <c r="S570" s="1094"/>
      <c r="CV570" s="297"/>
      <c r="CW570" s="297"/>
      <c r="CX570" s="297"/>
      <c r="CY570" s="852"/>
      <c r="CZ570" s="852"/>
      <c r="DA570" s="852"/>
      <c r="DB570" s="852"/>
      <c r="DC570" s="852"/>
      <c r="DD570" s="852"/>
      <c r="DE570" s="852"/>
      <c r="DF570" s="852"/>
      <c r="DG570" s="852"/>
      <c r="DH570" s="852"/>
      <c r="DI570" s="852"/>
      <c r="DJ570" s="852"/>
      <c r="DK570" s="852"/>
      <c r="DL570" s="177"/>
      <c r="DM570" s="177"/>
    </row>
    <row r="571" spans="5:117" s="176" customFormat="1" x14ac:dyDescent="0.2"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57"/>
      <c r="S571" s="1094"/>
      <c r="CV571" s="297"/>
      <c r="CW571" s="297"/>
      <c r="CX571" s="297"/>
      <c r="CY571" s="852"/>
      <c r="CZ571" s="852"/>
      <c r="DA571" s="852"/>
      <c r="DB571" s="852"/>
      <c r="DC571" s="852"/>
      <c r="DD571" s="852"/>
      <c r="DE571" s="852"/>
      <c r="DF571" s="852"/>
      <c r="DG571" s="852"/>
      <c r="DH571" s="852"/>
      <c r="DI571" s="852"/>
      <c r="DJ571" s="852"/>
      <c r="DK571" s="852"/>
      <c r="DL571" s="177"/>
      <c r="DM571" s="177"/>
    </row>
    <row r="572" spans="5:117" s="176" customFormat="1" x14ac:dyDescent="0.2"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57"/>
      <c r="S572" s="1094"/>
      <c r="CV572" s="297"/>
      <c r="CW572" s="297"/>
      <c r="CX572" s="297"/>
      <c r="CY572" s="852"/>
      <c r="CZ572" s="852"/>
      <c r="DA572" s="852"/>
      <c r="DB572" s="852"/>
      <c r="DC572" s="852"/>
      <c r="DD572" s="852"/>
      <c r="DE572" s="852"/>
      <c r="DF572" s="852"/>
      <c r="DG572" s="852"/>
      <c r="DH572" s="852"/>
      <c r="DI572" s="852"/>
      <c r="DJ572" s="852"/>
      <c r="DK572" s="852"/>
      <c r="DL572" s="177"/>
      <c r="DM572" s="177"/>
    </row>
    <row r="573" spans="5:117" s="176" customFormat="1" x14ac:dyDescent="0.2"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57"/>
      <c r="S573" s="1094"/>
      <c r="CV573" s="297"/>
      <c r="CW573" s="297"/>
      <c r="CX573" s="297"/>
      <c r="CY573" s="852"/>
      <c r="CZ573" s="852"/>
      <c r="DA573" s="852"/>
      <c r="DB573" s="852"/>
      <c r="DC573" s="852"/>
      <c r="DD573" s="852"/>
      <c r="DE573" s="852"/>
      <c r="DF573" s="852"/>
      <c r="DG573" s="852"/>
      <c r="DH573" s="852"/>
      <c r="DI573" s="852"/>
      <c r="DJ573" s="852"/>
      <c r="DK573" s="852"/>
      <c r="DL573" s="177"/>
      <c r="DM573" s="177"/>
    </row>
    <row r="574" spans="5:117" s="176" customFormat="1" x14ac:dyDescent="0.2"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57"/>
      <c r="S574" s="1094"/>
      <c r="CV574" s="297"/>
      <c r="CW574" s="297"/>
      <c r="CX574" s="297"/>
      <c r="CY574" s="852"/>
      <c r="CZ574" s="852"/>
      <c r="DA574" s="852"/>
      <c r="DB574" s="852"/>
      <c r="DC574" s="852"/>
      <c r="DD574" s="852"/>
      <c r="DE574" s="852"/>
      <c r="DF574" s="852"/>
      <c r="DG574" s="852"/>
      <c r="DH574" s="852"/>
      <c r="DI574" s="852"/>
      <c r="DJ574" s="852"/>
      <c r="DK574" s="852"/>
      <c r="DL574" s="177"/>
      <c r="DM574" s="177"/>
    </row>
    <row r="575" spans="5:117" s="176" customFormat="1" x14ac:dyDescent="0.2"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57"/>
      <c r="S575" s="1094"/>
      <c r="CV575" s="297"/>
      <c r="CW575" s="297"/>
      <c r="CX575" s="297"/>
      <c r="CY575" s="852"/>
      <c r="CZ575" s="852"/>
      <c r="DA575" s="852"/>
      <c r="DB575" s="852"/>
      <c r="DC575" s="852"/>
      <c r="DD575" s="852"/>
      <c r="DE575" s="852"/>
      <c r="DF575" s="852"/>
      <c r="DG575" s="852"/>
      <c r="DH575" s="852"/>
      <c r="DI575" s="852"/>
      <c r="DJ575" s="852"/>
      <c r="DK575" s="852"/>
      <c r="DL575" s="177"/>
      <c r="DM575" s="177"/>
    </row>
    <row r="576" spans="5:117" s="176" customFormat="1" x14ac:dyDescent="0.2"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57"/>
      <c r="S576" s="1094"/>
      <c r="CV576" s="297"/>
      <c r="CW576" s="297"/>
      <c r="CX576" s="297"/>
      <c r="CY576" s="852"/>
      <c r="CZ576" s="852"/>
      <c r="DA576" s="852"/>
      <c r="DB576" s="852"/>
      <c r="DC576" s="852"/>
      <c r="DD576" s="852"/>
      <c r="DE576" s="852"/>
      <c r="DF576" s="852"/>
      <c r="DG576" s="852"/>
      <c r="DH576" s="852"/>
      <c r="DI576" s="852"/>
      <c r="DJ576" s="852"/>
      <c r="DK576" s="852"/>
      <c r="DL576" s="177"/>
      <c r="DM576" s="177"/>
    </row>
    <row r="577" spans="5:117" s="176" customFormat="1" x14ac:dyDescent="0.2"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57"/>
      <c r="S577" s="1094"/>
      <c r="CV577" s="297"/>
      <c r="CW577" s="297"/>
      <c r="CX577" s="297"/>
      <c r="CY577" s="852"/>
      <c r="CZ577" s="852"/>
      <c r="DA577" s="852"/>
      <c r="DB577" s="852"/>
      <c r="DC577" s="852"/>
      <c r="DD577" s="852"/>
      <c r="DE577" s="852"/>
      <c r="DF577" s="852"/>
      <c r="DG577" s="852"/>
      <c r="DH577" s="852"/>
      <c r="DI577" s="852"/>
      <c r="DJ577" s="852"/>
      <c r="DK577" s="852"/>
      <c r="DL577" s="177"/>
      <c r="DM577" s="177"/>
    </row>
    <row r="578" spans="5:117" s="176" customFormat="1" x14ac:dyDescent="0.2"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57"/>
      <c r="S578" s="1094"/>
      <c r="CV578" s="297"/>
      <c r="CW578" s="297"/>
      <c r="CX578" s="297"/>
      <c r="CY578" s="852"/>
      <c r="CZ578" s="852"/>
      <c r="DA578" s="852"/>
      <c r="DB578" s="852"/>
      <c r="DC578" s="852"/>
      <c r="DD578" s="852"/>
      <c r="DE578" s="852"/>
      <c r="DF578" s="852"/>
      <c r="DG578" s="852"/>
      <c r="DH578" s="852"/>
      <c r="DI578" s="852"/>
      <c r="DJ578" s="852"/>
      <c r="DK578" s="852"/>
      <c r="DL578" s="177"/>
      <c r="DM578" s="177"/>
    </row>
    <row r="579" spans="5:117" s="176" customFormat="1" x14ac:dyDescent="0.2"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57"/>
      <c r="S579" s="1094"/>
      <c r="CV579" s="297"/>
      <c r="CW579" s="297"/>
      <c r="CX579" s="297"/>
      <c r="CY579" s="852"/>
      <c r="CZ579" s="852"/>
      <c r="DA579" s="852"/>
      <c r="DB579" s="852"/>
      <c r="DC579" s="852"/>
      <c r="DD579" s="852"/>
      <c r="DE579" s="852"/>
      <c r="DF579" s="852"/>
      <c r="DG579" s="852"/>
      <c r="DH579" s="852"/>
      <c r="DI579" s="852"/>
      <c r="DJ579" s="852"/>
      <c r="DK579" s="852"/>
      <c r="DL579" s="177"/>
      <c r="DM579" s="177"/>
    </row>
    <row r="580" spans="5:117" s="176" customFormat="1" x14ac:dyDescent="0.2"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57"/>
      <c r="S580" s="1094"/>
      <c r="CV580" s="297"/>
      <c r="CW580" s="297"/>
      <c r="CX580" s="297"/>
      <c r="CY580" s="852"/>
      <c r="CZ580" s="852"/>
      <c r="DA580" s="852"/>
      <c r="DB580" s="852"/>
      <c r="DC580" s="852"/>
      <c r="DD580" s="852"/>
      <c r="DE580" s="852"/>
      <c r="DF580" s="852"/>
      <c r="DG580" s="852"/>
      <c r="DH580" s="852"/>
      <c r="DI580" s="852"/>
      <c r="DJ580" s="852"/>
      <c r="DK580" s="852"/>
      <c r="DL580" s="177"/>
      <c r="DM580" s="177"/>
    </row>
    <row r="581" spans="5:117" s="176" customFormat="1" x14ac:dyDescent="0.2"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57"/>
      <c r="S581" s="1094"/>
      <c r="CV581" s="297"/>
      <c r="CW581" s="297"/>
      <c r="CX581" s="297"/>
      <c r="CY581" s="852"/>
      <c r="CZ581" s="852"/>
      <c r="DA581" s="852"/>
      <c r="DB581" s="852"/>
      <c r="DC581" s="852"/>
      <c r="DD581" s="852"/>
      <c r="DE581" s="852"/>
      <c r="DF581" s="852"/>
      <c r="DG581" s="852"/>
      <c r="DH581" s="852"/>
      <c r="DI581" s="852"/>
      <c r="DJ581" s="852"/>
      <c r="DK581" s="852"/>
      <c r="DL581" s="177"/>
      <c r="DM581" s="177"/>
    </row>
    <row r="582" spans="5:117" s="176" customFormat="1" x14ac:dyDescent="0.2"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57"/>
      <c r="S582" s="1094"/>
      <c r="CV582" s="297"/>
      <c r="CW582" s="297"/>
      <c r="CX582" s="297"/>
      <c r="CY582" s="852"/>
      <c r="CZ582" s="852"/>
      <c r="DA582" s="852"/>
      <c r="DB582" s="852"/>
      <c r="DC582" s="852"/>
      <c r="DD582" s="852"/>
      <c r="DE582" s="852"/>
      <c r="DF582" s="852"/>
      <c r="DG582" s="852"/>
      <c r="DH582" s="852"/>
      <c r="DI582" s="852"/>
      <c r="DJ582" s="852"/>
      <c r="DK582" s="852"/>
      <c r="DL582" s="177"/>
      <c r="DM582" s="177"/>
    </row>
    <row r="583" spans="5:117" s="176" customFormat="1" x14ac:dyDescent="0.2"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57"/>
      <c r="S583" s="1094"/>
      <c r="CV583" s="297"/>
      <c r="CW583" s="297"/>
      <c r="CX583" s="297"/>
      <c r="CY583" s="852"/>
      <c r="CZ583" s="852"/>
      <c r="DA583" s="852"/>
      <c r="DB583" s="852"/>
      <c r="DC583" s="852"/>
      <c r="DD583" s="852"/>
      <c r="DE583" s="852"/>
      <c r="DF583" s="852"/>
      <c r="DG583" s="852"/>
      <c r="DH583" s="852"/>
      <c r="DI583" s="852"/>
      <c r="DJ583" s="852"/>
      <c r="DK583" s="852"/>
      <c r="DL583" s="177"/>
      <c r="DM583" s="177"/>
    </row>
    <row r="584" spans="5:117" s="176" customFormat="1" x14ac:dyDescent="0.2"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57"/>
      <c r="S584" s="1094"/>
      <c r="CV584" s="297"/>
      <c r="CW584" s="297"/>
      <c r="CX584" s="297"/>
      <c r="CY584" s="852"/>
      <c r="CZ584" s="852"/>
      <c r="DA584" s="852"/>
      <c r="DB584" s="852"/>
      <c r="DC584" s="852"/>
      <c r="DD584" s="852"/>
      <c r="DE584" s="852"/>
      <c r="DF584" s="852"/>
      <c r="DG584" s="852"/>
      <c r="DH584" s="852"/>
      <c r="DI584" s="852"/>
      <c r="DJ584" s="852"/>
      <c r="DK584" s="852"/>
      <c r="DL584" s="177"/>
      <c r="DM584" s="177"/>
    </row>
    <row r="585" spans="5:117" s="176" customFormat="1" x14ac:dyDescent="0.2"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57"/>
      <c r="S585" s="1094"/>
      <c r="CV585" s="297"/>
      <c r="CW585" s="297"/>
      <c r="CX585" s="297"/>
      <c r="CY585" s="852"/>
      <c r="CZ585" s="852"/>
      <c r="DA585" s="852"/>
      <c r="DB585" s="852"/>
      <c r="DC585" s="852"/>
      <c r="DD585" s="852"/>
      <c r="DE585" s="852"/>
      <c r="DF585" s="852"/>
      <c r="DG585" s="852"/>
      <c r="DH585" s="852"/>
      <c r="DI585" s="852"/>
      <c r="DJ585" s="852"/>
      <c r="DK585" s="852"/>
      <c r="DL585" s="177"/>
      <c r="DM585" s="177"/>
    </row>
    <row r="586" spans="5:117" s="176" customFormat="1" x14ac:dyDescent="0.2"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57"/>
      <c r="S586" s="1094"/>
      <c r="CV586" s="297"/>
      <c r="CW586" s="297"/>
      <c r="CX586" s="297"/>
      <c r="CY586" s="852"/>
      <c r="CZ586" s="852"/>
      <c r="DA586" s="852"/>
      <c r="DB586" s="852"/>
      <c r="DC586" s="852"/>
      <c r="DD586" s="852"/>
      <c r="DE586" s="852"/>
      <c r="DF586" s="852"/>
      <c r="DG586" s="852"/>
      <c r="DH586" s="852"/>
      <c r="DI586" s="852"/>
      <c r="DJ586" s="852"/>
      <c r="DK586" s="852"/>
      <c r="DL586" s="177"/>
      <c r="DM586" s="177"/>
    </row>
    <row r="587" spans="5:117" s="176" customFormat="1" x14ac:dyDescent="0.2"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57"/>
      <c r="S587" s="1094"/>
      <c r="CV587" s="297"/>
      <c r="CW587" s="297"/>
      <c r="CX587" s="297"/>
      <c r="CY587" s="852"/>
      <c r="CZ587" s="852"/>
      <c r="DA587" s="852"/>
      <c r="DB587" s="852"/>
      <c r="DC587" s="852"/>
      <c r="DD587" s="852"/>
      <c r="DE587" s="852"/>
      <c r="DF587" s="852"/>
      <c r="DG587" s="852"/>
      <c r="DH587" s="852"/>
      <c r="DI587" s="852"/>
      <c r="DJ587" s="852"/>
      <c r="DK587" s="852"/>
      <c r="DL587" s="177"/>
      <c r="DM587" s="177"/>
    </row>
    <row r="588" spans="5:117" s="176" customFormat="1" x14ac:dyDescent="0.2"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57"/>
      <c r="S588" s="1094"/>
      <c r="CV588" s="297"/>
      <c r="CW588" s="297"/>
      <c r="CX588" s="297"/>
      <c r="CY588" s="852"/>
      <c r="CZ588" s="852"/>
      <c r="DA588" s="852"/>
      <c r="DB588" s="852"/>
      <c r="DC588" s="852"/>
      <c r="DD588" s="852"/>
      <c r="DE588" s="852"/>
      <c r="DF588" s="852"/>
      <c r="DG588" s="852"/>
      <c r="DH588" s="852"/>
      <c r="DI588" s="852"/>
      <c r="DJ588" s="852"/>
      <c r="DK588" s="852"/>
      <c r="DL588" s="177"/>
      <c r="DM588" s="177"/>
    </row>
    <row r="589" spans="5:117" s="176" customFormat="1" x14ac:dyDescent="0.2"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57"/>
      <c r="S589" s="1094"/>
      <c r="CV589" s="297"/>
      <c r="CW589" s="297"/>
      <c r="CX589" s="297"/>
      <c r="CY589" s="852"/>
      <c r="CZ589" s="852"/>
      <c r="DA589" s="852"/>
      <c r="DB589" s="852"/>
      <c r="DC589" s="852"/>
      <c r="DD589" s="852"/>
      <c r="DE589" s="852"/>
      <c r="DF589" s="852"/>
      <c r="DG589" s="852"/>
      <c r="DH589" s="852"/>
      <c r="DI589" s="852"/>
      <c r="DJ589" s="852"/>
      <c r="DK589" s="852"/>
      <c r="DL589" s="177"/>
      <c r="DM589" s="177"/>
    </row>
    <row r="590" spans="5:117" s="176" customFormat="1" x14ac:dyDescent="0.2"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57"/>
      <c r="S590" s="1094"/>
      <c r="CV590" s="297"/>
      <c r="CW590" s="297"/>
      <c r="CX590" s="297"/>
      <c r="CY590" s="852"/>
      <c r="CZ590" s="852"/>
      <c r="DA590" s="852"/>
      <c r="DB590" s="852"/>
      <c r="DC590" s="852"/>
      <c r="DD590" s="852"/>
      <c r="DE590" s="852"/>
      <c r="DF590" s="852"/>
      <c r="DG590" s="852"/>
      <c r="DH590" s="852"/>
      <c r="DI590" s="852"/>
      <c r="DJ590" s="852"/>
      <c r="DK590" s="852"/>
      <c r="DL590" s="177"/>
      <c r="DM590" s="177"/>
    </row>
    <row r="591" spans="5:117" s="176" customFormat="1" x14ac:dyDescent="0.2"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57"/>
      <c r="S591" s="1094"/>
      <c r="CV591" s="297"/>
      <c r="CW591" s="297"/>
      <c r="CX591" s="297"/>
      <c r="CY591" s="852"/>
      <c r="CZ591" s="852"/>
      <c r="DA591" s="852"/>
      <c r="DB591" s="852"/>
      <c r="DC591" s="852"/>
      <c r="DD591" s="852"/>
      <c r="DE591" s="852"/>
      <c r="DF591" s="852"/>
      <c r="DG591" s="852"/>
      <c r="DH591" s="852"/>
      <c r="DI591" s="852"/>
      <c r="DJ591" s="852"/>
      <c r="DK591" s="852"/>
      <c r="DL591" s="177"/>
      <c r="DM591" s="177"/>
    </row>
    <row r="592" spans="5:117" s="176" customFormat="1" x14ac:dyDescent="0.2"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57"/>
      <c r="S592" s="1094"/>
      <c r="CV592" s="297"/>
      <c r="CW592" s="297"/>
      <c r="CX592" s="297"/>
      <c r="CY592" s="852"/>
      <c r="CZ592" s="852"/>
      <c r="DA592" s="852"/>
      <c r="DB592" s="852"/>
      <c r="DC592" s="852"/>
      <c r="DD592" s="852"/>
      <c r="DE592" s="852"/>
      <c r="DF592" s="852"/>
      <c r="DG592" s="852"/>
      <c r="DH592" s="852"/>
      <c r="DI592" s="852"/>
      <c r="DJ592" s="852"/>
      <c r="DK592" s="852"/>
      <c r="DL592" s="177"/>
      <c r="DM592" s="177"/>
    </row>
    <row r="593" spans="5:117" s="176" customFormat="1" x14ac:dyDescent="0.2"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57"/>
      <c r="S593" s="1094"/>
      <c r="CV593" s="297"/>
      <c r="CW593" s="297"/>
      <c r="CX593" s="297"/>
      <c r="CY593" s="852"/>
      <c r="CZ593" s="852"/>
      <c r="DA593" s="852"/>
      <c r="DB593" s="852"/>
      <c r="DC593" s="852"/>
      <c r="DD593" s="852"/>
      <c r="DE593" s="852"/>
      <c r="DF593" s="852"/>
      <c r="DG593" s="852"/>
      <c r="DH593" s="852"/>
      <c r="DI593" s="852"/>
      <c r="DJ593" s="852"/>
      <c r="DK593" s="852"/>
      <c r="DL593" s="177"/>
      <c r="DM593" s="177"/>
    </row>
    <row r="594" spans="5:117" s="176" customFormat="1" x14ac:dyDescent="0.2"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57"/>
      <c r="S594" s="1094"/>
      <c r="CV594" s="297"/>
      <c r="CW594" s="297"/>
      <c r="CX594" s="297"/>
      <c r="CY594" s="852"/>
      <c r="CZ594" s="852"/>
      <c r="DA594" s="852"/>
      <c r="DB594" s="852"/>
      <c r="DC594" s="852"/>
      <c r="DD594" s="852"/>
      <c r="DE594" s="852"/>
      <c r="DF594" s="852"/>
      <c r="DG594" s="852"/>
      <c r="DH594" s="852"/>
      <c r="DI594" s="852"/>
      <c r="DJ594" s="852"/>
      <c r="DK594" s="852"/>
      <c r="DL594" s="177"/>
      <c r="DM594" s="177"/>
    </row>
    <row r="595" spans="5:117" s="176" customFormat="1" x14ac:dyDescent="0.2"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57"/>
      <c r="S595" s="1094"/>
      <c r="CV595" s="297"/>
      <c r="CW595" s="297"/>
      <c r="CX595" s="297"/>
      <c r="CY595" s="852"/>
      <c r="CZ595" s="852"/>
      <c r="DA595" s="852"/>
      <c r="DB595" s="852"/>
      <c r="DC595" s="852"/>
      <c r="DD595" s="852"/>
      <c r="DE595" s="852"/>
      <c r="DF595" s="852"/>
      <c r="DG595" s="852"/>
      <c r="DH595" s="852"/>
      <c r="DI595" s="852"/>
      <c r="DJ595" s="852"/>
      <c r="DK595" s="852"/>
      <c r="DL595" s="177"/>
      <c r="DM595" s="177"/>
    </row>
    <row r="596" spans="5:117" s="176" customFormat="1" x14ac:dyDescent="0.2"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57"/>
      <c r="S596" s="1094"/>
      <c r="CV596" s="297"/>
      <c r="CW596" s="297"/>
      <c r="CX596" s="297"/>
      <c r="CY596" s="852"/>
      <c r="CZ596" s="852"/>
      <c r="DA596" s="852"/>
      <c r="DB596" s="852"/>
      <c r="DC596" s="852"/>
      <c r="DD596" s="852"/>
      <c r="DE596" s="852"/>
      <c r="DF596" s="852"/>
      <c r="DG596" s="852"/>
      <c r="DH596" s="852"/>
      <c r="DI596" s="852"/>
      <c r="DJ596" s="852"/>
      <c r="DK596" s="852"/>
      <c r="DL596" s="177"/>
      <c r="DM596" s="177"/>
    </row>
    <row r="597" spans="5:117" s="176" customFormat="1" x14ac:dyDescent="0.2"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57"/>
      <c r="S597" s="1094"/>
      <c r="CV597" s="297"/>
      <c r="CW597" s="297"/>
      <c r="CX597" s="297"/>
      <c r="CY597" s="852"/>
      <c r="CZ597" s="852"/>
      <c r="DA597" s="852"/>
      <c r="DB597" s="852"/>
      <c r="DC597" s="852"/>
      <c r="DD597" s="852"/>
      <c r="DE597" s="852"/>
      <c r="DF597" s="852"/>
      <c r="DG597" s="852"/>
      <c r="DH597" s="852"/>
      <c r="DI597" s="852"/>
      <c r="DJ597" s="852"/>
      <c r="DK597" s="852"/>
      <c r="DL597" s="177"/>
      <c r="DM597" s="177"/>
    </row>
    <row r="598" spans="5:117" s="176" customFormat="1" x14ac:dyDescent="0.2"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57"/>
      <c r="S598" s="1094"/>
      <c r="CV598" s="297"/>
      <c r="CW598" s="297"/>
      <c r="CX598" s="297"/>
      <c r="CY598" s="852"/>
      <c r="CZ598" s="852"/>
      <c r="DA598" s="852"/>
      <c r="DB598" s="852"/>
      <c r="DC598" s="852"/>
      <c r="DD598" s="852"/>
      <c r="DE598" s="852"/>
      <c r="DF598" s="852"/>
      <c r="DG598" s="852"/>
      <c r="DH598" s="852"/>
      <c r="DI598" s="852"/>
      <c r="DJ598" s="852"/>
      <c r="DK598" s="852"/>
      <c r="DL598" s="177"/>
      <c r="DM598" s="177"/>
    </row>
    <row r="599" spans="5:117" s="176" customFormat="1" x14ac:dyDescent="0.2"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57"/>
      <c r="S599" s="1094"/>
      <c r="CV599" s="297"/>
      <c r="CW599" s="297"/>
      <c r="CX599" s="297"/>
      <c r="CY599" s="852"/>
      <c r="CZ599" s="852"/>
      <c r="DA599" s="852"/>
      <c r="DB599" s="852"/>
      <c r="DC599" s="852"/>
      <c r="DD599" s="852"/>
      <c r="DE599" s="852"/>
      <c r="DF599" s="852"/>
      <c r="DG599" s="852"/>
      <c r="DH599" s="852"/>
      <c r="DI599" s="852"/>
      <c r="DJ599" s="852"/>
      <c r="DK599" s="852"/>
      <c r="DL599" s="177"/>
      <c r="DM599" s="177"/>
    </row>
    <row r="600" spans="5:117" s="176" customFormat="1" x14ac:dyDescent="0.2"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57"/>
      <c r="S600" s="1094"/>
      <c r="CV600" s="297"/>
      <c r="CW600" s="297"/>
      <c r="CX600" s="297"/>
      <c r="CY600" s="852"/>
      <c r="CZ600" s="852"/>
      <c r="DA600" s="852"/>
      <c r="DB600" s="852"/>
      <c r="DC600" s="852"/>
      <c r="DD600" s="852"/>
      <c r="DE600" s="852"/>
      <c r="DF600" s="852"/>
      <c r="DG600" s="852"/>
      <c r="DH600" s="852"/>
      <c r="DI600" s="852"/>
      <c r="DJ600" s="852"/>
      <c r="DK600" s="852"/>
      <c r="DL600" s="177"/>
      <c r="DM600" s="177"/>
    </row>
    <row r="601" spans="5:117" s="176" customFormat="1" x14ac:dyDescent="0.2"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57"/>
      <c r="S601" s="1094"/>
      <c r="CV601" s="297"/>
      <c r="CW601" s="297"/>
      <c r="CX601" s="297"/>
      <c r="CY601" s="852"/>
      <c r="CZ601" s="852"/>
      <c r="DA601" s="852"/>
      <c r="DB601" s="852"/>
      <c r="DC601" s="852"/>
      <c r="DD601" s="852"/>
      <c r="DE601" s="852"/>
      <c r="DF601" s="852"/>
      <c r="DG601" s="852"/>
      <c r="DH601" s="852"/>
      <c r="DI601" s="852"/>
      <c r="DJ601" s="852"/>
      <c r="DK601" s="852"/>
      <c r="DL601" s="177"/>
      <c r="DM601" s="177"/>
    </row>
    <row r="602" spans="5:117" s="176" customFormat="1" x14ac:dyDescent="0.2"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57"/>
      <c r="S602" s="1094"/>
      <c r="CV602" s="297"/>
      <c r="CW602" s="297"/>
      <c r="CX602" s="297"/>
      <c r="CY602" s="852"/>
      <c r="CZ602" s="852"/>
      <c r="DA602" s="852"/>
      <c r="DB602" s="852"/>
      <c r="DC602" s="852"/>
      <c r="DD602" s="852"/>
      <c r="DE602" s="852"/>
      <c r="DF602" s="852"/>
      <c r="DG602" s="852"/>
      <c r="DH602" s="852"/>
      <c r="DI602" s="852"/>
      <c r="DJ602" s="852"/>
      <c r="DK602" s="852"/>
      <c r="DL602" s="177"/>
      <c r="DM602" s="177"/>
    </row>
    <row r="603" spans="5:117" s="176" customFormat="1" x14ac:dyDescent="0.2"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57"/>
      <c r="S603" s="1094"/>
      <c r="CV603" s="297"/>
      <c r="CW603" s="297"/>
      <c r="CX603" s="297"/>
      <c r="CY603" s="852"/>
      <c r="CZ603" s="852"/>
      <c r="DA603" s="852"/>
      <c r="DB603" s="852"/>
      <c r="DC603" s="852"/>
      <c r="DD603" s="852"/>
      <c r="DE603" s="852"/>
      <c r="DF603" s="852"/>
      <c r="DG603" s="852"/>
      <c r="DH603" s="852"/>
      <c r="DI603" s="852"/>
      <c r="DJ603" s="852"/>
      <c r="DK603" s="852"/>
      <c r="DL603" s="177"/>
      <c r="DM603" s="177"/>
    </row>
    <row r="604" spans="5:117" s="176" customFormat="1" x14ac:dyDescent="0.2"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57"/>
      <c r="S604" s="1094"/>
      <c r="CV604" s="297"/>
      <c r="CW604" s="297"/>
      <c r="CX604" s="297"/>
      <c r="CY604" s="852"/>
      <c r="CZ604" s="852"/>
      <c r="DA604" s="852"/>
      <c r="DB604" s="852"/>
      <c r="DC604" s="852"/>
      <c r="DD604" s="852"/>
      <c r="DE604" s="852"/>
      <c r="DF604" s="852"/>
      <c r="DG604" s="852"/>
      <c r="DH604" s="852"/>
      <c r="DI604" s="852"/>
      <c r="DJ604" s="852"/>
      <c r="DK604" s="852"/>
      <c r="DL604" s="177"/>
      <c r="DM604" s="177"/>
    </row>
    <row r="605" spans="5:117" s="176" customFormat="1" x14ac:dyDescent="0.2"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57"/>
      <c r="S605" s="1094"/>
      <c r="CV605" s="297"/>
      <c r="CW605" s="297"/>
      <c r="CX605" s="297"/>
      <c r="CY605" s="852"/>
      <c r="CZ605" s="852"/>
      <c r="DA605" s="852"/>
      <c r="DB605" s="852"/>
      <c r="DC605" s="852"/>
      <c r="DD605" s="852"/>
      <c r="DE605" s="852"/>
      <c r="DF605" s="852"/>
      <c r="DG605" s="852"/>
      <c r="DH605" s="852"/>
      <c r="DI605" s="852"/>
      <c r="DJ605" s="852"/>
      <c r="DK605" s="852"/>
      <c r="DL605" s="177"/>
      <c r="DM605" s="177"/>
    </row>
    <row r="606" spans="5:117" s="176" customFormat="1" x14ac:dyDescent="0.2"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57"/>
      <c r="S606" s="1094"/>
      <c r="CV606" s="297"/>
      <c r="CW606" s="297"/>
      <c r="CX606" s="297"/>
      <c r="CY606" s="852"/>
      <c r="CZ606" s="852"/>
      <c r="DA606" s="852"/>
      <c r="DB606" s="852"/>
      <c r="DC606" s="852"/>
      <c r="DD606" s="852"/>
      <c r="DE606" s="852"/>
      <c r="DF606" s="852"/>
      <c r="DG606" s="852"/>
      <c r="DH606" s="852"/>
      <c r="DI606" s="852"/>
      <c r="DJ606" s="852"/>
      <c r="DK606" s="852"/>
      <c r="DL606" s="177"/>
      <c r="DM606" s="177"/>
    </row>
    <row r="607" spans="5:117" s="176" customFormat="1" x14ac:dyDescent="0.2"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57"/>
      <c r="S607" s="1094"/>
      <c r="CV607" s="297"/>
      <c r="CW607" s="297"/>
      <c r="CX607" s="297"/>
      <c r="CY607" s="852"/>
      <c r="CZ607" s="852"/>
      <c r="DA607" s="852"/>
      <c r="DB607" s="852"/>
      <c r="DC607" s="852"/>
      <c r="DD607" s="852"/>
      <c r="DE607" s="852"/>
      <c r="DF607" s="852"/>
      <c r="DG607" s="852"/>
      <c r="DH607" s="852"/>
      <c r="DI607" s="852"/>
      <c r="DJ607" s="852"/>
      <c r="DK607" s="852"/>
      <c r="DL607" s="177"/>
      <c r="DM607" s="177"/>
    </row>
  </sheetData>
  <sheetProtection algorithmName="SHA-512" hashValue="S7zgy6zVqhh3xWp9Bh/9x/By48LHgQ1okRr2x3h3BsFgu2wPm5B8l1vy99jH2QxkW2Q8vpCJlPd7ctq8S2ijpQ==" saltValue="Qn8jT1Aed5eZDJ9WdT2eGw==" spinCount="100000" sheet="1" objects="1" scenarios="1"/>
  <mergeCells count="1">
    <mergeCell ref="K74:K76"/>
  </mergeCells>
  <conditionalFormatting sqref="E14:P14 E22:P22">
    <cfRule type="cellIs" dxfId="624" priority="229" stopIfTrue="1" operator="greaterThan">
      <formula>0</formula>
    </cfRule>
  </conditionalFormatting>
  <conditionalFormatting sqref="G82:I82 G90:I90">
    <cfRule type="cellIs" dxfId="623" priority="184" stopIfTrue="1" operator="greaterThan">
      <formula>0</formula>
    </cfRule>
  </conditionalFormatting>
  <conditionalFormatting sqref="X40:AI44">
    <cfRule type="cellIs" dxfId="622" priority="181" stopIfTrue="1" operator="greaterThan">
      <formula>0</formula>
    </cfRule>
  </conditionalFormatting>
  <conditionalFormatting sqref="X6:AI10">
    <cfRule type="cellIs" dxfId="621" priority="177" stopIfTrue="1" operator="greaterThan">
      <formula>0</formula>
    </cfRule>
  </conditionalFormatting>
  <conditionalFormatting sqref="S46:S48 S60 S64 S54:S56">
    <cfRule type="notContainsBlanks" dxfId="620" priority="158" stopIfTrue="1">
      <formula>LEN(TRIM(S46))&gt;0</formula>
    </cfRule>
  </conditionalFormatting>
  <conditionalFormatting sqref="S80:S82 S94 S88:S90">
    <cfRule type="notContainsBlanks" dxfId="619" priority="157" stopIfTrue="1">
      <formula>LEN(TRIM(S80))&gt;0</formula>
    </cfRule>
  </conditionalFormatting>
  <conditionalFormatting sqref="X14:AI18">
    <cfRule type="cellIs" dxfId="618" priority="152" stopIfTrue="1" operator="greaterThan">
      <formula>0</formula>
    </cfRule>
  </conditionalFormatting>
  <conditionalFormatting sqref="X48:AI52">
    <cfRule type="cellIs" dxfId="617" priority="150" stopIfTrue="1" operator="greaterThan">
      <formula>0</formula>
    </cfRule>
  </conditionalFormatting>
  <conditionalFormatting sqref="X82:Z86">
    <cfRule type="cellIs" dxfId="616" priority="148" stopIfTrue="1" operator="greaterThan">
      <formula>0</formula>
    </cfRule>
  </conditionalFormatting>
  <conditionalFormatting sqref="E48:P48 E56:P56">
    <cfRule type="cellIs" dxfId="615" priority="143" stopIfTrue="1" operator="greaterThan">
      <formula>0</formula>
    </cfRule>
  </conditionalFormatting>
  <conditionalFormatting sqref="X74:Z78">
    <cfRule type="cellIs" dxfId="614" priority="80" stopIfTrue="1" operator="greaterThan">
      <formula>0</formula>
    </cfRule>
  </conditionalFormatting>
  <conditionalFormatting sqref="G75:I78">
    <cfRule type="cellIs" dxfId="613" priority="66" stopIfTrue="1" operator="greaterThan">
      <formula>0</formula>
    </cfRule>
  </conditionalFormatting>
  <conditionalFormatting sqref="G83:I86">
    <cfRule type="cellIs" dxfId="612" priority="52" stopIfTrue="1" operator="greaterThan">
      <formula>0</formula>
    </cfRule>
  </conditionalFormatting>
  <conditionalFormatting sqref="G91:I92">
    <cfRule type="cellIs" dxfId="611" priority="51" stopIfTrue="1" operator="greaterThan">
      <formula>0</formula>
    </cfRule>
  </conditionalFormatting>
  <conditionalFormatting sqref="G96:I97">
    <cfRule type="cellIs" dxfId="610" priority="50" stopIfTrue="1" operator="greaterThan">
      <formula>0</formula>
    </cfRule>
  </conditionalFormatting>
  <conditionalFormatting sqref="E57">
    <cfRule type="cellIs" dxfId="609" priority="47" stopIfTrue="1" operator="greaterThan">
      <formula>0</formula>
    </cfRule>
  </conditionalFormatting>
  <conditionalFormatting sqref="F57:P58">
    <cfRule type="cellIs" dxfId="608" priority="46" stopIfTrue="1" operator="greaterThan">
      <formula>0</formula>
    </cfRule>
  </conditionalFormatting>
  <conditionalFormatting sqref="E58">
    <cfRule type="cellIs" dxfId="607" priority="45" stopIfTrue="1" operator="greaterThan">
      <formula>0</formula>
    </cfRule>
  </conditionalFormatting>
  <conditionalFormatting sqref="E49:P52">
    <cfRule type="cellIs" dxfId="606" priority="44" stopIfTrue="1" operator="greaterThan">
      <formula>0</formula>
    </cfRule>
  </conditionalFormatting>
  <conditionalFormatting sqref="E41:P44">
    <cfRule type="cellIs" dxfId="605" priority="43" stopIfTrue="1" operator="greaterThan">
      <formula>0</formula>
    </cfRule>
  </conditionalFormatting>
  <conditionalFormatting sqref="E62:P63">
    <cfRule type="cellIs" dxfId="604" priority="42" stopIfTrue="1" operator="greaterThan">
      <formula>0</formula>
    </cfRule>
  </conditionalFormatting>
  <conditionalFormatting sqref="E23:P24">
    <cfRule type="cellIs" dxfId="603" priority="41" stopIfTrue="1" operator="greaterThan">
      <formula>0</formula>
    </cfRule>
  </conditionalFormatting>
  <conditionalFormatting sqref="E28:P29">
    <cfRule type="cellIs" dxfId="602" priority="40" stopIfTrue="1" operator="greaterThan">
      <formula>0</formula>
    </cfRule>
  </conditionalFormatting>
  <conditionalFormatting sqref="E15:P18">
    <cfRule type="cellIs" dxfId="601" priority="39" stopIfTrue="1" operator="greaterThan">
      <formula>0</formula>
    </cfRule>
  </conditionalFormatting>
  <conditionalFormatting sqref="E7:P7 E9:P10">
    <cfRule type="cellIs" dxfId="600" priority="38" stopIfTrue="1" operator="greaterThan">
      <formula>0</formula>
    </cfRule>
  </conditionalFormatting>
  <conditionalFormatting sqref="H81:I81">
    <cfRule type="cellIs" dxfId="599" priority="37" stopIfTrue="1" operator="greaterThan">
      <formula>0</formula>
    </cfRule>
  </conditionalFormatting>
  <conditionalFormatting sqref="G81">
    <cfRule type="cellIs" dxfId="598" priority="36" stopIfTrue="1" operator="greaterThan">
      <formula>0</formula>
    </cfRule>
  </conditionalFormatting>
  <conditionalFormatting sqref="F81">
    <cfRule type="cellIs" dxfId="597" priority="35" stopIfTrue="1" operator="greaterThan">
      <formula>0</formula>
    </cfRule>
  </conditionalFormatting>
  <conditionalFormatting sqref="H89:I89">
    <cfRule type="cellIs" dxfId="596" priority="34" stopIfTrue="1" operator="greaterThan">
      <formula>0</formula>
    </cfRule>
  </conditionalFormatting>
  <conditionalFormatting sqref="G89">
    <cfRule type="cellIs" dxfId="595" priority="33" stopIfTrue="1" operator="greaterThan">
      <formula>0</formula>
    </cfRule>
  </conditionalFormatting>
  <conditionalFormatting sqref="F89">
    <cfRule type="cellIs" dxfId="594" priority="32" stopIfTrue="1" operator="greaterThan">
      <formula>0</formula>
    </cfRule>
  </conditionalFormatting>
  <conditionalFormatting sqref="H94:I94">
    <cfRule type="cellIs" dxfId="593" priority="31" stopIfTrue="1" operator="greaterThan">
      <formula>0</formula>
    </cfRule>
  </conditionalFormatting>
  <conditionalFormatting sqref="G94">
    <cfRule type="cellIs" dxfId="592" priority="30" stopIfTrue="1" operator="greaterThan">
      <formula>0</formula>
    </cfRule>
  </conditionalFormatting>
  <conditionalFormatting sqref="F94">
    <cfRule type="cellIs" dxfId="591" priority="29" stopIfTrue="1" operator="greaterThan">
      <formula>0</formula>
    </cfRule>
  </conditionalFormatting>
  <conditionalFormatting sqref="H99:I99">
    <cfRule type="cellIs" dxfId="590" priority="28" stopIfTrue="1" operator="greaterThan">
      <formula>0</formula>
    </cfRule>
  </conditionalFormatting>
  <conditionalFormatting sqref="G99">
    <cfRule type="cellIs" dxfId="589" priority="27" stopIfTrue="1" operator="greaterThan">
      <formula>0</formula>
    </cfRule>
  </conditionalFormatting>
  <conditionalFormatting sqref="F99">
    <cfRule type="cellIs" dxfId="588" priority="26" stopIfTrue="1" operator="greaterThan">
      <formula>0</formula>
    </cfRule>
  </conditionalFormatting>
  <conditionalFormatting sqref="E8:P8">
    <cfRule type="cellIs" dxfId="587" priority="25" stopIfTrue="1" operator="greaterThan">
      <formula>0</formula>
    </cfRule>
  </conditionalFormatting>
  <conditionalFormatting sqref="S75:S76">
    <cfRule type="notContainsBlanks" dxfId="586" priority="24" stopIfTrue="1">
      <formula>LEN(TRIM(S75))&gt;0</formula>
    </cfRule>
  </conditionalFormatting>
  <conditionalFormatting sqref="S77">
    <cfRule type="notContainsBlanks" dxfId="585" priority="23" stopIfTrue="1">
      <formula>LEN(TRIM(S77))&gt;0</formula>
    </cfRule>
  </conditionalFormatting>
  <conditionalFormatting sqref="S78:S79">
    <cfRule type="notContainsBlanks" dxfId="584" priority="22" stopIfTrue="1">
      <formula>LEN(TRIM(S78))&gt;0</formula>
    </cfRule>
  </conditionalFormatting>
  <conditionalFormatting sqref="S83:S84">
    <cfRule type="notContainsBlanks" dxfId="583" priority="21" stopIfTrue="1">
      <formula>LEN(TRIM(S83))&gt;0</formula>
    </cfRule>
  </conditionalFormatting>
  <conditionalFormatting sqref="S85">
    <cfRule type="notContainsBlanks" dxfId="582" priority="20" stopIfTrue="1">
      <formula>LEN(TRIM(S85))&gt;0</formula>
    </cfRule>
  </conditionalFormatting>
  <conditionalFormatting sqref="S86:S87">
    <cfRule type="notContainsBlanks" dxfId="581" priority="19" stopIfTrue="1">
      <formula>LEN(TRIM(S86))&gt;0</formula>
    </cfRule>
  </conditionalFormatting>
  <conditionalFormatting sqref="S91:S92">
    <cfRule type="notContainsBlanks" dxfId="580" priority="18" stopIfTrue="1">
      <formula>LEN(TRIM(S91))&gt;0</formula>
    </cfRule>
  </conditionalFormatting>
  <conditionalFormatting sqref="S96:S97">
    <cfRule type="notContainsBlanks" dxfId="579" priority="17" stopIfTrue="1">
      <formula>LEN(TRIM(S96))&gt;0</formula>
    </cfRule>
  </conditionalFormatting>
  <conditionalFormatting sqref="S62:S63">
    <cfRule type="notContainsBlanks" dxfId="578" priority="16" stopIfTrue="1">
      <formula>LEN(TRIM(S62))&gt;0</formula>
    </cfRule>
  </conditionalFormatting>
  <conditionalFormatting sqref="S57:S58">
    <cfRule type="notContainsBlanks" dxfId="577" priority="15" stopIfTrue="1">
      <formula>LEN(TRIM(S57))&gt;0</formula>
    </cfRule>
  </conditionalFormatting>
  <conditionalFormatting sqref="S52:S53">
    <cfRule type="notContainsBlanks" dxfId="576" priority="14" stopIfTrue="1">
      <formula>LEN(TRIM(S52))&gt;0</formula>
    </cfRule>
  </conditionalFormatting>
  <conditionalFormatting sqref="S49">
    <cfRule type="notContainsBlanks" dxfId="575" priority="13" stopIfTrue="1">
      <formula>LEN(TRIM(S49))&gt;0</formula>
    </cfRule>
  </conditionalFormatting>
  <conditionalFormatting sqref="S50:S51">
    <cfRule type="notContainsBlanks" dxfId="574" priority="12" stopIfTrue="1">
      <formula>LEN(TRIM(S50))&gt;0</formula>
    </cfRule>
  </conditionalFormatting>
  <conditionalFormatting sqref="S41:S42">
    <cfRule type="notContainsBlanks" dxfId="573" priority="11" stopIfTrue="1">
      <formula>LEN(TRIM(S41))&gt;0</formula>
    </cfRule>
  </conditionalFormatting>
  <conditionalFormatting sqref="S43">
    <cfRule type="notContainsBlanks" dxfId="572" priority="10" stopIfTrue="1">
      <formula>LEN(TRIM(S43))&gt;0</formula>
    </cfRule>
  </conditionalFormatting>
  <conditionalFormatting sqref="S44:S45">
    <cfRule type="notContainsBlanks" dxfId="571" priority="9" stopIfTrue="1">
      <formula>LEN(TRIM(S44))&gt;0</formula>
    </cfRule>
  </conditionalFormatting>
  <conditionalFormatting sqref="S23:S24">
    <cfRule type="notContainsBlanks" dxfId="570" priority="8" stopIfTrue="1">
      <formula>LEN(TRIM(S23))&gt;0</formula>
    </cfRule>
  </conditionalFormatting>
  <conditionalFormatting sqref="S28:S29">
    <cfRule type="notContainsBlanks" dxfId="569" priority="7" stopIfTrue="1">
      <formula>LEN(TRIM(S28))&gt;0</formula>
    </cfRule>
  </conditionalFormatting>
  <conditionalFormatting sqref="S15:S16">
    <cfRule type="notContainsBlanks" dxfId="568" priority="6" stopIfTrue="1">
      <formula>LEN(TRIM(S15))&gt;0</formula>
    </cfRule>
  </conditionalFormatting>
  <conditionalFormatting sqref="S17">
    <cfRule type="notContainsBlanks" dxfId="567" priority="5" stopIfTrue="1">
      <formula>LEN(TRIM(S17))&gt;0</formula>
    </cfRule>
  </conditionalFormatting>
  <conditionalFormatting sqref="S18:S19">
    <cfRule type="notContainsBlanks" dxfId="566" priority="4" stopIfTrue="1">
      <formula>LEN(TRIM(S18))&gt;0</formula>
    </cfRule>
  </conditionalFormatting>
  <conditionalFormatting sqref="S9">
    <cfRule type="notContainsBlanks" dxfId="565" priority="3" stopIfTrue="1">
      <formula>LEN(TRIM(S9))&gt;0</formula>
    </cfRule>
  </conditionalFormatting>
  <conditionalFormatting sqref="S10:S11">
    <cfRule type="notContainsBlanks" dxfId="564" priority="2" stopIfTrue="1">
      <formula>LEN(TRIM(S10))&gt;0</formula>
    </cfRule>
  </conditionalFormatting>
  <conditionalFormatting sqref="S7:S8">
    <cfRule type="notContainsBlanks" dxfId="563" priority="1" stopIfTrue="1">
      <formula>LEN(TRIM(S7))&gt;0</formula>
    </cfRule>
  </conditionalFormatting>
  <dataValidations count="1">
    <dataValidation type="list" allowBlank="1" showInputMessage="1" showErrorMessage="1" sqref="D27 D65 D60 D55 D22 D6 D14">
      <formula1>$E$2:$G$2</formula1>
    </dataValidation>
  </dataValidations>
  <printOptions horizontalCentered="1"/>
  <pageMargins left="0.43307086614173229" right="0.43307086614173229" top="0.51181102362204722" bottom="0.35433070866141736" header="0" footer="0.31496062992125984"/>
  <pageSetup paperSize="9" scale="50" fitToWidth="0" fitToHeight="2" orientation="landscape" horizontalDpi="300" verticalDpi="300" r:id="rId1"/>
  <headerFooter>
    <oddFooter>&amp;L&amp;"Verdana,Standard"&amp;9&amp;A&amp;C&amp;"Verdana,Standard"&amp;9&amp;F&amp;R&amp;"Verdana,Standard"&amp;9© 2017 www.Kindermanns.de
Jürgen Erlewein</oddFooter>
  </headerFooter>
  <rowBreaks count="1" manualBreakCount="1">
    <brk id="69" min="1" max="16" man="1"/>
  </rowBreaks>
  <ignoredErrors>
    <ignoredError sqref="U14 U15:U18 U47:U52 U82:U86 U40:U41 U42:U44 U74:U78 U6:U7 U10 U8:U9" twoDigitTextYear="1"/>
    <ignoredError sqref="C42:C44 C75:C78 C83:C86 C91:C92 C96:C97" unlockedFormula="1"/>
    <ignoredError sqref="Q25 Q30:Q31 Q59 Q64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EZ575"/>
  <sheetViews>
    <sheetView showGridLines="0" topLeftCell="A2" zoomScale="71" zoomScaleNormal="71" workbookViewId="0">
      <selection activeCell="E6" sqref="E6"/>
    </sheetView>
  </sheetViews>
  <sheetFormatPr baseColWidth="10" defaultColWidth="11.42578125" defaultRowHeight="14.25" x14ac:dyDescent="0.2"/>
  <cols>
    <col min="1" max="1" width="1.5703125" style="176" customWidth="1"/>
    <col min="2" max="2" width="7.7109375" style="179" customWidth="1"/>
    <col min="3" max="3" width="16.28515625" style="179" customWidth="1"/>
    <col min="4" max="4" width="15.7109375" style="179" customWidth="1"/>
    <col min="5" max="5" width="16.85546875" style="389" customWidth="1"/>
    <col min="6" max="6" width="16.85546875" style="179" customWidth="1"/>
    <col min="7" max="7" width="16.85546875" style="389" customWidth="1"/>
    <col min="8" max="8" width="16.85546875" style="179" customWidth="1"/>
    <col min="9" max="9" width="16.85546875" style="389" customWidth="1"/>
    <col min="10" max="10" width="16.85546875" style="179" customWidth="1"/>
    <col min="11" max="11" width="16.85546875" style="389" customWidth="1"/>
    <col min="12" max="12" width="16.85546875" style="179" customWidth="1"/>
    <col min="13" max="13" width="16.85546875" style="389" customWidth="1"/>
    <col min="14" max="16" width="16.85546875" style="179" customWidth="1"/>
    <col min="17" max="17" width="4.7109375" style="179" customWidth="1"/>
    <col min="18" max="18" width="4.7109375" style="176" customWidth="1"/>
    <col min="19" max="19" width="51.85546875" style="388" customWidth="1"/>
    <col min="20" max="20" width="6" style="388" customWidth="1"/>
    <col min="21" max="21" width="5.42578125" style="388" customWidth="1"/>
    <col min="22" max="22" width="6.140625" style="388" customWidth="1"/>
    <col min="23" max="28" width="11.140625" style="388" customWidth="1"/>
    <col min="29" max="29" width="12.140625" style="176" customWidth="1"/>
    <col min="30" max="30" width="9.140625" style="176" customWidth="1"/>
    <col min="31" max="31" width="11.140625" style="176" customWidth="1"/>
    <col min="32" max="35" width="9.140625" style="176" customWidth="1"/>
    <col min="36" max="36" width="11" style="176" customWidth="1"/>
    <col min="37" max="40" width="11" style="176" hidden="1" customWidth="1"/>
    <col min="41" max="44" width="11" style="179" hidden="1" customWidth="1"/>
    <col min="45" max="45" width="11" style="464" hidden="1" customWidth="1"/>
    <col min="46" max="98" width="11" style="179" hidden="1" customWidth="1"/>
    <col min="99" max="99" width="11" style="180" hidden="1" customWidth="1"/>
    <col min="100" max="101" width="79.5703125" style="180" hidden="1" customWidth="1"/>
    <col min="102" max="102" width="79.5703125" style="179" hidden="1" customWidth="1"/>
    <col min="103" max="111" width="12.7109375" style="179" hidden="1" customWidth="1"/>
    <col min="112" max="115" width="12.7109375" style="180" hidden="1" customWidth="1"/>
    <col min="116" max="122" width="79.5703125" style="180" hidden="1" customWidth="1"/>
    <col min="123" max="156" width="79.5703125" style="179" hidden="1" customWidth="1"/>
    <col min="157" max="16384" width="11.42578125" style="179"/>
  </cols>
  <sheetData>
    <row r="1" spans="1:122" ht="66" customHeight="1" x14ac:dyDescent="0.2">
      <c r="R1" s="177" t="s">
        <v>779</v>
      </c>
    </row>
    <row r="2" spans="1:122" s="176" customFormat="1" ht="21.95" customHeight="1" x14ac:dyDescent="0.2">
      <c r="A2" s="175"/>
      <c r="C2" s="177" t="str">
        <f>'Deckblatt Gruender|Data Founder'!$D$8</f>
        <v>Deutsch</v>
      </c>
      <c r="E2" s="388"/>
      <c r="G2" s="388"/>
      <c r="I2" s="388"/>
      <c r="K2" s="388"/>
      <c r="M2" s="388"/>
      <c r="R2" s="177">
        <v>2</v>
      </c>
      <c r="T2" s="182" t="s">
        <v>225</v>
      </c>
      <c r="U2" s="400"/>
      <c r="V2" s="388"/>
      <c r="W2" s="388"/>
      <c r="X2" s="388"/>
      <c r="Y2" s="401"/>
      <c r="Z2" s="401"/>
      <c r="AA2" s="401"/>
      <c r="AB2" s="401"/>
      <c r="AS2" s="295"/>
      <c r="CQ2" s="179"/>
      <c r="CR2" s="179"/>
      <c r="CS2" s="179"/>
      <c r="CT2" s="179"/>
      <c r="CU2" s="180"/>
      <c r="CV2" s="180" t="s">
        <v>257</v>
      </c>
      <c r="CW2" s="180" t="s">
        <v>306</v>
      </c>
      <c r="CX2" s="40"/>
      <c r="CY2" s="40" t="s">
        <v>1</v>
      </c>
      <c r="CZ2" s="40" t="s">
        <v>2</v>
      </c>
      <c r="DA2" s="40" t="s">
        <v>3</v>
      </c>
      <c r="DB2" s="40" t="s">
        <v>4</v>
      </c>
      <c r="DC2" s="40" t="s">
        <v>5</v>
      </c>
      <c r="DD2" s="40" t="s">
        <v>6</v>
      </c>
      <c r="DE2" s="40" t="s">
        <v>7</v>
      </c>
      <c r="DF2" s="40" t="s">
        <v>8</v>
      </c>
      <c r="DG2" s="40" t="s">
        <v>9</v>
      </c>
      <c r="DH2" s="40" t="s">
        <v>10</v>
      </c>
      <c r="DI2" s="40" t="s">
        <v>11</v>
      </c>
      <c r="DJ2" s="40" t="s">
        <v>12</v>
      </c>
      <c r="DK2" s="40" t="str">
        <f ca="1">"Jahr "&amp;'1 Pers.Ausgaben|Pers Expenses'!C4</f>
        <v>Jahr 2019</v>
      </c>
      <c r="DL2" s="180"/>
      <c r="DM2" s="180"/>
      <c r="DN2" s="180"/>
      <c r="DO2" s="180"/>
      <c r="DP2" s="180"/>
      <c r="DQ2" s="180"/>
      <c r="DR2" s="180"/>
    </row>
    <row r="3" spans="1:122" s="183" customFormat="1" ht="24.75" x14ac:dyDescent="0.3">
      <c r="B3" s="397" t="str">
        <f ca="1">IF($C$2="English",CW3,CV3)</f>
        <v>3a  Geplante Anschaffungen (ohne MwSt) und deren Abschreibungen 2019 - 2023 in EURO</v>
      </c>
      <c r="C3" s="402"/>
      <c r="E3" s="403"/>
      <c r="G3" s="403"/>
      <c r="I3" s="403"/>
      <c r="K3" s="403"/>
      <c r="M3" s="403"/>
      <c r="O3" s="363" t="s">
        <v>794</v>
      </c>
      <c r="R3" s="177">
        <v>3</v>
      </c>
      <c r="T3" s="37" t="s">
        <v>317</v>
      </c>
      <c r="U3" s="403"/>
      <c r="V3" s="1564"/>
      <c r="W3" s="388"/>
      <c r="X3" s="403"/>
      <c r="Y3" s="388"/>
      <c r="Z3" s="388"/>
      <c r="AA3" s="388"/>
      <c r="AB3" s="388"/>
      <c r="AC3" s="176"/>
      <c r="AD3" s="176"/>
      <c r="AE3" s="176"/>
      <c r="AF3" s="176"/>
      <c r="AS3" s="295"/>
      <c r="CQ3" s="209"/>
      <c r="CR3" s="209"/>
      <c r="CS3" s="209"/>
      <c r="CT3" s="209"/>
      <c r="CU3" s="209"/>
      <c r="CV3" s="404" t="str">
        <f ca="1">"3a  Geplante Anschaffungen (" &amp; IF($C$4&lt;&gt;1,"ohne MwSt)","mit MwSt)") &amp;" und deren Abschreibungen "&amp; '1 Pers.Ausgaben|Pers Expenses'!$C$4 &amp;" - "&amp;  '1 Pers.Ausgaben|Pers Expenses'!$C$4+4 &amp; " in EURO"</f>
        <v>3a  Geplante Anschaffungen (ohne MwSt) und deren Abschreibungen 2019 - 2023 in EURO</v>
      </c>
      <c r="CW3" s="404" t="str">
        <f ca="1">"3a  Planned Capital Expenditures (" &amp; IF($C$4&lt;&gt;1,"w/o VAT)","incl. VAT)") &amp;" and depreciation "&amp; '1 Pers.Ausgaben|Pers Expenses'!$C$4 &amp;" - "&amp;  '1 Pers.Ausgaben|Pers Expenses'!$C$4+4 &amp; " in EURO"</f>
        <v>3a  Planned Capital Expenditures (w/o VAT) and depreciation 2019 - 2023 in EURO</v>
      </c>
      <c r="CX3" s="40"/>
      <c r="CY3" s="40" t="s">
        <v>73</v>
      </c>
      <c r="CZ3" s="40" t="s">
        <v>74</v>
      </c>
      <c r="DA3" s="40" t="s">
        <v>313</v>
      </c>
      <c r="DB3" s="40" t="s">
        <v>76</v>
      </c>
      <c r="DC3" s="40" t="s">
        <v>310</v>
      </c>
      <c r="DD3" s="40" t="s">
        <v>311</v>
      </c>
      <c r="DE3" s="40" t="s">
        <v>312</v>
      </c>
      <c r="DF3" s="40" t="s">
        <v>79</v>
      </c>
      <c r="DG3" s="40" t="s">
        <v>314</v>
      </c>
      <c r="DH3" s="40" t="s">
        <v>315</v>
      </c>
      <c r="DI3" s="40" t="s">
        <v>82</v>
      </c>
      <c r="DJ3" s="40" t="s">
        <v>316</v>
      </c>
      <c r="DK3" s="40" t="str">
        <f ca="1">"Year "&amp;'1 Pers.Ausgaben|Pers Expenses'!C4</f>
        <v>Year 2019</v>
      </c>
      <c r="DL3" s="405"/>
      <c r="DM3" s="405"/>
      <c r="DN3" s="405"/>
      <c r="DO3" s="405"/>
      <c r="DP3" s="405"/>
      <c r="DQ3" s="405"/>
      <c r="DR3" s="405"/>
    </row>
    <row r="4" spans="1:122" s="183" customFormat="1" ht="15" thickBot="1" x14ac:dyDescent="0.25">
      <c r="C4" s="177">
        <f>'Deckblatt Gruender|Data Founder'!M1</f>
        <v>0</v>
      </c>
      <c r="D4" s="201"/>
      <c r="E4" s="1562">
        <f ca="1">'1 Pers.Ausgaben|Pers Expenses'!C4</f>
        <v>2019</v>
      </c>
      <c r="F4" s="177"/>
      <c r="G4" s="1562">
        <f ca="1">E4+1</f>
        <v>2020</v>
      </c>
      <c r="H4" s="177"/>
      <c r="I4" s="1562">
        <f ca="1">G4+1</f>
        <v>2021</v>
      </c>
      <c r="J4" s="177"/>
      <c r="K4" s="1562">
        <f ca="1">I4+1</f>
        <v>2022</v>
      </c>
      <c r="L4" s="177"/>
      <c r="M4" s="1562">
        <f ca="1">K4+1</f>
        <v>2023</v>
      </c>
      <c r="O4" s="178"/>
      <c r="R4" s="177">
        <v>4</v>
      </c>
      <c r="T4" s="37"/>
      <c r="U4" s="403"/>
      <c r="V4" s="1564"/>
      <c r="W4" s="388"/>
      <c r="X4" s="403"/>
      <c r="Y4" s="388"/>
      <c r="Z4" s="388"/>
      <c r="AA4" s="388"/>
      <c r="AB4" s="388"/>
      <c r="AC4" s="176"/>
      <c r="AD4" s="176"/>
      <c r="AE4" s="176"/>
      <c r="AF4" s="176"/>
      <c r="AS4" s="295"/>
      <c r="CQ4" s="209"/>
      <c r="CR4" s="209"/>
      <c r="CS4" s="209"/>
      <c r="CT4" s="209"/>
      <c r="CU4" s="405"/>
      <c r="CV4" s="189" t="s">
        <v>579</v>
      </c>
      <c r="CW4" s="189" t="s">
        <v>428</v>
      </c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405"/>
      <c r="DI4" s="405"/>
      <c r="DJ4" s="405"/>
      <c r="DK4" s="405"/>
      <c r="DL4" s="405"/>
      <c r="DM4" s="405"/>
      <c r="DN4" s="405"/>
      <c r="DO4" s="405"/>
      <c r="DP4" s="405"/>
      <c r="DQ4" s="405"/>
      <c r="DR4" s="405"/>
    </row>
    <row r="5" spans="1:122" s="409" customFormat="1" ht="36.950000000000003" customHeight="1" thickBot="1" x14ac:dyDescent="0.25">
      <c r="A5" s="206"/>
      <c r="B5" s="406" t="s">
        <v>309</v>
      </c>
      <c r="C5" s="1660" t="str">
        <f>IF($C$2="English",CW5,CV5)</f>
        <v>Anschaffungen</v>
      </c>
      <c r="D5" s="1661"/>
      <c r="E5" s="407" t="str">
        <f ca="1">IF($C$2="English","Value      ","Betrag    ")&amp;'1 Pers.Ausgaben|Pers Expenses'!$C$4</f>
        <v>Betrag    2019</v>
      </c>
      <c r="F5" s="408" t="str">
        <f>IF($C$2="English",CW4,CV4)</f>
        <v>Investmonat</v>
      </c>
      <c r="G5" s="407" t="str">
        <f ca="1">IF($C$2="English","Value      ","Betrag    ")&amp;'1 Pers.Ausgaben|Pers Expenses'!$C$4+1</f>
        <v>Betrag    2020</v>
      </c>
      <c r="H5" s="408" t="str">
        <f>F5</f>
        <v>Investmonat</v>
      </c>
      <c r="I5" s="407" t="str">
        <f ca="1">IF($C$2="English","Value      ","Betrag    ")&amp;'1 Pers.Ausgaben|Pers Expenses'!$C$4+2</f>
        <v>Betrag    2021</v>
      </c>
      <c r="J5" s="408" t="str">
        <f>F5</f>
        <v>Investmonat</v>
      </c>
      <c r="K5" s="407" t="str">
        <f ca="1">IF($C$2="English","Value      ","Betrag    ")&amp;'1 Pers.Ausgaben|Pers Expenses'!$C$4+3</f>
        <v>Betrag    2022</v>
      </c>
      <c r="L5" s="408" t="str">
        <f>F5</f>
        <v>Investmonat</v>
      </c>
      <c r="M5" s="407" t="str">
        <f ca="1">IF($C$2="English","Value      ","Betrag    ")&amp;'1 Pers.Ausgaben|Pers Expenses'!$C$4+4</f>
        <v>Betrag    2023</v>
      </c>
      <c r="N5" s="408" t="str">
        <f>F5</f>
        <v>Investmonat</v>
      </c>
      <c r="O5" s="408" t="s">
        <v>795</v>
      </c>
      <c r="P5" s="1376" t="str">
        <f>IF($C$2="English",CW15,CV15)</f>
        <v>Jahre der
Abschreibung</v>
      </c>
      <c r="Q5" s="35" t="s">
        <v>742</v>
      </c>
      <c r="R5" s="396">
        <v>5</v>
      </c>
      <c r="S5" s="56" t="str">
        <f>IF(C2="English",T3,T2)</f>
        <v>Aufgaben und/oder Kommentar</v>
      </c>
      <c r="T5" s="206"/>
      <c r="U5" s="206"/>
      <c r="V5" s="396">
        <f ca="1">'1 Pers.Ausgaben|Pers Expenses'!C4</f>
        <v>2019</v>
      </c>
      <c r="W5" s="396"/>
      <c r="X5" s="396">
        <f ca="1">V5+1</f>
        <v>2020</v>
      </c>
      <c r="Y5" s="396"/>
      <c r="Z5" s="396">
        <f ca="1">X5+1</f>
        <v>2021</v>
      </c>
      <c r="AA5" s="396"/>
      <c r="AB5" s="396">
        <f ca="1">Z5+1</f>
        <v>2022</v>
      </c>
      <c r="AC5" s="396"/>
      <c r="AD5" s="396">
        <f ca="1">AB5+1</f>
        <v>2023</v>
      </c>
      <c r="AE5" s="396"/>
      <c r="AF5" s="206"/>
      <c r="AG5" s="206"/>
      <c r="AH5" s="206"/>
      <c r="AI5" s="206"/>
      <c r="AJ5" s="206"/>
      <c r="AK5" s="206"/>
      <c r="AL5" s="206"/>
      <c r="AM5" s="206"/>
      <c r="AN5" s="206"/>
      <c r="AS5" s="410"/>
      <c r="CU5" s="411"/>
      <c r="CV5" s="412" t="s">
        <v>762</v>
      </c>
      <c r="CW5" s="413" t="s">
        <v>763</v>
      </c>
      <c r="DH5" s="382"/>
      <c r="DI5" s="382"/>
      <c r="DJ5" s="382"/>
      <c r="DK5" s="382"/>
      <c r="DL5" s="382"/>
      <c r="DM5" s="382"/>
      <c r="DN5" s="382"/>
      <c r="DO5" s="382"/>
      <c r="DP5" s="382"/>
      <c r="DQ5" s="382"/>
      <c r="DR5" s="382"/>
    </row>
    <row r="6" spans="1:122" s="60" customFormat="1" x14ac:dyDescent="0.2">
      <c r="A6" s="57"/>
      <c r="B6" s="414">
        <v>1</v>
      </c>
      <c r="C6" s="1662" t="s">
        <v>252</v>
      </c>
      <c r="D6" s="1663"/>
      <c r="E6" s="1407"/>
      <c r="F6" s="1408"/>
      <c r="G6" s="1407"/>
      <c r="H6" s="1408"/>
      <c r="I6" s="1407"/>
      <c r="J6" s="1408"/>
      <c r="K6" s="1407"/>
      <c r="L6" s="1408"/>
      <c r="M6" s="1407"/>
      <c r="N6" s="1408"/>
      <c r="O6" s="1408"/>
      <c r="P6" s="1550"/>
      <c r="Q6" s="183"/>
      <c r="R6" s="396">
        <v>6</v>
      </c>
      <c r="S6" s="1553"/>
      <c r="T6" s="415"/>
      <c r="U6" s="57"/>
      <c r="V6" s="472" t="str">
        <f>IF(AND($O6="ja",E6&gt;0),F6,"")</f>
        <v/>
      </c>
      <c r="W6" s="472" t="str">
        <f>IF(V6&lt;&gt;"",E6,"")</f>
        <v/>
      </c>
      <c r="X6" s="472" t="str">
        <f>IF(AND($O6="ja",G6&gt;0),H6,"")</f>
        <v/>
      </c>
      <c r="Y6" s="472" t="str">
        <f>IF(X6&lt;&gt;"",G6,"")</f>
        <v/>
      </c>
      <c r="Z6" s="472" t="str">
        <f>IF(AND($O6="ja",I6&gt;0),J6,"")</f>
        <v/>
      </c>
      <c r="AA6" s="472" t="str">
        <f>IF(Z6&lt;&gt;"",I6,"")</f>
        <v/>
      </c>
      <c r="AB6" s="472" t="str">
        <f>IF(AND($O6="ja",K6&gt;0),L6,"")</f>
        <v/>
      </c>
      <c r="AC6" s="472" t="str">
        <f>IF(AB6&lt;&gt;"",K6,"")</f>
        <v/>
      </c>
      <c r="AD6" s="472" t="str">
        <f>IF(AND($O6="ja",M6&gt;0),N6,"")</f>
        <v/>
      </c>
      <c r="AE6" s="472" t="str">
        <f>IF(AD6&lt;&gt;"",M6,"")</f>
        <v/>
      </c>
      <c r="AF6" s="57"/>
      <c r="AG6" s="57"/>
      <c r="AH6" s="57"/>
      <c r="AI6" s="57"/>
      <c r="AJ6" s="57"/>
      <c r="AK6" s="57"/>
      <c r="AL6" s="57"/>
      <c r="AM6" s="57"/>
      <c r="AN6" s="57"/>
      <c r="AS6" s="416"/>
      <c r="CU6" s="417"/>
      <c r="CV6" s="418" t="s">
        <v>252</v>
      </c>
      <c r="CW6" s="413" t="s">
        <v>678</v>
      </c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</row>
    <row r="7" spans="1:122" s="60" customFormat="1" x14ac:dyDescent="0.2">
      <c r="A7" s="57"/>
      <c r="B7" s="414">
        <v>2</v>
      </c>
      <c r="C7" s="1662" t="s">
        <v>174</v>
      </c>
      <c r="D7" s="1663"/>
      <c r="E7" s="1409"/>
      <c r="F7" s="1410"/>
      <c r="G7" s="1409"/>
      <c r="H7" s="1410"/>
      <c r="I7" s="1409"/>
      <c r="J7" s="1410"/>
      <c r="K7" s="1409"/>
      <c r="L7" s="1410"/>
      <c r="M7" s="1409"/>
      <c r="N7" s="1410"/>
      <c r="O7" s="1410"/>
      <c r="P7" s="1551"/>
      <c r="Q7" s="183"/>
      <c r="R7" s="396">
        <v>7</v>
      </c>
      <c r="S7" s="1554"/>
      <c r="T7" s="415"/>
      <c r="U7" s="57"/>
      <c r="V7" s="472" t="str">
        <f t="shared" ref="V7:X12" si="0">IF(AND($O7="ja",E7&gt;0),F7,"")</f>
        <v/>
      </c>
      <c r="W7" s="472" t="str">
        <f>IF(V7&lt;&gt;"",E7,"")</f>
        <v/>
      </c>
      <c r="X7" s="472" t="str">
        <f t="shared" si="0"/>
        <v/>
      </c>
      <c r="Y7" s="472" t="str">
        <f>IF(X7&lt;&gt;"",G7,"")</f>
        <v/>
      </c>
      <c r="Z7" s="472" t="str">
        <f t="shared" ref="Z7:Z12" si="1">IF(AND($O7="ja",I7&gt;0),J7,"")</f>
        <v/>
      </c>
      <c r="AA7" s="472" t="str">
        <f>IF(Z7&lt;&gt;"",I7,"")</f>
        <v/>
      </c>
      <c r="AB7" s="472" t="str">
        <f t="shared" ref="AB7:AB12" si="2">IF(AND($O7="ja",K7&gt;0),L7,"")</f>
        <v/>
      </c>
      <c r="AC7" s="472" t="str">
        <f>IF(AB7&lt;&gt;"",K7,"")</f>
        <v/>
      </c>
      <c r="AD7" s="472" t="str">
        <f t="shared" ref="AD7:AD12" si="3">IF(AND($O7="ja",M7&gt;0),N7,"")</f>
        <v/>
      </c>
      <c r="AE7" s="472" t="str">
        <f>IF(AD7&lt;&gt;"",M7,"")</f>
        <v/>
      </c>
      <c r="AF7" s="57"/>
      <c r="AG7" s="57"/>
      <c r="AH7" s="57"/>
      <c r="AI7" s="57"/>
      <c r="AJ7" s="57"/>
      <c r="AK7" s="57"/>
      <c r="AL7" s="57"/>
      <c r="AM7" s="57"/>
      <c r="AN7" s="57"/>
      <c r="AS7" s="416"/>
      <c r="CU7" s="417"/>
      <c r="CV7" s="418" t="s">
        <v>174</v>
      </c>
      <c r="CW7" s="413" t="s">
        <v>679</v>
      </c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</row>
    <row r="8" spans="1:122" s="60" customFormat="1" x14ac:dyDescent="0.2">
      <c r="A8" s="57"/>
      <c r="B8" s="414">
        <v>3</v>
      </c>
      <c r="C8" s="1662" t="s">
        <v>175</v>
      </c>
      <c r="D8" s="1663"/>
      <c r="E8" s="1409"/>
      <c r="F8" s="1410"/>
      <c r="G8" s="1409"/>
      <c r="H8" s="1410"/>
      <c r="I8" s="1409"/>
      <c r="J8" s="1410"/>
      <c r="K8" s="1409"/>
      <c r="L8" s="1410"/>
      <c r="M8" s="1409"/>
      <c r="N8" s="1410"/>
      <c r="O8" s="1410"/>
      <c r="P8" s="1551"/>
      <c r="Q8" s="183"/>
      <c r="R8" s="396">
        <v>8</v>
      </c>
      <c r="S8" s="1554"/>
      <c r="T8" s="415"/>
      <c r="U8" s="415"/>
      <c r="V8" s="472" t="str">
        <f t="shared" si="0"/>
        <v/>
      </c>
      <c r="W8" s="472" t="str">
        <f t="shared" ref="W8:Y12" si="4">IF(V8&lt;&gt;"",E8,"")</f>
        <v/>
      </c>
      <c r="X8" s="472" t="str">
        <f t="shared" si="0"/>
        <v/>
      </c>
      <c r="Y8" s="472" t="str">
        <f t="shared" si="4"/>
        <v/>
      </c>
      <c r="Z8" s="472" t="str">
        <f t="shared" si="1"/>
        <v/>
      </c>
      <c r="AA8" s="472" t="str">
        <f t="shared" ref="AA8:AA12" si="5">IF(Z8&lt;&gt;"",I8,"")</f>
        <v/>
      </c>
      <c r="AB8" s="472" t="str">
        <f t="shared" si="2"/>
        <v/>
      </c>
      <c r="AC8" s="472" t="str">
        <f t="shared" ref="AC8:AC12" si="6">IF(AB8&lt;&gt;"",K8,"")</f>
        <v/>
      </c>
      <c r="AD8" s="472" t="str">
        <f t="shared" si="3"/>
        <v/>
      </c>
      <c r="AE8" s="472" t="str">
        <f t="shared" ref="AE8:AE12" si="7">IF(AD8&lt;&gt;"",M8,"")</f>
        <v/>
      </c>
      <c r="AF8" s="57"/>
      <c r="AG8" s="57"/>
      <c r="AH8" s="57"/>
      <c r="AI8" s="57"/>
      <c r="AJ8" s="57"/>
      <c r="AK8" s="57"/>
      <c r="AL8" s="57"/>
      <c r="AM8" s="57"/>
      <c r="AN8" s="57"/>
      <c r="AS8" s="416"/>
      <c r="CU8" s="417"/>
      <c r="CV8" s="418" t="s">
        <v>175</v>
      </c>
      <c r="CW8" s="413" t="s">
        <v>680</v>
      </c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</row>
    <row r="9" spans="1:122" s="60" customFormat="1" x14ac:dyDescent="0.2">
      <c r="A9" s="57"/>
      <c r="B9" s="414">
        <v>4</v>
      </c>
      <c r="C9" s="1662" t="s">
        <v>176</v>
      </c>
      <c r="D9" s="1663"/>
      <c r="E9" s="1409"/>
      <c r="F9" s="1410"/>
      <c r="G9" s="1409"/>
      <c r="H9" s="1410"/>
      <c r="I9" s="1409"/>
      <c r="J9" s="1410"/>
      <c r="K9" s="1409"/>
      <c r="L9" s="1410"/>
      <c r="M9" s="1409"/>
      <c r="N9" s="1410"/>
      <c r="O9" s="1410"/>
      <c r="P9" s="1551"/>
      <c r="Q9" s="183"/>
      <c r="R9" s="396">
        <v>9</v>
      </c>
      <c r="S9" s="1554"/>
      <c r="T9" s="415"/>
      <c r="U9" s="415"/>
      <c r="V9" s="472" t="str">
        <f t="shared" si="0"/>
        <v/>
      </c>
      <c r="W9" s="472" t="str">
        <f t="shared" si="4"/>
        <v/>
      </c>
      <c r="X9" s="472" t="str">
        <f t="shared" si="0"/>
        <v/>
      </c>
      <c r="Y9" s="472" t="str">
        <f t="shared" si="4"/>
        <v/>
      </c>
      <c r="Z9" s="472" t="str">
        <f t="shared" si="1"/>
        <v/>
      </c>
      <c r="AA9" s="472" t="str">
        <f t="shared" si="5"/>
        <v/>
      </c>
      <c r="AB9" s="472" t="str">
        <f t="shared" si="2"/>
        <v/>
      </c>
      <c r="AC9" s="472" t="str">
        <f t="shared" si="6"/>
        <v/>
      </c>
      <c r="AD9" s="472" t="str">
        <f t="shared" si="3"/>
        <v/>
      </c>
      <c r="AE9" s="472" t="str">
        <f t="shared" si="7"/>
        <v/>
      </c>
      <c r="AF9" s="57"/>
      <c r="AG9" s="57"/>
      <c r="AH9" s="57"/>
      <c r="AI9" s="57"/>
      <c r="AJ9" s="57"/>
      <c r="AK9" s="57"/>
      <c r="AL9" s="57"/>
      <c r="AM9" s="57"/>
      <c r="AN9" s="57"/>
      <c r="AS9" s="416"/>
      <c r="CU9" s="417"/>
      <c r="CV9" s="418" t="s">
        <v>176</v>
      </c>
      <c r="CW9" s="413" t="s">
        <v>681</v>
      </c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</row>
    <row r="10" spans="1:122" s="60" customFormat="1" x14ac:dyDescent="0.2">
      <c r="A10" s="57"/>
      <c r="B10" s="414">
        <v>5</v>
      </c>
      <c r="C10" s="1662" t="s">
        <v>102</v>
      </c>
      <c r="D10" s="1663"/>
      <c r="E10" s="1409"/>
      <c r="F10" s="1410"/>
      <c r="G10" s="1409"/>
      <c r="H10" s="1410"/>
      <c r="I10" s="1409"/>
      <c r="J10" s="1410"/>
      <c r="K10" s="1409"/>
      <c r="L10" s="1410"/>
      <c r="M10" s="1409"/>
      <c r="N10" s="1410"/>
      <c r="O10" s="1410"/>
      <c r="P10" s="1551"/>
      <c r="Q10" s="183"/>
      <c r="R10" s="396">
        <v>10</v>
      </c>
      <c r="S10" s="1554"/>
      <c r="T10" s="415"/>
      <c r="U10" s="415"/>
      <c r="V10" s="472" t="str">
        <f t="shared" si="0"/>
        <v/>
      </c>
      <c r="W10" s="472" t="str">
        <f t="shared" si="4"/>
        <v/>
      </c>
      <c r="X10" s="472" t="str">
        <f t="shared" si="0"/>
        <v/>
      </c>
      <c r="Y10" s="472" t="str">
        <f t="shared" si="4"/>
        <v/>
      </c>
      <c r="Z10" s="472" t="str">
        <f t="shared" si="1"/>
        <v/>
      </c>
      <c r="AA10" s="472" t="str">
        <f t="shared" si="5"/>
        <v/>
      </c>
      <c r="AB10" s="472" t="str">
        <f t="shared" si="2"/>
        <v/>
      </c>
      <c r="AC10" s="472" t="str">
        <f t="shared" si="6"/>
        <v/>
      </c>
      <c r="AD10" s="472" t="str">
        <f t="shared" si="3"/>
        <v/>
      </c>
      <c r="AE10" s="472" t="str">
        <f t="shared" si="7"/>
        <v/>
      </c>
      <c r="AF10" s="57"/>
      <c r="AG10" s="57"/>
      <c r="AH10" s="57"/>
      <c r="AI10" s="57"/>
      <c r="AJ10" s="57"/>
      <c r="AK10" s="57"/>
      <c r="AL10" s="57"/>
      <c r="AM10" s="57"/>
      <c r="AN10" s="57"/>
      <c r="AS10" s="416"/>
      <c r="CU10" s="417"/>
      <c r="CV10" s="418" t="s">
        <v>102</v>
      </c>
      <c r="CW10" s="413" t="s">
        <v>682</v>
      </c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</row>
    <row r="11" spans="1:122" s="60" customFormat="1" x14ac:dyDescent="0.2">
      <c r="A11" s="57"/>
      <c r="B11" s="414">
        <v>6</v>
      </c>
      <c r="C11" s="1662" t="s">
        <v>103</v>
      </c>
      <c r="D11" s="1663"/>
      <c r="E11" s="1409"/>
      <c r="F11" s="1410"/>
      <c r="G11" s="1409"/>
      <c r="H11" s="1410"/>
      <c r="I11" s="1409"/>
      <c r="J11" s="1410"/>
      <c r="K11" s="1409"/>
      <c r="L11" s="1410"/>
      <c r="M11" s="1409"/>
      <c r="N11" s="1410"/>
      <c r="O11" s="1410"/>
      <c r="P11" s="1551"/>
      <c r="Q11" s="183"/>
      <c r="R11" s="396">
        <v>12</v>
      </c>
      <c r="S11" s="1553"/>
      <c r="T11" s="415"/>
      <c r="U11" s="415"/>
      <c r="V11" s="472" t="str">
        <f t="shared" si="0"/>
        <v/>
      </c>
      <c r="W11" s="472" t="str">
        <f t="shared" si="4"/>
        <v/>
      </c>
      <c r="X11" s="472" t="str">
        <f t="shared" si="0"/>
        <v/>
      </c>
      <c r="Y11" s="472" t="str">
        <f t="shared" si="4"/>
        <v/>
      </c>
      <c r="Z11" s="472" t="str">
        <f t="shared" si="1"/>
        <v/>
      </c>
      <c r="AA11" s="472" t="str">
        <f t="shared" si="5"/>
        <v/>
      </c>
      <c r="AB11" s="472" t="str">
        <f t="shared" si="2"/>
        <v/>
      </c>
      <c r="AC11" s="472" t="str">
        <f t="shared" si="6"/>
        <v/>
      </c>
      <c r="AD11" s="472" t="str">
        <f t="shared" si="3"/>
        <v/>
      </c>
      <c r="AE11" s="472" t="str">
        <f t="shared" si="7"/>
        <v/>
      </c>
      <c r="AF11" s="57"/>
      <c r="AG11" s="57"/>
      <c r="AH11" s="57"/>
      <c r="AI11" s="57"/>
      <c r="AJ11" s="57"/>
      <c r="AK11" s="57"/>
      <c r="AL11" s="57"/>
      <c r="AM11" s="57"/>
      <c r="AN11" s="57"/>
      <c r="AS11" s="416"/>
      <c r="CU11" s="417"/>
      <c r="CV11" s="418" t="s">
        <v>103</v>
      </c>
      <c r="CW11" s="413" t="s">
        <v>683</v>
      </c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</row>
    <row r="12" spans="1:122" s="60" customFormat="1" x14ac:dyDescent="0.2">
      <c r="A12" s="57"/>
      <c r="B12" s="414">
        <v>7</v>
      </c>
      <c r="C12" s="1664" t="s">
        <v>104</v>
      </c>
      <c r="D12" s="1665"/>
      <c r="E12" s="1411"/>
      <c r="F12" s="1412"/>
      <c r="G12" s="1411"/>
      <c r="H12" s="1412"/>
      <c r="I12" s="1411"/>
      <c r="J12" s="1412"/>
      <c r="K12" s="1411"/>
      <c r="L12" s="1412"/>
      <c r="M12" s="1411"/>
      <c r="N12" s="1412"/>
      <c r="O12" s="1412"/>
      <c r="P12" s="1551"/>
      <c r="Q12" s="183"/>
      <c r="R12" s="396">
        <v>15</v>
      </c>
      <c r="S12" s="1554"/>
      <c r="T12" s="415"/>
      <c r="U12" s="415"/>
      <c r="V12" s="472" t="str">
        <f t="shared" si="0"/>
        <v/>
      </c>
      <c r="W12" s="472" t="str">
        <f t="shared" si="4"/>
        <v/>
      </c>
      <c r="X12" s="472" t="str">
        <f t="shared" si="0"/>
        <v/>
      </c>
      <c r="Y12" s="472" t="str">
        <f t="shared" si="4"/>
        <v/>
      </c>
      <c r="Z12" s="472" t="str">
        <f t="shared" si="1"/>
        <v/>
      </c>
      <c r="AA12" s="472" t="str">
        <f t="shared" si="5"/>
        <v/>
      </c>
      <c r="AB12" s="472" t="str">
        <f t="shared" si="2"/>
        <v/>
      </c>
      <c r="AC12" s="472" t="str">
        <f t="shared" si="6"/>
        <v/>
      </c>
      <c r="AD12" s="472" t="str">
        <f t="shared" si="3"/>
        <v/>
      </c>
      <c r="AE12" s="472" t="str">
        <f t="shared" si="7"/>
        <v/>
      </c>
      <c r="AF12" s="57"/>
      <c r="AG12" s="57"/>
      <c r="AH12" s="57"/>
      <c r="AI12" s="57"/>
      <c r="AJ12" s="57"/>
      <c r="AK12" s="57"/>
      <c r="AL12" s="57"/>
      <c r="AM12" s="57"/>
      <c r="AN12" s="57"/>
      <c r="AS12" s="416"/>
      <c r="CU12" s="417"/>
      <c r="CV12" s="418" t="s">
        <v>104</v>
      </c>
      <c r="CW12" s="413" t="s">
        <v>684</v>
      </c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</row>
    <row r="13" spans="1:122" s="423" customFormat="1" ht="15" thickBot="1" x14ac:dyDescent="0.25">
      <c r="A13" s="419"/>
      <c r="B13" s="420">
        <v>8</v>
      </c>
      <c r="C13" s="1668" t="str">
        <f>IF($C$2="English",CW13,CV13)</f>
        <v>Summe Sammelposten</v>
      </c>
      <c r="D13" s="1669"/>
      <c r="E13" s="421" t="str">
        <f>IF(E27=0,"",E27)</f>
        <v/>
      </c>
      <c r="F13" s="1087">
        <v>1</v>
      </c>
      <c r="G13" s="421"/>
      <c r="H13" s="1087">
        <v>1</v>
      </c>
      <c r="I13" s="421" t="str">
        <f>IF(K27=0,"",K27)</f>
        <v/>
      </c>
      <c r="J13" s="1087">
        <v>1</v>
      </c>
      <c r="K13" s="421" t="str">
        <f>IF(N27=0,"",N27)</f>
        <v/>
      </c>
      <c r="L13" s="1087">
        <v>1</v>
      </c>
      <c r="M13" s="1086"/>
      <c r="N13" s="1087">
        <v>1</v>
      </c>
      <c r="O13" s="206"/>
      <c r="P13" s="1552">
        <v>5</v>
      </c>
      <c r="Q13" s="183"/>
      <c r="R13" s="396">
        <v>20</v>
      </c>
      <c r="S13" s="118"/>
      <c r="T13" s="422"/>
      <c r="U13" s="422"/>
      <c r="V13" s="1563">
        <v>1</v>
      </c>
      <c r="W13" s="1563">
        <f t="shared" ref="W13:W24" si="8">IFERROR(VLOOKUP(V13,$V$6:$W$12,2,FALSE),0)</f>
        <v>0</v>
      </c>
      <c r="X13" s="1563">
        <v>1</v>
      </c>
      <c r="Y13" s="1563">
        <f t="shared" ref="Y13:Y24" si="9">IFERROR(VLOOKUP(X13,$X$6:$Y$12,2,FALSE),0)</f>
        <v>0</v>
      </c>
      <c r="Z13" s="1563">
        <v>1</v>
      </c>
      <c r="AA13" s="1563">
        <f t="shared" ref="AA13:AA24" si="10">IFERROR(VLOOKUP(Z13,$Z$6:$AA$12,2,FALSE),0)</f>
        <v>0</v>
      </c>
      <c r="AB13" s="1563">
        <v>1</v>
      </c>
      <c r="AC13" s="1563">
        <f t="shared" ref="AC13:AC24" si="11">IFERROR(VLOOKUP(AB13,$AB$6:$AC$12,2,FALSE),0)</f>
        <v>0</v>
      </c>
      <c r="AD13" s="1563">
        <v>1</v>
      </c>
      <c r="AE13" s="1563">
        <f t="shared" ref="AE13:AE24" si="12">IFERROR(VLOOKUP(AD13,$AD$6:$AE$12,2,FALSE),0)</f>
        <v>0</v>
      </c>
      <c r="AF13" s="419"/>
      <c r="AG13" s="419"/>
      <c r="AH13" s="419"/>
      <c r="AI13" s="419"/>
      <c r="AJ13" s="419"/>
      <c r="AK13" s="419"/>
      <c r="AL13" s="419"/>
      <c r="AM13" s="419"/>
      <c r="AN13" s="419"/>
      <c r="AS13" s="424"/>
      <c r="CU13" s="425"/>
      <c r="CV13" s="426" t="s">
        <v>160</v>
      </c>
      <c r="CW13" s="413" t="s">
        <v>346</v>
      </c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</row>
    <row r="14" spans="1:122" s="423" customFormat="1" ht="15.75" thickTop="1" thickBot="1" x14ac:dyDescent="0.25">
      <c r="A14" s="419"/>
      <c r="B14" s="427"/>
      <c r="C14" s="428" t="str">
        <f>IF($C$2="English",CW14,CV14)</f>
        <v>Summe Anschaffungen</v>
      </c>
      <c r="D14" s="429"/>
      <c r="E14" s="429">
        <f>SUM(E6:E13)</f>
        <v>0</v>
      </c>
      <c r="F14" s="1117"/>
      <c r="G14" s="429">
        <f>SUM(G6:G13)</f>
        <v>0</v>
      </c>
      <c r="H14" s="1117"/>
      <c r="I14" s="429">
        <f>SUM(I6:I13)</f>
        <v>0</v>
      </c>
      <c r="J14" s="1117"/>
      <c r="K14" s="429">
        <f>SUM(K6:K13)</f>
        <v>0</v>
      </c>
      <c r="L14" s="1117"/>
      <c r="M14" s="429">
        <f>SUM(M6:M13)</f>
        <v>0</v>
      </c>
      <c r="N14" s="430"/>
      <c r="O14" s="206"/>
      <c r="P14" s="419"/>
      <c r="Q14" s="183"/>
      <c r="R14" s="396">
        <v>25</v>
      </c>
      <c r="S14" s="118"/>
      <c r="T14" s="431"/>
      <c r="U14" s="419"/>
      <c r="V14" s="1563">
        <v>2</v>
      </c>
      <c r="W14" s="1563">
        <f t="shared" si="8"/>
        <v>0</v>
      </c>
      <c r="X14" s="1563">
        <v>2</v>
      </c>
      <c r="Y14" s="1563">
        <f t="shared" si="9"/>
        <v>0</v>
      </c>
      <c r="Z14" s="1563">
        <v>2</v>
      </c>
      <c r="AA14" s="1563">
        <f t="shared" si="10"/>
        <v>0</v>
      </c>
      <c r="AB14" s="1563">
        <v>2</v>
      </c>
      <c r="AC14" s="1563">
        <f t="shared" si="11"/>
        <v>0</v>
      </c>
      <c r="AD14" s="1563">
        <v>2</v>
      </c>
      <c r="AE14" s="1563">
        <f t="shared" si="12"/>
        <v>0</v>
      </c>
      <c r="AF14" s="419"/>
      <c r="AG14" s="419"/>
      <c r="AH14" s="419"/>
      <c r="AI14" s="419"/>
      <c r="AJ14" s="419"/>
      <c r="AK14" s="419"/>
      <c r="AL14" s="419"/>
      <c r="AM14" s="419"/>
      <c r="AN14" s="419"/>
      <c r="AS14" s="424"/>
      <c r="CU14" s="432"/>
      <c r="CV14" s="432" t="s">
        <v>150</v>
      </c>
      <c r="CW14" s="413" t="s">
        <v>685</v>
      </c>
      <c r="DH14" s="426"/>
      <c r="DI14" s="426"/>
      <c r="DJ14" s="426"/>
      <c r="DK14" s="426"/>
      <c r="DL14" s="426"/>
      <c r="DM14" s="426"/>
      <c r="DN14" s="426"/>
      <c r="DO14" s="426"/>
      <c r="DP14" s="426"/>
      <c r="DQ14" s="426"/>
      <c r="DR14" s="426"/>
    </row>
    <row r="15" spans="1:122" s="176" customFormat="1" ht="28.5" x14ac:dyDescent="0.2">
      <c r="D15" s="433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5" t="s">
        <v>173</v>
      </c>
      <c r="Q15" s="183"/>
      <c r="R15" s="186"/>
      <c r="S15" s="436"/>
      <c r="T15" s="434"/>
      <c r="U15" s="434"/>
      <c r="V15" s="1563">
        <v>3</v>
      </c>
      <c r="W15" s="1563">
        <f t="shared" si="8"/>
        <v>0</v>
      </c>
      <c r="X15" s="1563">
        <v>3</v>
      </c>
      <c r="Y15" s="1563">
        <f t="shared" si="9"/>
        <v>0</v>
      </c>
      <c r="Z15" s="1563">
        <v>3</v>
      </c>
      <c r="AA15" s="1563">
        <f t="shared" si="10"/>
        <v>0</v>
      </c>
      <c r="AB15" s="1563">
        <v>3</v>
      </c>
      <c r="AC15" s="1563">
        <f t="shared" si="11"/>
        <v>0</v>
      </c>
      <c r="AD15" s="1563">
        <v>3</v>
      </c>
      <c r="AE15" s="1563">
        <f t="shared" si="12"/>
        <v>0</v>
      </c>
      <c r="AS15" s="295"/>
      <c r="CQ15" s="179"/>
      <c r="CR15" s="179"/>
      <c r="CS15" s="179"/>
      <c r="CT15" s="179"/>
      <c r="CU15" s="180"/>
      <c r="CV15" s="975" t="s">
        <v>788</v>
      </c>
      <c r="CW15" s="1507" t="s">
        <v>780</v>
      </c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</row>
    <row r="16" spans="1:122" s="176" customFormat="1" ht="27.75" x14ac:dyDescent="0.3">
      <c r="B16" s="600" t="str">
        <f>IF($C$2="English",CW16,CV16)</f>
        <v>3b  Poolabschreibung / Sammelposten(ohne MwSt)</v>
      </c>
      <c r="E16" s="388"/>
      <c r="G16" s="388"/>
      <c r="I16" s="1465" t="s">
        <v>741</v>
      </c>
      <c r="K16" s="388"/>
      <c r="M16" s="388"/>
      <c r="S16" s="188"/>
      <c r="T16" s="388"/>
      <c r="U16" s="388"/>
      <c r="V16" s="1563">
        <v>4</v>
      </c>
      <c r="W16" s="1563">
        <f t="shared" si="8"/>
        <v>0</v>
      </c>
      <c r="X16" s="1563">
        <v>4</v>
      </c>
      <c r="Y16" s="1563">
        <f t="shared" si="9"/>
        <v>0</v>
      </c>
      <c r="Z16" s="1563">
        <v>4</v>
      </c>
      <c r="AA16" s="1563">
        <f t="shared" si="10"/>
        <v>0</v>
      </c>
      <c r="AB16" s="1563">
        <v>4</v>
      </c>
      <c r="AC16" s="1563">
        <f t="shared" si="11"/>
        <v>0</v>
      </c>
      <c r="AD16" s="1563">
        <v>4</v>
      </c>
      <c r="AE16" s="1563">
        <f t="shared" si="12"/>
        <v>0</v>
      </c>
      <c r="AS16" s="295"/>
      <c r="CQ16" s="179"/>
      <c r="CR16" s="179"/>
      <c r="CS16" s="179"/>
      <c r="CT16" s="179"/>
      <c r="CU16" s="179"/>
      <c r="CV16" s="404" t="str">
        <f>"3b  Poolabschreibung / Sammelposten(" &amp;  IF($C$4&lt;&gt;1,"ohne MwSt)","mit MwSt) ")</f>
        <v>3b  Poolabschreibung / Sammelposten(ohne MwSt)</v>
      </c>
      <c r="CW16" s="180" t="str">
        <f>"3b  Investment of Compound Items ) (" &amp; IF($C$4&lt;&gt;1,"w/o VAT)","incl. VAT)")</f>
        <v>3b  Investment of Compound Items ) (w/o VAT)</v>
      </c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</row>
    <row r="17" spans="1:122" s="201" customFormat="1" ht="15" thickBot="1" x14ac:dyDescent="0.25">
      <c r="A17" s="176"/>
      <c r="E17" s="403"/>
      <c r="G17" s="403"/>
      <c r="I17" s="403"/>
      <c r="K17" s="403"/>
      <c r="L17" s="403"/>
      <c r="M17" s="403"/>
      <c r="N17" s="437"/>
      <c r="O17" s="176"/>
      <c r="P17" s="176"/>
      <c r="Q17" s="176"/>
      <c r="S17" s="220"/>
      <c r="T17" s="403"/>
      <c r="U17" s="403"/>
      <c r="V17" s="1563">
        <v>5</v>
      </c>
      <c r="W17" s="1563">
        <f t="shared" si="8"/>
        <v>0</v>
      </c>
      <c r="X17" s="1563">
        <v>5</v>
      </c>
      <c r="Y17" s="1563">
        <f t="shared" si="9"/>
        <v>0</v>
      </c>
      <c r="Z17" s="1563">
        <v>5</v>
      </c>
      <c r="AA17" s="1563">
        <f t="shared" si="10"/>
        <v>0</v>
      </c>
      <c r="AB17" s="1563">
        <v>5</v>
      </c>
      <c r="AC17" s="1563">
        <f t="shared" si="11"/>
        <v>0</v>
      </c>
      <c r="AD17" s="1563">
        <v>5</v>
      </c>
      <c r="AE17" s="1563">
        <f t="shared" si="12"/>
        <v>0</v>
      </c>
      <c r="CQ17" s="219"/>
      <c r="CR17" s="219"/>
      <c r="CS17" s="219"/>
      <c r="CT17" s="219"/>
      <c r="CU17" s="189"/>
      <c r="CV17" s="189" t="s">
        <v>161</v>
      </c>
      <c r="CW17" s="189" t="s">
        <v>393</v>
      </c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</row>
    <row r="18" spans="1:122" s="219" customFormat="1" ht="15" customHeight="1" thickBot="1" x14ac:dyDescent="0.25">
      <c r="A18" s="176"/>
      <c r="B18" s="406" t="str">
        <f>B5</f>
        <v>No.</v>
      </c>
      <c r="C18" s="1654" t="str">
        <f ca="1">IF($C$2="English",$CW$18,$CV$18)&amp; '1 Pers.Ausgaben|Pers Expenses'!$C$4</f>
        <v>Sammelposten 2019</v>
      </c>
      <c r="D18" s="1655"/>
      <c r="E18" s="439"/>
      <c r="F18" s="1654" t="str">
        <f ca="1">IF($C$2="English",$CW$18,$CV$18)&amp; '1 Pers.Ausgaben|Pers Expenses'!$C$4+1</f>
        <v>Sammelposten 2020</v>
      </c>
      <c r="G18" s="1655"/>
      <c r="H18" s="439"/>
      <c r="I18" s="1654" t="str">
        <f ca="1">IF($C$2="English",$CW$18,$CV$18)&amp; '1 Pers.Ausgaben|Pers Expenses'!$C$4+2</f>
        <v>Sammelposten 2021</v>
      </c>
      <c r="J18" s="1655"/>
      <c r="K18" s="439"/>
      <c r="L18" s="1654" t="str">
        <f ca="1">IF($C$2="English",$CW$18,$CV$18)&amp; '1 Pers.Ausgaben|Pers Expenses'!$C$4+3</f>
        <v>Sammelposten 2022</v>
      </c>
      <c r="M18" s="1655"/>
      <c r="N18" s="439"/>
      <c r="O18" s="176"/>
      <c r="P18" s="176"/>
      <c r="Q18" s="176"/>
      <c r="R18" s="201"/>
      <c r="S18" s="220"/>
      <c r="T18" s="403"/>
      <c r="U18" s="403"/>
      <c r="V18" s="1563">
        <v>6</v>
      </c>
      <c r="W18" s="1563">
        <f t="shared" si="8"/>
        <v>0</v>
      </c>
      <c r="X18" s="1563">
        <v>6</v>
      </c>
      <c r="Y18" s="1563">
        <f t="shared" si="9"/>
        <v>0</v>
      </c>
      <c r="Z18" s="1563">
        <v>6</v>
      </c>
      <c r="AA18" s="1563">
        <f t="shared" si="10"/>
        <v>0</v>
      </c>
      <c r="AB18" s="1563">
        <v>6</v>
      </c>
      <c r="AC18" s="1563">
        <f t="shared" si="11"/>
        <v>0</v>
      </c>
      <c r="AD18" s="1563">
        <v>6</v>
      </c>
      <c r="AE18" s="1563">
        <f t="shared" si="12"/>
        <v>0</v>
      </c>
      <c r="AF18" s="201"/>
      <c r="AG18" s="201"/>
      <c r="AH18" s="201"/>
      <c r="AI18" s="201"/>
      <c r="AJ18" s="201"/>
      <c r="AK18" s="201"/>
      <c r="AL18" s="201"/>
      <c r="AM18" s="201"/>
      <c r="AN18" s="201"/>
      <c r="CU18" s="411"/>
      <c r="CV18" s="61" t="str">
        <f>"Sammelposten "</f>
        <v xml:space="preserve">Sammelposten </v>
      </c>
      <c r="CW18" s="413" t="str">
        <f>"Compound items "</f>
        <v xml:space="preserve">Compound items </v>
      </c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</row>
    <row r="19" spans="1:122" s="60" customFormat="1" x14ac:dyDescent="0.2">
      <c r="A19" s="57"/>
      <c r="B19" s="440" t="s">
        <v>199</v>
      </c>
      <c r="C19" s="1666" t="s">
        <v>146</v>
      </c>
      <c r="D19" s="1667"/>
      <c r="E19" s="1413"/>
      <c r="F19" s="1666" t="s">
        <v>146</v>
      </c>
      <c r="G19" s="1667"/>
      <c r="H19" s="1413"/>
      <c r="I19" s="1666" t="s">
        <v>146</v>
      </c>
      <c r="J19" s="1667"/>
      <c r="K19" s="1413"/>
      <c r="L19" s="1666" t="s">
        <v>146</v>
      </c>
      <c r="M19" s="1667"/>
      <c r="N19" s="1413"/>
      <c r="O19" s="176"/>
      <c r="P19" s="176"/>
      <c r="Q19" s="176"/>
      <c r="R19" s="57"/>
      <c r="S19" s="1554"/>
      <c r="T19" s="415"/>
      <c r="U19" s="415"/>
      <c r="V19" s="1563">
        <v>7</v>
      </c>
      <c r="W19" s="1563">
        <f t="shared" si="8"/>
        <v>0</v>
      </c>
      <c r="X19" s="1563">
        <v>7</v>
      </c>
      <c r="Y19" s="1563">
        <f t="shared" si="9"/>
        <v>0</v>
      </c>
      <c r="Z19" s="1563">
        <v>7</v>
      </c>
      <c r="AA19" s="1563">
        <f t="shared" si="10"/>
        <v>0</v>
      </c>
      <c r="AB19" s="1563">
        <v>7</v>
      </c>
      <c r="AC19" s="1563">
        <f t="shared" si="11"/>
        <v>0</v>
      </c>
      <c r="AD19" s="1563">
        <v>7</v>
      </c>
      <c r="AE19" s="1563">
        <f t="shared" si="12"/>
        <v>0</v>
      </c>
      <c r="AF19" s="57"/>
      <c r="AG19" s="57"/>
      <c r="AH19" s="57"/>
      <c r="AI19" s="57"/>
      <c r="AJ19" s="57"/>
      <c r="AK19" s="57"/>
      <c r="AL19" s="57"/>
      <c r="AM19" s="57"/>
      <c r="AN19" s="57"/>
      <c r="CU19" s="441"/>
      <c r="CV19" s="418" t="s">
        <v>146</v>
      </c>
      <c r="CW19" s="413" t="s">
        <v>347</v>
      </c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</row>
    <row r="20" spans="1:122" s="60" customFormat="1" x14ac:dyDescent="0.2">
      <c r="A20" s="57"/>
      <c r="B20" s="440" t="s">
        <v>200</v>
      </c>
      <c r="C20" s="1662" t="s">
        <v>147</v>
      </c>
      <c r="D20" s="1663"/>
      <c r="E20" s="1464"/>
      <c r="F20" s="1662" t="s">
        <v>147</v>
      </c>
      <c r="G20" s="1663"/>
      <c r="H20" s="1414"/>
      <c r="I20" s="1662" t="s">
        <v>147</v>
      </c>
      <c r="J20" s="1663"/>
      <c r="K20" s="1414"/>
      <c r="L20" s="1662" t="s">
        <v>147</v>
      </c>
      <c r="M20" s="1663"/>
      <c r="N20" s="1414"/>
      <c r="O20" s="176"/>
      <c r="P20" s="176"/>
      <c r="Q20" s="176"/>
      <c r="R20" s="57"/>
      <c r="S20" s="1554"/>
      <c r="T20" s="415"/>
      <c r="U20" s="415"/>
      <c r="V20" s="1563">
        <v>8</v>
      </c>
      <c r="W20" s="1563">
        <f t="shared" si="8"/>
        <v>0</v>
      </c>
      <c r="X20" s="1563">
        <v>8</v>
      </c>
      <c r="Y20" s="1563">
        <f t="shared" si="9"/>
        <v>0</v>
      </c>
      <c r="Z20" s="1563">
        <v>8</v>
      </c>
      <c r="AA20" s="1563">
        <f t="shared" si="10"/>
        <v>0</v>
      </c>
      <c r="AB20" s="1563">
        <v>8</v>
      </c>
      <c r="AC20" s="1563">
        <f t="shared" si="11"/>
        <v>0</v>
      </c>
      <c r="AD20" s="1563">
        <v>8</v>
      </c>
      <c r="AE20" s="1563">
        <f t="shared" si="12"/>
        <v>0</v>
      </c>
      <c r="AF20" s="57"/>
      <c r="AG20" s="57"/>
      <c r="AH20" s="57"/>
      <c r="AI20" s="57"/>
      <c r="AJ20" s="57"/>
      <c r="AK20" s="57"/>
      <c r="AL20" s="57"/>
      <c r="AM20" s="57"/>
      <c r="AN20" s="57"/>
      <c r="CU20" s="441"/>
      <c r="CV20" s="418" t="s">
        <v>147</v>
      </c>
      <c r="CW20" s="413" t="s">
        <v>380</v>
      </c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</row>
    <row r="21" spans="1:122" s="60" customFormat="1" x14ac:dyDescent="0.2">
      <c r="A21" s="57"/>
      <c r="B21" s="440" t="s">
        <v>201</v>
      </c>
      <c r="C21" s="1662" t="s">
        <v>148</v>
      </c>
      <c r="D21" s="1663"/>
      <c r="E21" s="1414"/>
      <c r="F21" s="1662" t="s">
        <v>148</v>
      </c>
      <c r="G21" s="1663"/>
      <c r="H21" s="1414"/>
      <c r="I21" s="1662" t="s">
        <v>148</v>
      </c>
      <c r="J21" s="1663"/>
      <c r="K21" s="1414"/>
      <c r="L21" s="1662" t="s">
        <v>148</v>
      </c>
      <c r="M21" s="1663"/>
      <c r="N21" s="1414"/>
      <c r="O21" s="127"/>
      <c r="P21" s="57"/>
      <c r="Q21" s="57"/>
      <c r="R21" s="57"/>
      <c r="S21" s="1554"/>
      <c r="T21" s="415"/>
      <c r="U21" s="415"/>
      <c r="V21" s="1563">
        <v>9</v>
      </c>
      <c r="W21" s="1563">
        <f t="shared" si="8"/>
        <v>0</v>
      </c>
      <c r="X21" s="1563">
        <v>9</v>
      </c>
      <c r="Y21" s="1563">
        <f t="shared" si="9"/>
        <v>0</v>
      </c>
      <c r="Z21" s="1563">
        <v>9</v>
      </c>
      <c r="AA21" s="1563">
        <f t="shared" si="10"/>
        <v>0</v>
      </c>
      <c r="AB21" s="1563">
        <v>9</v>
      </c>
      <c r="AC21" s="1563">
        <f t="shared" si="11"/>
        <v>0</v>
      </c>
      <c r="AD21" s="1563">
        <v>9</v>
      </c>
      <c r="AE21" s="1563">
        <f t="shared" si="12"/>
        <v>0</v>
      </c>
      <c r="AF21" s="57"/>
      <c r="AG21" s="57"/>
      <c r="AH21" s="57"/>
      <c r="AI21" s="57"/>
      <c r="AJ21" s="57"/>
      <c r="AK21" s="57"/>
      <c r="AL21" s="57"/>
      <c r="AM21" s="57"/>
      <c r="AN21" s="57"/>
      <c r="CU21" s="441"/>
      <c r="CV21" s="418" t="s">
        <v>148</v>
      </c>
      <c r="CW21" s="413" t="s">
        <v>381</v>
      </c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</row>
    <row r="22" spans="1:122" s="60" customFormat="1" x14ac:dyDescent="0.2">
      <c r="A22" s="57"/>
      <c r="B22" s="440" t="s">
        <v>202</v>
      </c>
      <c r="C22" s="1662" t="s">
        <v>151</v>
      </c>
      <c r="D22" s="1663"/>
      <c r="E22" s="1414"/>
      <c r="F22" s="1662" t="s">
        <v>151</v>
      </c>
      <c r="G22" s="1663"/>
      <c r="H22" s="1414"/>
      <c r="I22" s="1662" t="s">
        <v>151</v>
      </c>
      <c r="J22" s="1663"/>
      <c r="K22" s="1414"/>
      <c r="L22" s="1662" t="s">
        <v>151</v>
      </c>
      <c r="M22" s="1663"/>
      <c r="N22" s="1414"/>
      <c r="O22" s="127"/>
      <c r="P22" s="57"/>
      <c r="Q22" s="57"/>
      <c r="R22" s="57"/>
      <c r="S22" s="1554"/>
      <c r="T22" s="415"/>
      <c r="U22" s="415"/>
      <c r="V22" s="1563">
        <v>10</v>
      </c>
      <c r="W22" s="1563">
        <f t="shared" si="8"/>
        <v>0</v>
      </c>
      <c r="X22" s="1563">
        <v>10</v>
      </c>
      <c r="Y22" s="1563">
        <f t="shared" si="9"/>
        <v>0</v>
      </c>
      <c r="Z22" s="1563">
        <v>10</v>
      </c>
      <c r="AA22" s="1563">
        <f t="shared" si="10"/>
        <v>0</v>
      </c>
      <c r="AB22" s="1563">
        <v>10</v>
      </c>
      <c r="AC22" s="1563">
        <f t="shared" si="11"/>
        <v>0</v>
      </c>
      <c r="AD22" s="1563">
        <v>10</v>
      </c>
      <c r="AE22" s="1563">
        <f t="shared" si="12"/>
        <v>0</v>
      </c>
      <c r="AF22" s="57"/>
      <c r="AG22" s="57"/>
      <c r="AH22" s="57"/>
      <c r="AI22" s="57"/>
      <c r="AJ22" s="57"/>
      <c r="AK22" s="57"/>
      <c r="AL22" s="57"/>
      <c r="AM22" s="57"/>
      <c r="AN22" s="57"/>
      <c r="AS22" s="416"/>
      <c r="CU22" s="441"/>
      <c r="CV22" s="418" t="s">
        <v>151</v>
      </c>
      <c r="CW22" s="413" t="s">
        <v>382</v>
      </c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</row>
    <row r="23" spans="1:122" s="60" customFormat="1" x14ac:dyDescent="0.2">
      <c r="A23" s="57"/>
      <c r="B23" s="440" t="s">
        <v>203</v>
      </c>
      <c r="C23" s="1662" t="s">
        <v>156</v>
      </c>
      <c r="D23" s="1663"/>
      <c r="E23" s="1414"/>
      <c r="F23" s="1662" t="s">
        <v>156</v>
      </c>
      <c r="G23" s="1663"/>
      <c r="H23" s="1414"/>
      <c r="I23" s="1662" t="s">
        <v>156</v>
      </c>
      <c r="J23" s="1663"/>
      <c r="K23" s="1414"/>
      <c r="L23" s="1662" t="s">
        <v>156</v>
      </c>
      <c r="M23" s="1663"/>
      <c r="N23" s="1414"/>
      <c r="O23" s="127"/>
      <c r="P23" s="57"/>
      <c r="Q23" s="57"/>
      <c r="R23" s="57"/>
      <c r="S23" s="1554"/>
      <c r="T23" s="415"/>
      <c r="U23" s="415"/>
      <c r="V23" s="1563">
        <v>11</v>
      </c>
      <c r="W23" s="1563">
        <f t="shared" si="8"/>
        <v>0</v>
      </c>
      <c r="X23" s="1563">
        <v>11</v>
      </c>
      <c r="Y23" s="1563">
        <f t="shared" si="9"/>
        <v>0</v>
      </c>
      <c r="Z23" s="1563">
        <v>11</v>
      </c>
      <c r="AA23" s="1563">
        <f t="shared" si="10"/>
        <v>0</v>
      </c>
      <c r="AB23" s="1563">
        <v>11</v>
      </c>
      <c r="AC23" s="1563">
        <f t="shared" si="11"/>
        <v>0</v>
      </c>
      <c r="AD23" s="1563">
        <v>11</v>
      </c>
      <c r="AE23" s="1563">
        <f t="shared" si="12"/>
        <v>0</v>
      </c>
      <c r="AF23" s="57"/>
      <c r="AG23" s="57"/>
      <c r="AH23" s="57"/>
      <c r="AI23" s="57"/>
      <c r="AJ23" s="57"/>
      <c r="AK23" s="57"/>
      <c r="AL23" s="57"/>
      <c r="AM23" s="57"/>
      <c r="AN23" s="57"/>
      <c r="AS23" s="416"/>
      <c r="CU23" s="441"/>
      <c r="CV23" s="418" t="s">
        <v>156</v>
      </c>
      <c r="CW23" s="413" t="s">
        <v>383</v>
      </c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</row>
    <row r="24" spans="1:122" s="60" customFormat="1" x14ac:dyDescent="0.2">
      <c r="A24" s="57"/>
      <c r="B24" s="440" t="s">
        <v>204</v>
      </c>
      <c r="C24" s="1662" t="s">
        <v>157</v>
      </c>
      <c r="D24" s="1663"/>
      <c r="E24" s="1414"/>
      <c r="F24" s="1662" t="s">
        <v>157</v>
      </c>
      <c r="G24" s="1663"/>
      <c r="H24" s="1414"/>
      <c r="I24" s="1662" t="s">
        <v>157</v>
      </c>
      <c r="J24" s="1663"/>
      <c r="K24" s="1414"/>
      <c r="L24" s="1662" t="s">
        <v>157</v>
      </c>
      <c r="M24" s="1663"/>
      <c r="N24" s="1414"/>
      <c r="O24" s="127"/>
      <c r="P24" s="57"/>
      <c r="Q24" s="57"/>
      <c r="R24" s="57"/>
      <c r="S24" s="1554"/>
      <c r="T24" s="415"/>
      <c r="U24" s="415"/>
      <c r="V24" s="1563">
        <v>12</v>
      </c>
      <c r="W24" s="1563">
        <f t="shared" si="8"/>
        <v>0</v>
      </c>
      <c r="X24" s="1563">
        <v>12</v>
      </c>
      <c r="Y24" s="1563">
        <f t="shared" si="9"/>
        <v>0</v>
      </c>
      <c r="Z24" s="1563">
        <v>12</v>
      </c>
      <c r="AA24" s="1563">
        <f t="shared" si="10"/>
        <v>0</v>
      </c>
      <c r="AB24" s="1563">
        <v>12</v>
      </c>
      <c r="AC24" s="1563">
        <f t="shared" si="11"/>
        <v>0</v>
      </c>
      <c r="AD24" s="1563">
        <v>12</v>
      </c>
      <c r="AE24" s="1563">
        <f t="shared" si="12"/>
        <v>0</v>
      </c>
      <c r="AF24" s="57"/>
      <c r="AG24" s="57"/>
      <c r="AH24" s="57"/>
      <c r="AI24" s="57"/>
      <c r="AJ24" s="57"/>
      <c r="AK24" s="57"/>
      <c r="AL24" s="57"/>
      <c r="AM24" s="57"/>
      <c r="AN24" s="57"/>
      <c r="AS24" s="416"/>
      <c r="CU24" s="441"/>
      <c r="CV24" s="418" t="s">
        <v>157</v>
      </c>
      <c r="CW24" s="413" t="s">
        <v>384</v>
      </c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</row>
    <row r="25" spans="1:122" s="60" customFormat="1" x14ac:dyDescent="0.2">
      <c r="A25" s="57"/>
      <c r="B25" s="440" t="s">
        <v>205</v>
      </c>
      <c r="C25" s="1662" t="s">
        <v>158</v>
      </c>
      <c r="D25" s="1663"/>
      <c r="E25" s="1414"/>
      <c r="F25" s="1662" t="s">
        <v>158</v>
      </c>
      <c r="G25" s="1663"/>
      <c r="H25" s="1414"/>
      <c r="I25" s="1662" t="s">
        <v>158</v>
      </c>
      <c r="J25" s="1663"/>
      <c r="K25" s="1414"/>
      <c r="L25" s="1662" t="s">
        <v>158</v>
      </c>
      <c r="M25" s="1663"/>
      <c r="N25" s="1414"/>
      <c r="O25" s="127"/>
      <c r="P25" s="57"/>
      <c r="Q25" s="57"/>
      <c r="R25" s="57"/>
      <c r="S25" s="1554"/>
      <c r="T25" s="415"/>
      <c r="U25" s="415"/>
      <c r="V25" s="1563"/>
      <c r="W25" s="1563"/>
      <c r="X25" s="1563"/>
      <c r="Y25" s="1563">
        <f>SUM(Y13:Y24)</f>
        <v>0</v>
      </c>
      <c r="Z25" s="1563"/>
      <c r="AA25" s="1563">
        <f>SUM(AA13:AA24)</f>
        <v>0</v>
      </c>
      <c r="AB25" s="1563"/>
      <c r="AC25" s="1563">
        <f>SUM(AC13:AC24)</f>
        <v>0</v>
      </c>
      <c r="AD25" s="472"/>
      <c r="AE25" s="1563">
        <f>SUM(AE13:AE24)</f>
        <v>0</v>
      </c>
      <c r="AF25" s="57"/>
      <c r="AG25" s="57"/>
      <c r="AH25" s="57"/>
      <c r="AI25" s="57"/>
      <c r="AJ25" s="57"/>
      <c r="AK25" s="57"/>
      <c r="AL25" s="57"/>
      <c r="AM25" s="57"/>
      <c r="AN25" s="57"/>
      <c r="AS25" s="416"/>
      <c r="CU25" s="441"/>
      <c r="CV25" s="418" t="s">
        <v>158</v>
      </c>
      <c r="CW25" s="413" t="s">
        <v>385</v>
      </c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</row>
    <row r="26" spans="1:122" s="60" customFormat="1" ht="15" thickBot="1" x14ac:dyDescent="0.25">
      <c r="A26" s="57"/>
      <c r="B26" s="440" t="s">
        <v>206</v>
      </c>
      <c r="C26" s="1644" t="s">
        <v>159</v>
      </c>
      <c r="D26" s="1645"/>
      <c r="E26" s="1415"/>
      <c r="F26" s="1644" t="s">
        <v>159</v>
      </c>
      <c r="G26" s="1645"/>
      <c r="H26" s="1415"/>
      <c r="I26" s="1644" t="s">
        <v>159</v>
      </c>
      <c r="J26" s="1645"/>
      <c r="K26" s="1415"/>
      <c r="L26" s="1644" t="s">
        <v>159</v>
      </c>
      <c r="M26" s="1645"/>
      <c r="N26" s="1415"/>
      <c r="O26" s="127"/>
      <c r="P26" s="57"/>
      <c r="Q26" s="57"/>
      <c r="R26" s="57"/>
      <c r="S26" s="1554"/>
      <c r="T26" s="415"/>
      <c r="U26" s="415"/>
      <c r="V26" s="422"/>
      <c r="W26" s="422"/>
      <c r="X26" s="422"/>
      <c r="Y26" s="422"/>
      <c r="Z26" s="422"/>
      <c r="AA26" s="422"/>
      <c r="AB26" s="422"/>
      <c r="AC26" s="419"/>
      <c r="AD26" s="419"/>
      <c r="AE26" s="419"/>
      <c r="AF26" s="57"/>
      <c r="AG26" s="57"/>
      <c r="AH26" s="57"/>
      <c r="AI26" s="57"/>
      <c r="AJ26" s="57"/>
      <c r="AK26" s="57"/>
      <c r="AL26" s="57"/>
      <c r="AM26" s="57"/>
      <c r="AN26" s="57"/>
      <c r="AS26" s="416"/>
      <c r="CU26" s="441"/>
      <c r="CV26" s="418" t="s">
        <v>159</v>
      </c>
      <c r="CW26" s="413" t="s">
        <v>386</v>
      </c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</row>
    <row r="27" spans="1:122" s="423" customFormat="1" ht="15.75" thickTop="1" thickBot="1" x14ac:dyDescent="0.25">
      <c r="A27" s="419"/>
      <c r="B27" s="427"/>
      <c r="C27" s="442" t="str">
        <f>IF($C$2="English",CW27,CV27)</f>
        <v>Summe Sammelposten</v>
      </c>
      <c r="D27" s="442"/>
      <c r="E27" s="443">
        <f>SUM(E19:E26)</f>
        <v>0</v>
      </c>
      <c r="F27" s="1115"/>
      <c r="G27" s="1116"/>
      <c r="H27" s="443">
        <f>SUM(H19:H26)</f>
        <v>0</v>
      </c>
      <c r="I27" s="1115"/>
      <c r="J27" s="1116"/>
      <c r="K27" s="443">
        <f>SUM(K19:K26)</f>
        <v>0</v>
      </c>
      <c r="L27" s="1115"/>
      <c r="M27" s="1116"/>
      <c r="N27" s="443">
        <f>SUM(N19:N26)</f>
        <v>0</v>
      </c>
      <c r="O27" s="444"/>
      <c r="P27" s="419"/>
      <c r="Q27" s="57"/>
      <c r="R27" s="419"/>
      <c r="S27" s="445"/>
      <c r="T27" s="422"/>
      <c r="U27" s="422"/>
      <c r="V27" s="422"/>
      <c r="W27" s="422"/>
      <c r="X27" s="422"/>
      <c r="Y27" s="422"/>
      <c r="Z27" s="422"/>
      <c r="AA27" s="422"/>
      <c r="AB27" s="422"/>
      <c r="AC27" s="419"/>
      <c r="AD27" s="419"/>
      <c r="AE27" s="419"/>
      <c r="AF27" s="419"/>
      <c r="AG27" s="419"/>
      <c r="AH27" s="419"/>
      <c r="AI27" s="419"/>
      <c r="AJ27" s="419"/>
      <c r="AK27" s="419"/>
      <c r="AL27" s="419"/>
      <c r="AM27" s="419"/>
      <c r="AN27" s="419"/>
      <c r="AS27" s="424"/>
      <c r="CU27" s="432"/>
      <c r="CV27" s="446" t="s">
        <v>160</v>
      </c>
      <c r="CW27" s="413" t="s">
        <v>346</v>
      </c>
      <c r="DH27" s="426"/>
      <c r="DI27" s="426"/>
      <c r="DJ27" s="426"/>
      <c r="DK27" s="426"/>
      <c r="DL27" s="426"/>
      <c r="DM27" s="426"/>
      <c r="DN27" s="426"/>
      <c r="DO27" s="426"/>
      <c r="DP27" s="426"/>
      <c r="DQ27" s="426"/>
      <c r="DR27" s="426"/>
    </row>
    <row r="28" spans="1:122" s="57" customFormat="1" x14ac:dyDescent="0.2">
      <c r="B28" s="447"/>
      <c r="C28" s="447"/>
      <c r="D28" s="447"/>
      <c r="E28" s="448"/>
      <c r="F28" s="449"/>
      <c r="G28" s="449"/>
      <c r="H28" s="448"/>
      <c r="I28" s="449"/>
      <c r="J28" s="449"/>
      <c r="K28" s="448"/>
      <c r="L28" s="449"/>
      <c r="M28" s="449"/>
      <c r="N28" s="448"/>
      <c r="S28" s="118"/>
      <c r="T28" s="415"/>
      <c r="U28" s="415"/>
      <c r="V28" s="422"/>
      <c r="W28" s="422"/>
      <c r="X28" s="422"/>
      <c r="Y28" s="422"/>
      <c r="Z28" s="422"/>
      <c r="AA28" s="422"/>
      <c r="AB28" s="422"/>
      <c r="AC28" s="419"/>
      <c r="AD28" s="419"/>
      <c r="AE28" s="419"/>
      <c r="AS28" s="450"/>
      <c r="CQ28" s="60"/>
      <c r="CR28" s="60"/>
      <c r="CS28" s="60"/>
      <c r="CT28" s="60"/>
      <c r="CU28" s="451"/>
      <c r="CV28" s="451"/>
      <c r="CW28" s="451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</row>
    <row r="29" spans="1:122" s="176" customFormat="1" ht="22.5" x14ac:dyDescent="0.3">
      <c r="B29" s="298" t="str">
        <f ca="1">IF($C$2="English",CW29,CV29)</f>
        <v>3c-1  Monatliche Abschreibungen (ohne MwSt) für das Jahr 2019 in EURO</v>
      </c>
      <c r="C29" s="402"/>
      <c r="E29" s="455"/>
      <c r="G29" s="455"/>
      <c r="I29" s="455"/>
      <c r="K29" s="455"/>
      <c r="M29" s="455"/>
      <c r="Q29" s="57"/>
      <c r="S29" s="436"/>
      <c r="T29" s="455"/>
      <c r="U29" s="455"/>
      <c r="V29" s="455"/>
      <c r="W29" s="456"/>
      <c r="X29" s="388"/>
      <c r="Y29" s="388"/>
      <c r="Z29" s="388"/>
      <c r="AA29" s="388"/>
      <c r="AB29" s="388"/>
      <c r="AS29" s="295"/>
      <c r="CQ29" s="179"/>
      <c r="CR29" s="179"/>
      <c r="CS29" s="179"/>
      <c r="CT29" s="179"/>
      <c r="CU29" s="179"/>
      <c r="CV29" s="404" t="str">
        <f ca="1">"3c-1  Monatliche Abschreibungen ("  &amp;  IF($C$4&lt;&gt;1,"ohne MwSt)","mit MwSt) ")&amp;" für das Jahr "&amp;'1 Pers.Ausgaben|Pers Expenses'!$C$4&amp;" in EURO"</f>
        <v>3c-1  Monatliche Abschreibungen (ohne MwSt) für das Jahr 2019 in EURO</v>
      </c>
      <c r="CW29" s="666" t="str">
        <f ca="1">"3c-1 Monthly depreciation ("&amp;IF($C$4&lt;&gt;1,"w/o VAT)","incl VAT)")&amp;" for the year "&amp;'1 Pers.Ausgaben|Pers Expenses'!$C$4&amp;" in EURO"</f>
        <v>3c-1 Monthly depreciation (w/o VAT) for the year 2019 in EURO</v>
      </c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</row>
    <row r="30" spans="1:122" s="176" customFormat="1" ht="15" thickBot="1" x14ac:dyDescent="0.25">
      <c r="D30" s="457"/>
      <c r="E30" s="455"/>
      <c r="G30" s="455"/>
      <c r="I30" s="455"/>
      <c r="K30" s="455"/>
      <c r="M30" s="455"/>
      <c r="Q30" s="57"/>
      <c r="S30" s="118"/>
      <c r="T30" s="415"/>
      <c r="U30" s="415"/>
      <c r="V30" s="415"/>
      <c r="W30" s="458"/>
      <c r="X30" s="415"/>
      <c r="Y30" s="415"/>
      <c r="Z30" s="415"/>
      <c r="AA30" s="415"/>
      <c r="AB30" s="415"/>
      <c r="AC30" s="57"/>
      <c r="AS30" s="295"/>
      <c r="BL30" s="57"/>
      <c r="CQ30" s="179"/>
      <c r="CR30" s="179"/>
      <c r="CS30" s="179"/>
      <c r="CT30" s="179"/>
      <c r="CU30" s="179"/>
      <c r="CV30" s="180" t="s">
        <v>161</v>
      </c>
      <c r="CW30" s="459" t="s">
        <v>368</v>
      </c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</row>
    <row r="31" spans="1:122" s="60" customFormat="1" ht="15" thickBot="1" x14ac:dyDescent="0.25">
      <c r="A31" s="57"/>
      <c r="B31" s="1648" t="str">
        <f>IF($C$2="English",CW31,CV31)</f>
        <v>Monate</v>
      </c>
      <c r="C31" s="1649"/>
      <c r="D31" s="1650"/>
      <c r="E31" s="56" t="str">
        <f t="shared" ref="E31:P31" si="13">IF($C$2="English",CY3,CY2)</f>
        <v>Jan.</v>
      </c>
      <c r="F31" s="56" t="str">
        <f t="shared" si="13"/>
        <v>Febr.</v>
      </c>
      <c r="G31" s="56" t="str">
        <f t="shared" si="13"/>
        <v>März</v>
      </c>
      <c r="H31" s="56" t="str">
        <f t="shared" si="13"/>
        <v>April</v>
      </c>
      <c r="I31" s="56" t="str">
        <f t="shared" si="13"/>
        <v>Mai</v>
      </c>
      <c r="J31" s="56" t="str">
        <f t="shared" si="13"/>
        <v>Juni</v>
      </c>
      <c r="K31" s="56" t="str">
        <f t="shared" si="13"/>
        <v>Juli</v>
      </c>
      <c r="L31" s="56" t="str">
        <f t="shared" si="13"/>
        <v>Aug.</v>
      </c>
      <c r="M31" s="56" t="str">
        <f t="shared" si="13"/>
        <v>Sept.</v>
      </c>
      <c r="N31" s="56" t="str">
        <f t="shared" si="13"/>
        <v>Okt.</v>
      </c>
      <c r="O31" s="56" t="str">
        <f t="shared" si="13"/>
        <v>Nov.</v>
      </c>
      <c r="P31" s="56" t="str">
        <f t="shared" si="13"/>
        <v>Dez.</v>
      </c>
      <c r="Q31" s="57"/>
      <c r="R31" s="57"/>
      <c r="S31" s="460"/>
      <c r="T31" s="461"/>
      <c r="U31" s="461"/>
      <c r="V31" s="461"/>
      <c r="W31" s="461"/>
      <c r="X31" s="461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CV31" s="40" t="s">
        <v>85</v>
      </c>
      <c r="CW31" s="40" t="s">
        <v>348</v>
      </c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</row>
    <row r="32" spans="1:122" s="60" customFormat="1" ht="15" thickBot="1" x14ac:dyDescent="0.25">
      <c r="A32" s="176"/>
      <c r="B32" s="1670" t="str">
        <f>IF($C$2="English",CW32,CV32)</f>
        <v>monatl. Abschreibungen</v>
      </c>
      <c r="C32" s="1671"/>
      <c r="D32" s="1672"/>
      <c r="E32" s="1548">
        <f>D92</f>
        <v>0</v>
      </c>
      <c r="F32" s="1548">
        <f t="shared" ref="F32:P32" si="14">E92</f>
        <v>0</v>
      </c>
      <c r="G32" s="1548">
        <f t="shared" si="14"/>
        <v>0</v>
      </c>
      <c r="H32" s="1548">
        <f t="shared" si="14"/>
        <v>0</v>
      </c>
      <c r="I32" s="1548">
        <f t="shared" si="14"/>
        <v>0</v>
      </c>
      <c r="J32" s="1548">
        <f t="shared" si="14"/>
        <v>0</v>
      </c>
      <c r="K32" s="1548">
        <f t="shared" si="14"/>
        <v>0</v>
      </c>
      <c r="L32" s="1548">
        <f t="shared" si="14"/>
        <v>0</v>
      </c>
      <c r="M32" s="1548">
        <f t="shared" si="14"/>
        <v>0</v>
      </c>
      <c r="N32" s="1548">
        <f t="shared" si="14"/>
        <v>0</v>
      </c>
      <c r="O32" s="1548">
        <f t="shared" si="14"/>
        <v>0</v>
      </c>
      <c r="P32" s="1548">
        <f t="shared" si="14"/>
        <v>0</v>
      </c>
      <c r="Q32" s="57"/>
      <c r="R32" s="57"/>
      <c r="S32" s="118"/>
      <c r="T32" s="415"/>
      <c r="U32" s="415"/>
      <c r="V32" s="415"/>
      <c r="W32" s="458"/>
      <c r="X32" s="415"/>
      <c r="Y32" s="415"/>
      <c r="Z32" s="415"/>
      <c r="AA32" s="415"/>
      <c r="AB32" s="415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CV32" s="40" t="s">
        <v>197</v>
      </c>
      <c r="CW32" s="40" t="s">
        <v>735</v>
      </c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</row>
    <row r="33" spans="1:122" s="60" customFormat="1" ht="15" thickBot="1" x14ac:dyDescent="0.25">
      <c r="A33" s="5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62" t="str">
        <f ca="1">IF($C$2="English",CW33,CV33)</f>
        <v>Summe 2019</v>
      </c>
      <c r="P33" s="1549">
        <f>SUM(E32:P32)</f>
        <v>0</v>
      </c>
      <c r="Q33" s="447"/>
      <c r="R33" s="447"/>
      <c r="S33" s="118"/>
      <c r="T33" s="415"/>
      <c r="U33" s="415"/>
      <c r="V33" s="415"/>
      <c r="W33" s="415"/>
      <c r="X33" s="415"/>
      <c r="Y33" s="415"/>
      <c r="Z33" s="415"/>
      <c r="AA33" s="415"/>
      <c r="AB33" s="415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S33" s="416"/>
      <c r="CU33" s="451"/>
      <c r="CV33" s="446" t="str">
        <f ca="1">"Summe " &amp; '1 Pers.Ausgaben|Pers Expenses'!$C$4</f>
        <v>Summe 2019</v>
      </c>
      <c r="CW33" s="463" t="str">
        <f ca="1">"Sum " &amp; '1 Pers.Ausgaben|Pers Expenses'!$C$4</f>
        <v>Sum 2019</v>
      </c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</row>
    <row r="34" spans="1:122" ht="24.75" x14ac:dyDescent="0.3">
      <c r="B34" s="397" t="str">
        <f ca="1">IF($C$2="English",CW34,CV34)</f>
        <v>3c-2  Monatliche Abschreibungen (ohne MwSt) für das Jahr 2020 in EURO</v>
      </c>
      <c r="C34" s="402"/>
      <c r="D34" s="176"/>
      <c r="E34" s="455"/>
      <c r="F34" s="176"/>
      <c r="G34" s="455"/>
      <c r="H34" s="176"/>
      <c r="I34" s="455"/>
      <c r="J34" s="176"/>
      <c r="K34" s="455"/>
      <c r="L34" s="176"/>
      <c r="M34" s="455"/>
      <c r="N34" s="176"/>
      <c r="O34" s="176"/>
      <c r="P34" s="176"/>
      <c r="Q34" s="57"/>
      <c r="S34" s="436"/>
      <c r="T34" s="455"/>
      <c r="U34" s="455"/>
      <c r="V34" s="455"/>
      <c r="W34" s="456"/>
      <c r="CV34" s="404" t="str">
        <f ca="1">"3c-2  Monatliche Abschreibungen ("  &amp;  IF($C$4&lt;&gt;1,"ohne MwSt)","mit MwSt) ")&amp;" für das Jahr "&amp;'1 Pers.Ausgaben|Pers Expenses'!$C$4+1&amp;" in EURO"</f>
        <v>3c-2  Monatliche Abschreibungen (ohne MwSt) für das Jahr 2020 in EURO</v>
      </c>
      <c r="CW34" s="666" t="str">
        <f ca="1">"3c-2 Depreciation per month ("&amp;IF($C$4&lt;&gt;1,"w/o VAT)","incl VAT)")&amp;" for the year "&amp;'1 Pers.Ausgaben|Pers Expenses'!$C$4+1&amp;" in EURO"</f>
        <v>3c-2 Depreciation per month (w/o VAT) for the year 2020 in EURO</v>
      </c>
    </row>
    <row r="35" spans="1:122" ht="15" thickBot="1" x14ac:dyDescent="0.25">
      <c r="B35" s="176"/>
      <c r="C35" s="176"/>
      <c r="D35" s="457"/>
      <c r="E35" s="455"/>
      <c r="F35" s="176"/>
      <c r="G35" s="455"/>
      <c r="H35" s="176"/>
      <c r="I35" s="455"/>
      <c r="J35" s="176"/>
      <c r="K35" s="455"/>
      <c r="L35" s="176"/>
      <c r="M35" s="455"/>
      <c r="N35" s="176"/>
      <c r="O35" s="176"/>
      <c r="P35" s="176"/>
      <c r="Q35" s="57"/>
      <c r="S35" s="118"/>
      <c r="T35" s="415"/>
      <c r="U35" s="415"/>
      <c r="V35" s="415"/>
      <c r="W35" s="458"/>
      <c r="X35" s="415"/>
      <c r="Y35" s="415"/>
      <c r="Z35" s="415"/>
      <c r="AA35" s="415"/>
      <c r="AB35" s="415"/>
      <c r="AC35" s="57"/>
      <c r="BL35" s="60"/>
    </row>
    <row r="36" spans="1:122" s="60" customFormat="1" ht="15" thickBot="1" x14ac:dyDescent="0.25">
      <c r="A36" s="57"/>
      <c r="B36" s="1648" t="str">
        <f>B31</f>
        <v>Monate</v>
      </c>
      <c r="C36" s="1649"/>
      <c r="D36" s="1650"/>
      <c r="E36" s="56" t="str">
        <f t="shared" ref="E36:P36" si="15">E31</f>
        <v>Jan.</v>
      </c>
      <c r="F36" s="56" t="str">
        <f t="shared" si="15"/>
        <v>Febr.</v>
      </c>
      <c r="G36" s="56" t="str">
        <f t="shared" si="15"/>
        <v>März</v>
      </c>
      <c r="H36" s="56" t="str">
        <f t="shared" si="15"/>
        <v>April</v>
      </c>
      <c r="I36" s="56" t="str">
        <f t="shared" si="15"/>
        <v>Mai</v>
      </c>
      <c r="J36" s="56" t="str">
        <f t="shared" si="15"/>
        <v>Juni</v>
      </c>
      <c r="K36" s="56" t="str">
        <f t="shared" si="15"/>
        <v>Juli</v>
      </c>
      <c r="L36" s="56" t="str">
        <f t="shared" si="15"/>
        <v>Aug.</v>
      </c>
      <c r="M36" s="56" t="str">
        <f t="shared" si="15"/>
        <v>Sept.</v>
      </c>
      <c r="N36" s="56" t="str">
        <f t="shared" si="15"/>
        <v>Okt.</v>
      </c>
      <c r="O36" s="56" t="str">
        <f t="shared" si="15"/>
        <v>Nov.</v>
      </c>
      <c r="P36" s="56" t="str">
        <f t="shared" si="15"/>
        <v>Dez.</v>
      </c>
      <c r="Q36" s="57"/>
      <c r="R36" s="57"/>
      <c r="S36" s="460"/>
      <c r="T36" s="461"/>
      <c r="U36" s="461"/>
      <c r="V36" s="461"/>
      <c r="W36" s="461"/>
      <c r="X36" s="461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CV36" s="40" t="s">
        <v>85</v>
      </c>
      <c r="CW36" s="40" t="s">
        <v>348</v>
      </c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</row>
    <row r="37" spans="1:122" s="60" customFormat="1" ht="15" thickBot="1" x14ac:dyDescent="0.25">
      <c r="A37" s="176"/>
      <c r="B37" s="1670" t="str">
        <f>B32</f>
        <v>monatl. Abschreibungen</v>
      </c>
      <c r="C37" s="1671"/>
      <c r="D37" s="1672"/>
      <c r="E37" s="1549">
        <f ca="1">D118</f>
        <v>0</v>
      </c>
      <c r="F37" s="1549">
        <f t="shared" ref="F37:P37" ca="1" si="16">E118</f>
        <v>0</v>
      </c>
      <c r="G37" s="1549">
        <f t="shared" ca="1" si="16"/>
        <v>0</v>
      </c>
      <c r="H37" s="1549">
        <f t="shared" ca="1" si="16"/>
        <v>0</v>
      </c>
      <c r="I37" s="1549">
        <f t="shared" ca="1" si="16"/>
        <v>0</v>
      </c>
      <c r="J37" s="1549">
        <f t="shared" ca="1" si="16"/>
        <v>0</v>
      </c>
      <c r="K37" s="1549">
        <f t="shared" ca="1" si="16"/>
        <v>0</v>
      </c>
      <c r="L37" s="1549">
        <f t="shared" ca="1" si="16"/>
        <v>0</v>
      </c>
      <c r="M37" s="1549">
        <f t="shared" ca="1" si="16"/>
        <v>0</v>
      </c>
      <c r="N37" s="1549">
        <f t="shared" ca="1" si="16"/>
        <v>0</v>
      </c>
      <c r="O37" s="1549">
        <f t="shared" ca="1" si="16"/>
        <v>0</v>
      </c>
      <c r="P37" s="1549">
        <f t="shared" ca="1" si="16"/>
        <v>0</v>
      </c>
      <c r="Q37" s="57"/>
      <c r="R37" s="57"/>
      <c r="S37" s="118"/>
      <c r="T37" s="415"/>
      <c r="U37" s="415"/>
      <c r="V37" s="415"/>
      <c r="W37" s="458"/>
      <c r="X37" s="415"/>
      <c r="Y37" s="415"/>
      <c r="Z37" s="415"/>
      <c r="AA37" s="415"/>
      <c r="AB37" s="415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CV37" s="40" t="s">
        <v>197</v>
      </c>
      <c r="CW37" s="40" t="s">
        <v>349</v>
      </c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</row>
    <row r="38" spans="1:122" s="60" customFormat="1" ht="15" thickBot="1" x14ac:dyDescent="0.25">
      <c r="A38" s="57"/>
      <c r="B38" s="447"/>
      <c r="C38" s="447"/>
      <c r="D38" s="447"/>
      <c r="E38" s="448"/>
      <c r="F38" s="449"/>
      <c r="G38" s="449"/>
      <c r="H38" s="448"/>
      <c r="I38" s="449"/>
      <c r="J38" s="449"/>
      <c r="K38" s="448"/>
      <c r="L38" s="449"/>
      <c r="M38" s="449"/>
      <c r="N38" s="448"/>
      <c r="O38" s="462" t="str">
        <f ca="1">IF($C$2="English",CW38,CV38)</f>
        <v>Summe 2020</v>
      </c>
      <c r="P38" s="1549">
        <f ca="1">SUM(E37:P37)</f>
        <v>0</v>
      </c>
      <c r="Q38" s="57"/>
      <c r="R38" s="57"/>
      <c r="S38" s="118"/>
      <c r="T38" s="415"/>
      <c r="U38" s="415"/>
      <c r="V38" s="415"/>
      <c r="W38" s="415"/>
      <c r="X38" s="415"/>
      <c r="Y38" s="415"/>
      <c r="Z38" s="415"/>
      <c r="AA38" s="415"/>
      <c r="AB38" s="415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S38" s="416"/>
      <c r="CV38" s="463" t="str">
        <f ca="1">"Summe " &amp; '1 Pers.Ausgaben|Pers Expenses'!$C$4+1</f>
        <v>Summe 2020</v>
      </c>
      <c r="CW38" s="463" t="str">
        <f ca="1">"Sum " &amp; '1 Pers.Ausgaben|Pers Expenses'!$C$4+1</f>
        <v>Sum 2020</v>
      </c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</row>
    <row r="39" spans="1:122" x14ac:dyDescent="0.2">
      <c r="A39" s="186"/>
      <c r="B39" s="452"/>
      <c r="C39" s="452"/>
      <c r="D39" s="452"/>
      <c r="E39" s="434"/>
      <c r="F39" s="453"/>
      <c r="G39" s="453"/>
      <c r="H39" s="434"/>
      <c r="I39" s="453"/>
      <c r="J39" s="453"/>
      <c r="K39" s="434"/>
      <c r="L39" s="453"/>
      <c r="M39" s="453"/>
      <c r="N39" s="434"/>
      <c r="O39" s="224"/>
      <c r="P39" s="176"/>
      <c r="Q39" s="57"/>
      <c r="S39" s="188"/>
      <c r="CV39" s="454"/>
      <c r="CW39" s="454"/>
    </row>
    <row r="40" spans="1:122" s="60" customFormat="1" ht="24.75" x14ac:dyDescent="0.3">
      <c r="A40" s="176"/>
      <c r="B40" s="1033" t="str">
        <f ca="1">IF($C$2="English",CW40,CV40)</f>
        <v>3d  Jährliche Abschreibungen (ohne MwSt) für die Jahre 2019-2023 in EURO</v>
      </c>
      <c r="C40" s="57"/>
      <c r="D40" s="57"/>
      <c r="E40" s="415"/>
      <c r="F40" s="57"/>
      <c r="G40" s="415"/>
      <c r="H40" s="57"/>
      <c r="I40" s="415"/>
      <c r="J40" s="57"/>
      <c r="K40" s="415"/>
      <c r="L40" s="57"/>
      <c r="M40" s="1377" t="str">
        <f>IF($C$2="English","Investment","Investitionen")</f>
        <v>Investitionen</v>
      </c>
      <c r="N40" s="57"/>
      <c r="O40" s="57"/>
      <c r="P40" s="57"/>
      <c r="Q40" s="57"/>
      <c r="R40" s="57"/>
      <c r="S40" s="118"/>
      <c r="T40" s="415"/>
      <c r="U40" s="415"/>
      <c r="V40" s="415"/>
      <c r="W40" s="458"/>
      <c r="X40" s="415"/>
      <c r="Y40" s="415"/>
      <c r="Z40" s="415"/>
      <c r="AA40" s="415"/>
      <c r="AB40" s="415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CV40" s="404" t="str">
        <f ca="1">"3d  Jährliche Abschreibungen ("&amp;   IF($C$4&lt;&gt;1,"ohne MwSt)","mit MwSt")&amp;" für die Jahre "&amp;'1 Pers.Ausgaben|Pers Expenses'!$C$4&amp;"-"&amp;'1 Pers.Ausgaben|Pers Expenses'!$C$4+4&amp;" in EURO"</f>
        <v>3d  Jährliche Abschreibungen (ohne MwSt) für die Jahre 2019-2023 in EURO</v>
      </c>
      <c r="CW40" s="666" t="str">
        <f ca="1">"3d  Anual depreciacion ("&amp;IF($C$4&lt;&gt;1,"w/o VAT)","incl VAT)")&amp;" for the Years "&amp;'1 Pers.Ausgaben|Pers Expenses'!$C$4&amp;"-"&amp;'1 Pers.Ausgaben|Pers Expenses'!$C$4+4&amp;" in EURO"</f>
        <v>3d  Anual depreciacion (w/o VAT) for the Years 2019-2023 in EURO</v>
      </c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</row>
    <row r="41" spans="1:122" s="60" customFormat="1" ht="15" thickBot="1" x14ac:dyDescent="0.25">
      <c r="A41" s="176"/>
      <c r="B41" s="57"/>
      <c r="C41" s="57"/>
      <c r="D41" s="57"/>
      <c r="E41" s="415"/>
      <c r="F41" s="57"/>
      <c r="G41" s="415"/>
      <c r="H41" s="57"/>
      <c r="I41" s="415"/>
      <c r="J41" s="57"/>
      <c r="K41" s="415"/>
      <c r="L41" s="57"/>
      <c r="M41" s="415"/>
      <c r="N41" s="57"/>
      <c r="O41" s="57"/>
      <c r="P41" s="57"/>
      <c r="Q41" s="57"/>
      <c r="R41" s="57"/>
      <c r="S41" s="118"/>
      <c r="T41" s="415"/>
      <c r="U41" s="415"/>
      <c r="V41" s="415"/>
      <c r="W41" s="458"/>
      <c r="X41" s="415"/>
      <c r="Y41" s="415"/>
      <c r="Z41" s="415"/>
      <c r="AA41" s="415"/>
      <c r="AB41" s="415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CV41" s="40"/>
      <c r="CW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</row>
    <row r="42" spans="1:122" s="60" customFormat="1" ht="15" thickBot="1" x14ac:dyDescent="0.25">
      <c r="A42" s="57"/>
      <c r="B42" s="1648" t="str">
        <f>IF($C$2="English",CW42,CV42)</f>
        <v>Investitionen</v>
      </c>
      <c r="C42" s="1649"/>
      <c r="D42" s="1650"/>
      <c r="E42" s="465">
        <f ca="1">'1 Pers.Ausgaben|Pers Expenses'!C4</f>
        <v>2019</v>
      </c>
      <c r="F42" s="465">
        <f ca="1">E42+1</f>
        <v>2020</v>
      </c>
      <c r="G42" s="465">
        <f ca="1">F42+1</f>
        <v>2021</v>
      </c>
      <c r="H42" s="465">
        <f ca="1">G42+1</f>
        <v>2022</v>
      </c>
      <c r="I42" s="465">
        <f ca="1">H42+1</f>
        <v>2023</v>
      </c>
      <c r="J42" s="57"/>
      <c r="K42" s="415"/>
      <c r="L42" s="57"/>
      <c r="M42" s="415"/>
      <c r="N42" s="57"/>
      <c r="O42" s="57"/>
      <c r="P42" s="57"/>
      <c r="Q42" s="57"/>
      <c r="R42" s="57"/>
      <c r="S42" s="118"/>
      <c r="T42" s="415"/>
      <c r="U42" s="415"/>
      <c r="V42" s="415"/>
      <c r="W42" s="458"/>
      <c r="X42" s="415"/>
      <c r="Y42" s="415"/>
      <c r="Z42" s="415"/>
      <c r="AA42" s="415"/>
      <c r="AB42" s="415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CV42" s="40" t="s">
        <v>687</v>
      </c>
      <c r="CW42" s="40" t="s">
        <v>688</v>
      </c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</row>
    <row r="43" spans="1:122" s="60" customFormat="1" x14ac:dyDescent="0.2">
      <c r="A43" s="176"/>
      <c r="B43" s="414">
        <v>1</v>
      </c>
      <c r="C43" s="1633" t="str">
        <f t="shared" ref="C43:C49" si="17">C6</f>
        <v>Investitionsgut 1</v>
      </c>
      <c r="D43" s="1634"/>
      <c r="E43" s="1417">
        <f>P83</f>
        <v>0</v>
      </c>
      <c r="F43" s="1417">
        <f ca="1">P109</f>
        <v>0</v>
      </c>
      <c r="G43" s="1417">
        <f ca="1">P135</f>
        <v>0</v>
      </c>
      <c r="H43" s="1417">
        <f ca="1">P161</f>
        <v>0</v>
      </c>
      <c r="I43" s="1418">
        <f ca="1">P187</f>
        <v>0</v>
      </c>
      <c r="J43" s="57"/>
      <c r="K43" s="415"/>
      <c r="L43" s="57"/>
      <c r="M43" s="415"/>
      <c r="N43" s="57"/>
      <c r="O43" s="57"/>
      <c r="P43" s="57"/>
      <c r="Q43" s="57"/>
      <c r="R43" s="57"/>
      <c r="S43" s="118"/>
      <c r="T43" s="415"/>
      <c r="U43" s="415"/>
      <c r="V43" s="415"/>
      <c r="W43" s="458"/>
      <c r="X43" s="415"/>
      <c r="Y43" s="415"/>
      <c r="Z43" s="415"/>
      <c r="AA43" s="415"/>
      <c r="AB43" s="415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CU43" s="417"/>
      <c r="CV43" s="466"/>
      <c r="CW43" s="413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</row>
    <row r="44" spans="1:122" s="60" customFormat="1" x14ac:dyDescent="0.2">
      <c r="A44" s="176"/>
      <c r="B44" s="414">
        <v>2</v>
      </c>
      <c r="C44" s="1635" t="str">
        <f t="shared" si="17"/>
        <v>Investitionsgut 2</v>
      </c>
      <c r="D44" s="1636"/>
      <c r="E44" s="1419">
        <f t="shared" ref="E44:E48" si="18">P84</f>
        <v>0</v>
      </c>
      <c r="F44" s="1419">
        <f t="shared" ref="F44:F49" ca="1" si="19">P110</f>
        <v>0</v>
      </c>
      <c r="G44" s="1419">
        <f t="shared" ref="G44:G49" ca="1" si="20">P136</f>
        <v>0</v>
      </c>
      <c r="H44" s="1419">
        <f t="shared" ref="H44:H49" ca="1" si="21">P162</f>
        <v>0</v>
      </c>
      <c r="I44" s="1420">
        <f t="shared" ref="I44:I49" ca="1" si="22">P188</f>
        <v>0</v>
      </c>
      <c r="J44" s="57"/>
      <c r="K44" s="415"/>
      <c r="L44" s="57"/>
      <c r="M44" s="415"/>
      <c r="N44" s="57"/>
      <c r="O44" s="57"/>
      <c r="P44" s="57"/>
      <c r="Q44" s="57"/>
      <c r="R44" s="57"/>
      <c r="S44" s="118"/>
      <c r="T44" s="415"/>
      <c r="U44" s="415"/>
      <c r="V44" s="415"/>
      <c r="W44" s="458"/>
      <c r="X44" s="415"/>
      <c r="Y44" s="415"/>
      <c r="Z44" s="415"/>
      <c r="AA44" s="415"/>
      <c r="AB44" s="415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CU44" s="417"/>
      <c r="CV44" s="466"/>
      <c r="CW44" s="413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</row>
    <row r="45" spans="1:122" s="60" customFormat="1" x14ac:dyDescent="0.2">
      <c r="A45" s="176"/>
      <c r="B45" s="414">
        <v>3</v>
      </c>
      <c r="C45" s="1635" t="str">
        <f t="shared" si="17"/>
        <v>Investitionsgut 3</v>
      </c>
      <c r="D45" s="1636"/>
      <c r="E45" s="1419">
        <f t="shared" si="18"/>
        <v>0</v>
      </c>
      <c r="F45" s="1419">
        <f t="shared" ca="1" si="19"/>
        <v>0</v>
      </c>
      <c r="G45" s="1419">
        <f t="shared" ca="1" si="20"/>
        <v>0</v>
      </c>
      <c r="H45" s="1419">
        <f t="shared" ca="1" si="21"/>
        <v>0</v>
      </c>
      <c r="I45" s="1420">
        <f t="shared" ca="1" si="22"/>
        <v>0</v>
      </c>
      <c r="J45" s="57"/>
      <c r="K45" s="415"/>
      <c r="L45" s="57"/>
      <c r="M45" s="415"/>
      <c r="N45" s="57"/>
      <c r="O45" s="57"/>
      <c r="P45" s="57"/>
      <c r="Q45" s="57"/>
      <c r="R45" s="57"/>
      <c r="S45" s="118"/>
      <c r="T45" s="415"/>
      <c r="U45" s="415"/>
      <c r="V45" s="415"/>
      <c r="W45" s="458"/>
      <c r="X45" s="415"/>
      <c r="Y45" s="415"/>
      <c r="Z45" s="415"/>
      <c r="AA45" s="415"/>
      <c r="AB45" s="415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CU45" s="417"/>
      <c r="CV45" s="466"/>
      <c r="CW45" s="413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</row>
    <row r="46" spans="1:122" s="60" customFormat="1" x14ac:dyDescent="0.2">
      <c r="A46" s="176"/>
      <c r="B46" s="414">
        <v>4</v>
      </c>
      <c r="C46" s="1635" t="str">
        <f t="shared" si="17"/>
        <v>Investitionsgut 4</v>
      </c>
      <c r="D46" s="1636"/>
      <c r="E46" s="1419">
        <f t="shared" si="18"/>
        <v>0</v>
      </c>
      <c r="F46" s="1419">
        <f t="shared" ca="1" si="19"/>
        <v>0</v>
      </c>
      <c r="G46" s="1419">
        <f t="shared" ca="1" si="20"/>
        <v>0</v>
      </c>
      <c r="H46" s="1419">
        <f t="shared" ca="1" si="21"/>
        <v>0</v>
      </c>
      <c r="I46" s="1420">
        <f t="shared" ca="1" si="22"/>
        <v>0</v>
      </c>
      <c r="J46" s="57"/>
      <c r="K46" s="57"/>
      <c r="L46" s="57"/>
      <c r="M46" s="415"/>
      <c r="N46" s="57"/>
      <c r="O46" s="57"/>
      <c r="P46" s="57"/>
      <c r="Q46" s="57"/>
      <c r="R46" s="57"/>
      <c r="S46" s="118"/>
      <c r="T46" s="415"/>
      <c r="U46" s="415"/>
      <c r="V46" s="415"/>
      <c r="W46" s="458"/>
      <c r="X46" s="415"/>
      <c r="Y46" s="415"/>
      <c r="Z46" s="415"/>
      <c r="AA46" s="415"/>
      <c r="AB46" s="415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CU46" s="417"/>
      <c r="CV46" s="466"/>
      <c r="CW46" s="413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</row>
    <row r="47" spans="1:122" s="60" customFormat="1" x14ac:dyDescent="0.2">
      <c r="A47" s="176"/>
      <c r="B47" s="414">
        <v>5</v>
      </c>
      <c r="C47" s="1635" t="str">
        <f t="shared" si="17"/>
        <v>Investitionsgut 5</v>
      </c>
      <c r="D47" s="1636"/>
      <c r="E47" s="1419">
        <f t="shared" si="18"/>
        <v>0</v>
      </c>
      <c r="F47" s="1419">
        <f t="shared" ca="1" si="19"/>
        <v>0</v>
      </c>
      <c r="G47" s="1419">
        <f t="shared" ca="1" si="20"/>
        <v>0</v>
      </c>
      <c r="H47" s="1419">
        <f t="shared" ca="1" si="21"/>
        <v>0</v>
      </c>
      <c r="I47" s="1420">
        <f t="shared" ca="1" si="22"/>
        <v>0</v>
      </c>
      <c r="J47" s="57"/>
      <c r="K47" s="415"/>
      <c r="L47" s="57"/>
      <c r="M47" s="415"/>
      <c r="N47" s="57"/>
      <c r="O47" s="57"/>
      <c r="P47" s="57"/>
      <c r="Q47" s="57"/>
      <c r="R47" s="57"/>
      <c r="S47" s="118"/>
      <c r="T47" s="415"/>
      <c r="U47" s="415"/>
      <c r="V47" s="415"/>
      <c r="W47" s="458"/>
      <c r="X47" s="415"/>
      <c r="Y47" s="415"/>
      <c r="Z47" s="415"/>
      <c r="AA47" s="415"/>
      <c r="AB47" s="415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CU47" s="417"/>
      <c r="CV47" s="466"/>
      <c r="CW47" s="413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</row>
    <row r="48" spans="1:122" s="60" customFormat="1" x14ac:dyDescent="0.2">
      <c r="A48" s="176"/>
      <c r="B48" s="414">
        <v>6</v>
      </c>
      <c r="C48" s="1635" t="str">
        <f t="shared" si="17"/>
        <v>Investitionsgut 6</v>
      </c>
      <c r="D48" s="1636"/>
      <c r="E48" s="1419">
        <f t="shared" si="18"/>
        <v>0</v>
      </c>
      <c r="F48" s="1419">
        <f t="shared" ca="1" si="19"/>
        <v>0</v>
      </c>
      <c r="G48" s="1419">
        <f t="shared" ca="1" si="20"/>
        <v>0</v>
      </c>
      <c r="H48" s="1419">
        <f t="shared" ca="1" si="21"/>
        <v>0</v>
      </c>
      <c r="I48" s="1420">
        <f t="shared" ca="1" si="22"/>
        <v>0</v>
      </c>
      <c r="J48" s="57"/>
      <c r="K48" s="415"/>
      <c r="L48" s="57"/>
      <c r="M48" s="415"/>
      <c r="N48" s="57"/>
      <c r="O48" s="57"/>
      <c r="P48" s="57"/>
      <c r="Q48" s="57"/>
      <c r="R48" s="57"/>
      <c r="S48" s="118"/>
      <c r="T48" s="415"/>
      <c r="U48" s="415"/>
      <c r="V48" s="415"/>
      <c r="W48" s="458"/>
      <c r="X48" s="415"/>
      <c r="Y48" s="415"/>
      <c r="Z48" s="415"/>
      <c r="AA48" s="415"/>
      <c r="AB48" s="415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CU48" s="417"/>
      <c r="CV48" s="466"/>
      <c r="CW48" s="413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</row>
    <row r="49" spans="1:122" s="60" customFormat="1" x14ac:dyDescent="0.2">
      <c r="A49" s="176"/>
      <c r="B49" s="467">
        <v>7</v>
      </c>
      <c r="C49" s="1635" t="str">
        <f t="shared" si="17"/>
        <v>Investitionsgut 7</v>
      </c>
      <c r="D49" s="1636"/>
      <c r="E49" s="1419">
        <f>P89</f>
        <v>0</v>
      </c>
      <c r="F49" s="1419">
        <f t="shared" ca="1" si="19"/>
        <v>0</v>
      </c>
      <c r="G49" s="1419">
        <f t="shared" ca="1" si="20"/>
        <v>0</v>
      </c>
      <c r="H49" s="1419">
        <f t="shared" ca="1" si="21"/>
        <v>0</v>
      </c>
      <c r="I49" s="1420">
        <f t="shared" ca="1" si="22"/>
        <v>0</v>
      </c>
      <c r="J49" s="57"/>
      <c r="K49" s="415"/>
      <c r="L49" s="57"/>
      <c r="M49" s="415"/>
      <c r="N49" s="57"/>
      <c r="O49" s="57"/>
      <c r="P49" s="57"/>
      <c r="Q49" s="57"/>
      <c r="R49" s="57"/>
      <c r="S49" s="118"/>
      <c r="T49" s="415"/>
      <c r="U49" s="415"/>
      <c r="V49" s="415"/>
      <c r="W49" s="458"/>
      <c r="X49" s="415"/>
      <c r="Y49" s="415"/>
      <c r="Z49" s="415"/>
      <c r="AA49" s="415"/>
      <c r="AB49" s="415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CU49" s="417"/>
      <c r="CV49" s="466"/>
      <c r="CW49" s="413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</row>
    <row r="50" spans="1:122" s="60" customFormat="1" x14ac:dyDescent="0.2">
      <c r="A50" s="176"/>
      <c r="B50" s="1210">
        <v>8</v>
      </c>
      <c r="C50" s="1635" t="str">
        <f ca="1">C18</f>
        <v>Sammelposten 2019</v>
      </c>
      <c r="D50" s="1636"/>
      <c r="E50" s="1419">
        <f>P90</f>
        <v>0</v>
      </c>
      <c r="F50" s="1419">
        <f>E50</f>
        <v>0</v>
      </c>
      <c r="G50" s="1419">
        <f t="shared" ref="G50:I50" si="23">F50</f>
        <v>0</v>
      </c>
      <c r="H50" s="1419">
        <f t="shared" si="23"/>
        <v>0</v>
      </c>
      <c r="I50" s="1420">
        <f t="shared" si="23"/>
        <v>0</v>
      </c>
      <c r="J50" s="57"/>
      <c r="K50" s="415"/>
      <c r="L50" s="57"/>
      <c r="M50" s="415"/>
      <c r="N50" s="57"/>
      <c r="O50" s="57"/>
      <c r="P50" s="57"/>
      <c r="Q50" s="57"/>
      <c r="R50" s="57"/>
      <c r="S50" s="118"/>
      <c r="T50" s="415"/>
      <c r="U50" s="415"/>
      <c r="V50" s="415"/>
      <c r="W50" s="458"/>
      <c r="X50" s="415"/>
      <c r="Y50" s="415"/>
      <c r="Z50" s="415"/>
      <c r="AA50" s="415"/>
      <c r="AB50" s="415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CU50" s="137"/>
      <c r="CV50" s="466"/>
      <c r="CW50" s="413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</row>
    <row r="51" spans="1:122" s="60" customFormat="1" x14ac:dyDescent="0.2">
      <c r="A51" s="176"/>
      <c r="B51" s="1210">
        <v>8</v>
      </c>
      <c r="C51" s="1635" t="str">
        <f ca="1">F18</f>
        <v>Sammelposten 2020</v>
      </c>
      <c r="D51" s="1636"/>
      <c r="E51" s="1421"/>
      <c r="F51" s="1419" t="str">
        <f>IF($O398=1,K398,"")</f>
        <v/>
      </c>
      <c r="G51" s="1419" t="str">
        <f>F51</f>
        <v/>
      </c>
      <c r="H51" s="1419" t="str">
        <f t="shared" ref="H51:I51" si="24">G51</f>
        <v/>
      </c>
      <c r="I51" s="1420" t="str">
        <f t="shared" si="24"/>
        <v/>
      </c>
      <c r="J51" s="57"/>
      <c r="K51" s="415"/>
      <c r="L51" s="57"/>
      <c r="M51" s="415"/>
      <c r="N51" s="57"/>
      <c r="O51" s="57"/>
      <c r="P51" s="57"/>
      <c r="Q51" s="57"/>
      <c r="R51" s="57"/>
      <c r="S51" s="118"/>
      <c r="T51" s="415"/>
      <c r="U51" s="415"/>
      <c r="V51" s="415"/>
      <c r="W51" s="458"/>
      <c r="X51" s="415"/>
      <c r="Y51" s="415"/>
      <c r="Z51" s="415"/>
      <c r="AA51" s="415"/>
      <c r="AB51" s="415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CU51" s="137"/>
      <c r="CV51" s="466"/>
      <c r="CW51" s="466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</row>
    <row r="52" spans="1:122" s="60" customFormat="1" x14ac:dyDescent="0.2">
      <c r="A52" s="176"/>
      <c r="B52" s="1210">
        <v>8</v>
      </c>
      <c r="C52" s="1635" t="str">
        <f ca="1">I18</f>
        <v>Sammelposten 2021</v>
      </c>
      <c r="D52" s="1636"/>
      <c r="E52" s="1421"/>
      <c r="F52" s="1421"/>
      <c r="G52" s="1419">
        <f ca="1">P142</f>
        <v>0</v>
      </c>
      <c r="H52" s="1419">
        <f ca="1">G52</f>
        <v>0</v>
      </c>
      <c r="I52" s="1420">
        <f ca="1">H52</f>
        <v>0</v>
      </c>
      <c r="J52" s="57"/>
      <c r="K52" s="415"/>
      <c r="L52" s="57"/>
      <c r="M52" s="415"/>
      <c r="N52" s="57"/>
      <c r="O52" s="57"/>
      <c r="P52" s="57"/>
      <c r="Q52" s="57"/>
      <c r="R52" s="57"/>
      <c r="S52" s="118"/>
      <c r="T52" s="415"/>
      <c r="U52" s="415"/>
      <c r="V52" s="415"/>
      <c r="W52" s="458"/>
      <c r="X52" s="415"/>
      <c r="Y52" s="415"/>
      <c r="Z52" s="415"/>
      <c r="AA52" s="415"/>
      <c r="AB52" s="415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CU52" s="137"/>
      <c r="CV52" s="466"/>
      <c r="CW52" s="466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</row>
    <row r="53" spans="1:122" s="60" customFormat="1" x14ac:dyDescent="0.2">
      <c r="A53" s="176"/>
      <c r="B53" s="1211">
        <v>8</v>
      </c>
      <c r="C53" s="1635" t="str">
        <f ca="1">L18</f>
        <v>Sammelposten 2022</v>
      </c>
      <c r="D53" s="1636"/>
      <c r="E53" s="1421"/>
      <c r="F53" s="1421"/>
      <c r="G53" s="1421"/>
      <c r="H53" s="1419">
        <f ca="1">P168</f>
        <v>0</v>
      </c>
      <c r="I53" s="1420">
        <f ca="1">H53</f>
        <v>0</v>
      </c>
      <c r="J53" s="57"/>
      <c r="K53" s="415"/>
      <c r="L53" s="57"/>
      <c r="M53" s="415"/>
      <c r="N53" s="57"/>
      <c r="O53" s="57"/>
      <c r="P53" s="57"/>
      <c r="Q53" s="57"/>
      <c r="R53" s="57"/>
      <c r="S53" s="118"/>
      <c r="T53" s="415"/>
      <c r="U53" s="415"/>
      <c r="V53" s="415"/>
      <c r="W53" s="458"/>
      <c r="X53" s="415"/>
      <c r="Y53" s="415"/>
      <c r="Z53" s="415"/>
      <c r="AA53" s="415"/>
      <c r="AB53" s="415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CU53" s="417"/>
      <c r="CV53" s="466"/>
      <c r="CW53" s="466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</row>
    <row r="54" spans="1:122" s="60" customFormat="1" ht="15" thickBot="1" x14ac:dyDescent="0.25">
      <c r="A54" s="176"/>
      <c r="B54" s="467">
        <v>9</v>
      </c>
      <c r="C54" s="1427" t="str">
        <f>IF($C$2="English",CW54,CV54)</f>
        <v>Sonderabschreibungen</v>
      </c>
      <c r="D54" s="1428"/>
      <c r="E54" s="1422"/>
      <c r="F54" s="1423"/>
      <c r="G54" s="1424"/>
      <c r="H54" s="1425"/>
      <c r="I54" s="1426"/>
      <c r="J54" s="57"/>
      <c r="K54" s="415"/>
      <c r="L54" s="57"/>
      <c r="M54" s="415"/>
      <c r="N54" s="57"/>
      <c r="O54" s="57"/>
      <c r="P54" s="57"/>
      <c r="Q54" s="57"/>
      <c r="R54" s="57"/>
      <c r="S54" s="118"/>
      <c r="T54" s="415"/>
      <c r="U54" s="415"/>
      <c r="V54" s="415"/>
      <c r="W54" s="458"/>
      <c r="X54" s="415"/>
      <c r="Y54" s="415"/>
      <c r="Z54" s="415"/>
      <c r="AA54" s="415"/>
      <c r="AB54" s="415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CU54" s="417"/>
      <c r="CV54" s="463" t="s">
        <v>598</v>
      </c>
      <c r="CW54" s="40" t="s">
        <v>686</v>
      </c>
      <c r="CX54" s="1316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</row>
    <row r="55" spans="1:122" s="60" customFormat="1" ht="15.75" thickTop="1" thickBot="1" x14ac:dyDescent="0.25">
      <c r="A55" s="176"/>
      <c r="B55" s="1651" t="str">
        <f>IF($C$2="English",CW55,CV55)</f>
        <v>Abschreibungen</v>
      </c>
      <c r="C55" s="1652"/>
      <c r="D55" s="1653"/>
      <c r="E55" s="468">
        <f>SUM(E43:E54)</f>
        <v>0</v>
      </c>
      <c r="F55" s="469">
        <f ca="1">SUM(F43:F54)</f>
        <v>0</v>
      </c>
      <c r="G55" s="469">
        <f ca="1">SUM(G43:G54)</f>
        <v>0</v>
      </c>
      <c r="H55" s="469">
        <f ca="1">SUM(H43:H54)</f>
        <v>0</v>
      </c>
      <c r="I55" s="470">
        <f ca="1">SUM(I43:I54)</f>
        <v>0</v>
      </c>
      <c r="J55" s="57"/>
      <c r="K55" s="415"/>
      <c r="L55" s="57"/>
      <c r="M55" s="415"/>
      <c r="N55" s="57"/>
      <c r="O55" s="57"/>
      <c r="P55" s="57"/>
      <c r="Q55" s="57"/>
      <c r="R55" s="57"/>
      <c r="S55" s="118"/>
      <c r="T55" s="415"/>
      <c r="U55" s="415"/>
      <c r="V55" s="415"/>
      <c r="W55" s="458"/>
      <c r="X55" s="415"/>
      <c r="Y55" s="415"/>
      <c r="Z55" s="415"/>
      <c r="AA55" s="415"/>
      <c r="AB55" s="415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CV55" s="40" t="s">
        <v>155</v>
      </c>
      <c r="CW55" s="40" t="s">
        <v>501</v>
      </c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</row>
    <row r="56" spans="1:122" s="176" customFormat="1" x14ac:dyDescent="0.2">
      <c r="B56" s="201"/>
      <c r="C56" s="201"/>
      <c r="E56" s="388"/>
      <c r="G56" s="388"/>
      <c r="I56" s="388"/>
      <c r="K56" s="403"/>
      <c r="L56" s="201"/>
      <c r="M56" s="403"/>
      <c r="N56" s="201"/>
      <c r="S56" s="188"/>
      <c r="T56" s="388"/>
      <c r="U56" s="388"/>
      <c r="V56" s="388"/>
      <c r="W56" s="388"/>
      <c r="X56" s="388"/>
      <c r="Y56" s="388"/>
      <c r="Z56" s="388"/>
      <c r="AA56" s="388"/>
      <c r="AB56" s="388"/>
      <c r="AS56" s="295"/>
      <c r="CQ56" s="179"/>
      <c r="CR56" s="179"/>
      <c r="CS56" s="179"/>
      <c r="CT56" s="179"/>
      <c r="CU56" s="189"/>
      <c r="CX56" s="1461"/>
      <c r="CY56" s="179"/>
      <c r="CZ56" s="179"/>
      <c r="DA56" s="179"/>
      <c r="DB56" s="179"/>
      <c r="DC56" s="179"/>
      <c r="DD56" s="179"/>
      <c r="DE56" s="179"/>
      <c r="DF56" s="179"/>
      <c r="DG56" s="179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</row>
    <row r="57" spans="1:122" s="201" customFormat="1" x14ac:dyDescent="0.2">
      <c r="A57" s="176"/>
      <c r="B57" s="1466" t="s">
        <v>744</v>
      </c>
      <c r="K57" s="403"/>
      <c r="L57" s="403"/>
      <c r="M57" s="403"/>
      <c r="S57" s="220"/>
      <c r="T57" s="403"/>
      <c r="U57" s="403"/>
      <c r="V57" s="403"/>
      <c r="W57" s="403"/>
      <c r="X57" s="403"/>
      <c r="Y57" s="438"/>
      <c r="Z57" s="438"/>
      <c r="AA57" s="438"/>
      <c r="AB57" s="438"/>
      <c r="CQ57" s="219"/>
      <c r="CR57" s="219"/>
      <c r="CS57" s="219"/>
      <c r="CT57" s="219"/>
      <c r="CU57" s="471"/>
      <c r="CW57" s="1461" t="s">
        <v>149</v>
      </c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</row>
    <row r="58" spans="1:122" s="176" customFormat="1" x14ac:dyDescent="0.2">
      <c r="B58" s="1264" t="str">
        <f>IF($C$2="English",CW58,CV58)</f>
        <v>1) Anschaffungen mit einem Wert größer 400 EUR müssen entsprechend ihrer Nutzungsdauer abgeschriebenwerden. Diese Anschaffungen sind in Tabelle 3a "Geplante Anschaffungen" aufzuführen.</v>
      </c>
      <c r="C58" s="201"/>
      <c r="E58" s="388"/>
      <c r="G58" s="388"/>
      <c r="I58" s="388"/>
      <c r="K58" s="403"/>
      <c r="L58" s="201"/>
      <c r="M58" s="403"/>
      <c r="N58" s="201"/>
      <c r="S58" s="472" t="s">
        <v>247</v>
      </c>
      <c r="T58" s="388"/>
      <c r="U58" s="388"/>
      <c r="V58" s="388"/>
      <c r="W58" s="388"/>
      <c r="X58" s="388"/>
      <c r="Y58" s="388"/>
      <c r="Z58" s="388"/>
      <c r="AA58" s="388"/>
      <c r="AB58" s="388"/>
      <c r="AS58" s="295"/>
      <c r="CQ58" s="179"/>
      <c r="CR58" s="179"/>
      <c r="CS58" s="179"/>
      <c r="CT58" s="179"/>
      <c r="CU58" s="189"/>
      <c r="CV58" s="666" t="s">
        <v>736</v>
      </c>
      <c r="CW58" s="666" t="s">
        <v>737</v>
      </c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</row>
    <row r="59" spans="1:122" s="201" customFormat="1" x14ac:dyDescent="0.2">
      <c r="B59" s="1264" t="str">
        <f t="shared" ref="B59:B64" si="25">IF($C$2="English",CW59,CV59)</f>
        <v xml:space="preserve">    Dabei sind sind Anschaffungsbetrag,  Anschaffungsmonat und die Nutzungsdauer anzugeben. In jede Zeile darf nur e i n e  Investition eingetragen werden.</v>
      </c>
      <c r="C59" s="155"/>
      <c r="E59" s="403"/>
      <c r="G59" s="403"/>
      <c r="I59" s="403"/>
      <c r="K59" s="403"/>
      <c r="M59" s="403"/>
      <c r="S59" s="473"/>
      <c r="T59" s="403"/>
      <c r="U59" s="403"/>
      <c r="V59" s="403"/>
      <c r="W59" s="403"/>
      <c r="X59" s="403"/>
      <c r="Y59" s="403"/>
      <c r="Z59" s="403"/>
      <c r="AA59" s="403"/>
      <c r="AB59" s="403"/>
      <c r="AS59" s="474"/>
      <c r="BL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Q59" s="219"/>
      <c r="CR59" s="219"/>
      <c r="CS59" s="219"/>
      <c r="CT59" s="219"/>
      <c r="CU59" s="61"/>
      <c r="CV59" s="666" t="s">
        <v>730</v>
      </c>
      <c r="CW59" s="666" t="s">
        <v>745</v>
      </c>
      <c r="CX59" s="219"/>
      <c r="CY59" s="60"/>
      <c r="CZ59" s="60"/>
      <c r="DA59" s="60"/>
      <c r="DB59" s="219"/>
      <c r="DC59" s="219"/>
      <c r="DD59" s="219"/>
      <c r="DE59" s="219"/>
      <c r="DF59" s="219"/>
      <c r="DG59" s="21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</row>
    <row r="61" spans="1:122" s="201" customFormat="1" ht="15.75" x14ac:dyDescent="0.25">
      <c r="B61" s="1264" t="str">
        <f t="shared" si="25"/>
        <v>Seit 1.1.2010 gibt es für die Abschreibung von geringwertigen Wirtschaftsgütern ein Wahlrecht ( zwei Alternativen)</v>
      </c>
      <c r="C61" s="57"/>
      <c r="E61" s="403"/>
      <c r="G61" s="403"/>
      <c r="I61" s="403"/>
      <c r="K61" s="403"/>
      <c r="M61" s="403"/>
      <c r="S61" s="473"/>
      <c r="T61" s="403"/>
      <c r="U61" s="403"/>
      <c r="V61" s="403"/>
      <c r="W61" s="403"/>
      <c r="X61" s="403"/>
      <c r="Y61" s="438"/>
      <c r="Z61" s="438"/>
      <c r="AA61" s="438"/>
      <c r="AB61" s="438"/>
      <c r="AS61" s="474"/>
      <c r="BL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Q61" s="219"/>
      <c r="CR61" s="219"/>
      <c r="CS61" s="219"/>
      <c r="CT61" s="219"/>
      <c r="CU61" s="40"/>
      <c r="CV61" s="849" t="s">
        <v>738</v>
      </c>
      <c r="CW61" s="180" t="s">
        <v>739</v>
      </c>
      <c r="CX61" s="1463"/>
      <c r="CY61" s="1463"/>
      <c r="CZ61" s="1463"/>
      <c r="DA61" s="1463"/>
      <c r="DB61" s="1463"/>
      <c r="DC61" s="1463"/>
      <c r="DD61" s="1463"/>
      <c r="DE61" s="1463"/>
      <c r="DF61" s="1463"/>
      <c r="DG61" s="21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</row>
    <row r="62" spans="1:122" s="201" customFormat="1" ht="15.75" x14ac:dyDescent="0.25">
      <c r="B62" s="1264" t="str">
        <f t="shared" si="25"/>
        <v>a) Geringwertige Wirtschaftsgüter (GwG) mit einem Anschaffungswert kleiner als 410 EURO können sofort abgeschrieben werden; sie sind in Tab. 4 "Betriebskosten" aufzuführen.</v>
      </c>
      <c r="C62" s="57"/>
      <c r="E62" s="403"/>
      <c r="G62" s="403"/>
      <c r="I62" s="403"/>
      <c r="K62" s="403"/>
      <c r="M62" s="403"/>
      <c r="S62" s="473"/>
      <c r="T62" s="403"/>
      <c r="U62" s="403"/>
      <c r="V62" s="476"/>
      <c r="W62" s="403"/>
      <c r="X62" s="403"/>
      <c r="Y62" s="438"/>
      <c r="Z62" s="438"/>
      <c r="AA62" s="438"/>
      <c r="AB62" s="438"/>
      <c r="CQ62" s="219"/>
      <c r="CR62" s="219"/>
      <c r="CS62" s="219"/>
      <c r="CT62" s="219"/>
      <c r="CU62" s="40"/>
      <c r="CV62" s="666" t="s">
        <v>732</v>
      </c>
      <c r="CW62" s="666" t="s">
        <v>733</v>
      </c>
      <c r="CX62" s="1463"/>
      <c r="CY62" s="1463"/>
      <c r="CZ62" s="1463"/>
      <c r="DA62" s="1463"/>
      <c r="DB62" s="1463"/>
      <c r="DC62" s="1463"/>
      <c r="DD62" s="1463"/>
      <c r="DE62" s="1463"/>
      <c r="DF62" s="1463"/>
      <c r="DG62" s="21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</row>
    <row r="63" spans="1:122" s="201" customFormat="1" ht="15.75" x14ac:dyDescent="0.25">
      <c r="B63" s="1264" t="str">
        <f t="shared" si="25"/>
        <v>b) Mehrere Anschaffungen mit einem Wert größer als 150 EUR und kleiner als 1.000 EUR können in der sog. Poolabschreibung als Sammelposten zusammengefaßt werden.</v>
      </c>
      <c r="C63" s="57"/>
      <c r="E63" s="403"/>
      <c r="G63" s="403"/>
      <c r="I63" s="403"/>
      <c r="K63" s="403"/>
      <c r="M63" s="403"/>
      <c r="S63" s="473"/>
      <c r="T63" s="403"/>
      <c r="U63" s="403"/>
      <c r="V63" s="476"/>
      <c r="W63" s="403"/>
      <c r="X63" s="403"/>
      <c r="Y63" s="438"/>
      <c r="Z63" s="438"/>
      <c r="AA63" s="438"/>
      <c r="AB63" s="438"/>
      <c r="CQ63" s="219"/>
      <c r="CR63" s="219"/>
      <c r="CS63" s="219"/>
      <c r="CT63" s="219"/>
      <c r="CU63" s="40"/>
      <c r="CV63" s="666" t="s">
        <v>729</v>
      </c>
      <c r="CW63" s="666" t="s">
        <v>740</v>
      </c>
      <c r="CX63" s="1463"/>
      <c r="CY63" s="1463"/>
      <c r="CZ63" s="1463"/>
      <c r="DA63" s="1463"/>
      <c r="DB63" s="1463"/>
      <c r="DC63" s="1463"/>
      <c r="DD63" s="1463"/>
      <c r="DE63" s="1463"/>
      <c r="DF63" s="1463"/>
      <c r="DG63" s="21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</row>
    <row r="64" spans="1:122" s="201" customFormat="1" ht="15.75" x14ac:dyDescent="0.25">
      <c r="B64" s="1264" t="str">
        <f t="shared" si="25"/>
        <v xml:space="preserve">    Diese Sammelposten werden in Tabelle 3b eingetragen und werden generell  über 5 Jahre abgeschrieben.</v>
      </c>
      <c r="C64" s="57"/>
      <c r="E64" s="403"/>
      <c r="G64" s="403"/>
      <c r="I64" s="403"/>
      <c r="K64" s="403"/>
      <c r="M64" s="403"/>
      <c r="S64" s="473"/>
      <c r="T64" s="403"/>
      <c r="U64" s="403"/>
      <c r="V64" s="476"/>
      <c r="W64" s="403"/>
      <c r="X64" s="403"/>
      <c r="Y64" s="438"/>
      <c r="Z64" s="438"/>
      <c r="AA64" s="438"/>
      <c r="AB64" s="438"/>
      <c r="CQ64" s="219"/>
      <c r="CR64" s="219"/>
      <c r="CS64" s="219"/>
      <c r="CT64" s="219"/>
      <c r="CU64" s="40"/>
      <c r="CV64" s="666" t="s">
        <v>731</v>
      </c>
      <c r="CW64" s="666" t="s">
        <v>734</v>
      </c>
      <c r="CX64" s="1463"/>
      <c r="CY64" s="1463"/>
      <c r="CZ64" s="1463"/>
      <c r="DA64" s="1463"/>
      <c r="DB64" s="1463"/>
      <c r="DC64" s="1463"/>
      <c r="DD64" s="1463"/>
      <c r="DE64" s="1463"/>
      <c r="DF64" s="1463"/>
      <c r="DG64" s="21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</row>
    <row r="65" spans="2:122" s="201" customFormat="1" x14ac:dyDescent="0.2">
      <c r="B65" s="1637" t="s">
        <v>743</v>
      </c>
      <c r="C65" s="1637"/>
      <c r="D65" s="1637"/>
      <c r="E65" s="1637"/>
      <c r="F65" s="1637"/>
      <c r="G65" s="1637"/>
      <c r="H65" s="1637"/>
      <c r="I65" s="1637"/>
      <c r="J65" s="1637"/>
      <c r="K65" s="403"/>
      <c r="M65" s="403"/>
      <c r="S65" s="473"/>
      <c r="T65" s="403"/>
      <c r="U65" s="403"/>
      <c r="V65" s="403"/>
      <c r="W65" s="403"/>
      <c r="X65" s="403"/>
      <c r="Y65" s="403"/>
      <c r="Z65" s="403"/>
      <c r="AA65" s="403"/>
      <c r="AB65" s="403"/>
      <c r="AS65" s="474"/>
      <c r="BL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Q65" s="219"/>
      <c r="CR65" s="219"/>
      <c r="CS65" s="219"/>
      <c r="CT65" s="219"/>
      <c r="CU65" s="61"/>
      <c r="CV65" s="666"/>
      <c r="CW65" s="666"/>
      <c r="CX65" s="219"/>
      <c r="CY65" s="60"/>
      <c r="CZ65" s="60"/>
      <c r="DA65" s="60"/>
      <c r="DB65" s="219"/>
      <c r="DC65" s="219"/>
      <c r="DD65" s="219"/>
      <c r="DE65" s="219"/>
      <c r="DF65" s="219"/>
      <c r="DG65" s="21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</row>
    <row r="66" spans="2:122" ht="21" x14ac:dyDescent="0.35">
      <c r="B66" s="1264"/>
      <c r="S66" s="206"/>
      <c r="CV66" s="179"/>
      <c r="CW66" s="179"/>
      <c r="CX66" s="1462"/>
      <c r="CY66" s="1462"/>
      <c r="CZ66" s="1462"/>
      <c r="DA66" s="1462"/>
      <c r="DB66" s="1462"/>
      <c r="DC66" s="1462"/>
      <c r="DD66" s="1462"/>
      <c r="DE66" s="1462"/>
      <c r="DF66" s="1462"/>
      <c r="DG66" s="1462"/>
      <c r="DH66" s="1462"/>
    </row>
    <row r="67" spans="2:122" ht="21" x14ac:dyDescent="0.35">
      <c r="B67" s="1264"/>
      <c r="S67" s="206"/>
      <c r="CX67" s="1462"/>
      <c r="CY67" s="1462"/>
      <c r="CZ67" s="1462"/>
      <c r="DA67" s="1462"/>
      <c r="DB67" s="1462"/>
      <c r="DC67" s="1462"/>
      <c r="DD67" s="1462"/>
      <c r="DE67" s="1462"/>
      <c r="DF67" s="1462"/>
      <c r="DG67" s="1462"/>
      <c r="DH67" s="1462"/>
    </row>
    <row r="68" spans="2:122" s="176" customFormat="1" x14ac:dyDescent="0.2">
      <c r="G68" s="388"/>
      <c r="I68" s="388"/>
      <c r="K68" s="403"/>
      <c r="L68" s="201"/>
      <c r="M68" s="403"/>
      <c r="N68" s="201"/>
      <c r="S68" s="206"/>
      <c r="T68" s="388"/>
      <c r="U68" s="388"/>
      <c r="V68" s="388"/>
      <c r="W68" s="388"/>
      <c r="X68" s="388"/>
      <c r="Y68" s="388"/>
      <c r="Z68" s="388"/>
      <c r="AA68" s="388"/>
      <c r="AB68" s="388"/>
      <c r="AS68" s="295"/>
      <c r="CQ68" s="179"/>
      <c r="CR68" s="179"/>
      <c r="CS68" s="179"/>
      <c r="CT68" s="179"/>
      <c r="CU68" s="180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</row>
    <row r="69" spans="2:122" s="176" customFormat="1" ht="15" thickBot="1" x14ac:dyDescent="0.25">
      <c r="G69" s="388"/>
      <c r="I69" s="388"/>
      <c r="K69" s="403"/>
      <c r="L69" s="201"/>
      <c r="M69" s="403"/>
      <c r="N69" s="201"/>
      <c r="S69" s="206"/>
      <c r="T69" s="388"/>
      <c r="U69" s="388"/>
      <c r="V69" s="388"/>
      <c r="W69" s="388"/>
      <c r="X69" s="388"/>
      <c r="Y69" s="388"/>
      <c r="Z69" s="388"/>
      <c r="AA69" s="388"/>
      <c r="AB69" s="388"/>
      <c r="AS69" s="295"/>
      <c r="CQ69" s="179"/>
      <c r="CR69" s="179"/>
      <c r="CS69" s="179"/>
      <c r="CT69" s="179"/>
      <c r="CU69" s="180"/>
      <c r="CV69" s="180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</row>
    <row r="70" spans="2:122" s="176" customFormat="1" ht="27.6" customHeight="1" thickBot="1" x14ac:dyDescent="0.25">
      <c r="B70" s="1613" t="str">
        <f>C5</f>
        <v>Anschaffungen</v>
      </c>
      <c r="C70" s="1614"/>
      <c r="D70" s="1515" t="str">
        <f>IF($C$2="English","Value      ","Betrag    ")</f>
        <v xml:space="preserve">Betrag    </v>
      </c>
      <c r="E70" s="1516" t="s">
        <v>579</v>
      </c>
      <c r="F70" s="1517" t="str">
        <f ca="1">F5&amp;"   "&amp;B82</f>
        <v>Investmonat   2019</v>
      </c>
      <c r="G70" s="1517" t="str">
        <f t="shared" ref="G70:G77" si="26">P5</f>
        <v>Jahre der
Abschreibung</v>
      </c>
      <c r="H70" s="1517" t="s">
        <v>781</v>
      </c>
      <c r="I70" s="1517" t="s">
        <v>783</v>
      </c>
      <c r="J70" s="1517" t="s">
        <v>787</v>
      </c>
      <c r="K70" s="403"/>
      <c r="L70" s="201"/>
      <c r="M70" s="403"/>
      <c r="N70" s="201"/>
      <c r="S70" s="206"/>
      <c r="T70" s="388"/>
      <c r="U70" s="388"/>
      <c r="V70" s="388"/>
      <c r="W70" s="388"/>
      <c r="X70" s="388"/>
      <c r="Y70" s="388"/>
      <c r="Z70" s="388"/>
      <c r="AA70" s="388"/>
      <c r="AB70" s="388"/>
      <c r="AS70" s="295"/>
      <c r="CQ70" s="179"/>
      <c r="CR70" s="179"/>
      <c r="CS70" s="179"/>
      <c r="CT70" s="179"/>
      <c r="CU70" s="180"/>
      <c r="CV70" s="18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</row>
    <row r="71" spans="2:122" s="176" customFormat="1" x14ac:dyDescent="0.2">
      <c r="B71" s="1623" t="str">
        <f>C6</f>
        <v>Investitionsgut 1</v>
      </c>
      <c r="C71" s="1624"/>
      <c r="D71" s="1536">
        <f t="shared" ref="D71:D77" si="27">E6</f>
        <v>0</v>
      </c>
      <c r="E71" s="1537">
        <f>F71</f>
        <v>0</v>
      </c>
      <c r="F71" s="1537">
        <f t="shared" ref="F71:F77" si="28">F6</f>
        <v>0</v>
      </c>
      <c r="G71" s="1537">
        <f t="shared" si="26"/>
        <v>0</v>
      </c>
      <c r="H71" s="1537">
        <f>IF(G71="x",0,IF(OR(G71=0,G71=""),0,D71/(G71*12)))</f>
        <v>0</v>
      </c>
      <c r="I71" s="1537">
        <f>IF(G71="x",0,IF(D71&gt;0,E71+G71*12-1,0))</f>
        <v>0</v>
      </c>
      <c r="J71" s="1518">
        <f>IF(G71="x",IF(D71&gt;0,D71,0),0)</f>
        <v>0</v>
      </c>
      <c r="K71" s="403"/>
      <c r="L71" s="201"/>
      <c r="M71" s="403"/>
      <c r="N71" s="201"/>
      <c r="S71" s="206"/>
      <c r="T71" s="388"/>
      <c r="U71" s="388"/>
      <c r="V71" s="388"/>
      <c r="W71" s="388"/>
      <c r="X71" s="388"/>
      <c r="Y71" s="388"/>
      <c r="Z71" s="388"/>
      <c r="AA71" s="388"/>
      <c r="AB71" s="388"/>
      <c r="AS71" s="295"/>
      <c r="CQ71" s="179"/>
      <c r="CR71" s="179"/>
      <c r="CS71" s="179"/>
      <c r="CT71" s="179"/>
      <c r="CU71" s="180"/>
      <c r="CV71" s="189"/>
      <c r="CW71" s="180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</row>
    <row r="72" spans="2:122" s="176" customFormat="1" x14ac:dyDescent="0.2">
      <c r="B72" s="1617" t="str">
        <f>C7</f>
        <v>Investitionsgut 2</v>
      </c>
      <c r="C72" s="1618"/>
      <c r="D72" s="1538">
        <f t="shared" si="27"/>
        <v>0</v>
      </c>
      <c r="E72" s="1539">
        <f t="shared" ref="E72:E77" si="29">F72</f>
        <v>0</v>
      </c>
      <c r="F72" s="1539">
        <f t="shared" si="28"/>
        <v>0</v>
      </c>
      <c r="G72" s="1539">
        <f t="shared" si="26"/>
        <v>0</v>
      </c>
      <c r="H72" s="1539">
        <f t="shared" ref="H72:H77" si="30">IF(G72="x",0,IF(OR(G72=0,G72=""),0,D72/(G72*12)))</f>
        <v>0</v>
      </c>
      <c r="I72" s="1539">
        <f t="shared" ref="I72:I77" si="31">IF(G72="x",0,IF(D72&gt;0,E72+G72*12-1,0))</f>
        <v>0</v>
      </c>
      <c r="J72" s="1519">
        <f t="shared" ref="J72:J77" si="32">IF(G72="x",IF(D72&gt;0,D72,0),0)</f>
        <v>0</v>
      </c>
      <c r="K72" s="403"/>
      <c r="L72" s="201"/>
      <c r="M72" s="403"/>
      <c r="N72" s="201"/>
      <c r="S72" s="477"/>
      <c r="T72" s="388"/>
      <c r="U72" s="388"/>
      <c r="V72" s="388"/>
      <c r="W72" s="388"/>
      <c r="X72" s="388"/>
      <c r="Y72" s="388"/>
      <c r="Z72" s="388"/>
      <c r="AA72" s="388"/>
      <c r="AB72" s="388"/>
      <c r="AS72" s="295"/>
      <c r="CQ72" s="179"/>
      <c r="CR72" s="179"/>
      <c r="CS72" s="179"/>
      <c r="CT72" s="179"/>
      <c r="CU72" s="180"/>
      <c r="CV72" s="189"/>
      <c r="CW72" s="180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</row>
    <row r="73" spans="2:122" s="176" customFormat="1" x14ac:dyDescent="0.2">
      <c r="B73" s="1617" t="str">
        <f t="shared" ref="B73:B77" si="33">C8</f>
        <v>Investitionsgut 3</v>
      </c>
      <c r="C73" s="1618"/>
      <c r="D73" s="1538">
        <f t="shared" si="27"/>
        <v>0</v>
      </c>
      <c r="E73" s="1539">
        <f t="shared" si="29"/>
        <v>0</v>
      </c>
      <c r="F73" s="1539">
        <f t="shared" si="28"/>
        <v>0</v>
      </c>
      <c r="G73" s="1539">
        <f t="shared" si="26"/>
        <v>0</v>
      </c>
      <c r="H73" s="1539">
        <f t="shared" si="30"/>
        <v>0</v>
      </c>
      <c r="I73" s="1539">
        <f t="shared" si="31"/>
        <v>0</v>
      </c>
      <c r="J73" s="1519">
        <f t="shared" si="32"/>
        <v>0</v>
      </c>
      <c r="K73" s="403"/>
      <c r="L73" s="201"/>
      <c r="M73" s="403"/>
      <c r="N73" s="201"/>
      <c r="S73" s="206"/>
      <c r="CQ73" s="179"/>
      <c r="CR73" s="179"/>
      <c r="CS73" s="179"/>
      <c r="CT73" s="179"/>
      <c r="CU73" s="180"/>
      <c r="CV73" s="189"/>
      <c r="CW73" s="180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80"/>
      <c r="DI73" s="180"/>
      <c r="DJ73" s="180"/>
      <c r="DK73" s="180"/>
      <c r="DL73" s="180"/>
      <c r="DM73" s="180"/>
      <c r="DN73" s="180"/>
      <c r="DO73" s="180"/>
      <c r="DP73" s="180"/>
      <c r="DQ73" s="180"/>
      <c r="DR73" s="180"/>
    </row>
    <row r="74" spans="2:122" s="176" customFormat="1" x14ac:dyDescent="0.2">
      <c r="B74" s="1617" t="str">
        <f t="shared" si="33"/>
        <v>Investitionsgut 4</v>
      </c>
      <c r="C74" s="1618"/>
      <c r="D74" s="1538">
        <f t="shared" si="27"/>
        <v>0</v>
      </c>
      <c r="E74" s="1539">
        <f t="shared" si="29"/>
        <v>0</v>
      </c>
      <c r="F74" s="1539">
        <f t="shared" si="28"/>
        <v>0</v>
      </c>
      <c r="G74" s="1539">
        <f t="shared" si="26"/>
        <v>0</v>
      </c>
      <c r="H74" s="1539">
        <f t="shared" si="30"/>
        <v>0</v>
      </c>
      <c r="I74" s="1539">
        <f t="shared" si="31"/>
        <v>0</v>
      </c>
      <c r="J74" s="1519">
        <f t="shared" si="32"/>
        <v>0</v>
      </c>
      <c r="K74" s="403"/>
      <c r="L74" s="201"/>
      <c r="M74" s="403"/>
      <c r="N74" s="201"/>
      <c r="S74" s="206"/>
      <c r="CQ74" s="179"/>
      <c r="CR74" s="179"/>
      <c r="CS74" s="179"/>
      <c r="CT74" s="179"/>
      <c r="CU74" s="180"/>
      <c r="CV74" s="189"/>
      <c r="CW74" s="180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80"/>
      <c r="DI74" s="180"/>
      <c r="DJ74" s="180"/>
      <c r="DK74" s="180"/>
      <c r="DL74" s="180"/>
      <c r="DM74" s="180"/>
      <c r="DN74" s="180"/>
      <c r="DO74" s="180"/>
      <c r="DP74" s="180"/>
      <c r="DQ74" s="180"/>
      <c r="DR74" s="180"/>
    </row>
    <row r="75" spans="2:122" s="176" customFormat="1" x14ac:dyDescent="0.2">
      <c r="B75" s="1617" t="str">
        <f t="shared" si="33"/>
        <v>Investitionsgut 5</v>
      </c>
      <c r="C75" s="1618"/>
      <c r="D75" s="1538">
        <f t="shared" si="27"/>
        <v>0</v>
      </c>
      <c r="E75" s="1539">
        <f t="shared" si="29"/>
        <v>0</v>
      </c>
      <c r="F75" s="1539">
        <f t="shared" si="28"/>
        <v>0</v>
      </c>
      <c r="G75" s="1539">
        <f t="shared" si="26"/>
        <v>0</v>
      </c>
      <c r="H75" s="1539">
        <f t="shared" si="30"/>
        <v>0</v>
      </c>
      <c r="I75" s="1539">
        <f t="shared" si="31"/>
        <v>0</v>
      </c>
      <c r="J75" s="1519">
        <f t="shared" si="32"/>
        <v>0</v>
      </c>
      <c r="K75" s="403"/>
      <c r="L75" s="201"/>
      <c r="M75" s="403"/>
      <c r="N75" s="201"/>
      <c r="S75" s="206"/>
      <c r="CQ75" s="179"/>
      <c r="CR75" s="179"/>
      <c r="CS75" s="179"/>
      <c r="CT75" s="179"/>
      <c r="CU75" s="180"/>
      <c r="CV75" s="189"/>
      <c r="CW75" s="180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</row>
    <row r="76" spans="2:122" s="176" customFormat="1" x14ac:dyDescent="0.2">
      <c r="B76" s="1617" t="str">
        <f t="shared" si="33"/>
        <v>Investitionsgut 6</v>
      </c>
      <c r="C76" s="1618"/>
      <c r="D76" s="1538">
        <f t="shared" si="27"/>
        <v>0</v>
      </c>
      <c r="E76" s="1539">
        <f t="shared" si="29"/>
        <v>0</v>
      </c>
      <c r="F76" s="1539">
        <f t="shared" si="28"/>
        <v>0</v>
      </c>
      <c r="G76" s="1539">
        <f t="shared" si="26"/>
        <v>0</v>
      </c>
      <c r="H76" s="1539">
        <f t="shared" si="30"/>
        <v>0</v>
      </c>
      <c r="I76" s="1539">
        <f t="shared" si="31"/>
        <v>0</v>
      </c>
      <c r="J76" s="1519">
        <f t="shared" si="32"/>
        <v>0</v>
      </c>
      <c r="K76" s="403"/>
      <c r="L76" s="201"/>
      <c r="M76" s="403"/>
      <c r="N76" s="201"/>
      <c r="S76" s="206"/>
      <c r="CQ76" s="179"/>
      <c r="CR76" s="179"/>
      <c r="CS76" s="179"/>
      <c r="CT76" s="179"/>
      <c r="CU76" s="180"/>
      <c r="CV76" s="189"/>
      <c r="CW76" s="180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</row>
    <row r="77" spans="2:122" s="176" customFormat="1" x14ac:dyDescent="0.2">
      <c r="B77" s="1617" t="str">
        <f t="shared" si="33"/>
        <v>Investitionsgut 7</v>
      </c>
      <c r="C77" s="1618"/>
      <c r="D77" s="1540">
        <f t="shared" si="27"/>
        <v>0</v>
      </c>
      <c r="E77" s="1541">
        <f t="shared" si="29"/>
        <v>0</v>
      </c>
      <c r="F77" s="1541">
        <f t="shared" si="28"/>
        <v>0</v>
      </c>
      <c r="G77" s="1541">
        <f t="shared" si="26"/>
        <v>0</v>
      </c>
      <c r="H77" s="1541">
        <f t="shared" si="30"/>
        <v>0</v>
      </c>
      <c r="I77" s="1541">
        <f t="shared" si="31"/>
        <v>0</v>
      </c>
      <c r="J77" s="1520">
        <f t="shared" si="32"/>
        <v>0</v>
      </c>
      <c r="K77" s="403"/>
      <c r="L77" s="201"/>
      <c r="M77" s="403"/>
      <c r="N77" s="201"/>
      <c r="S77" s="206"/>
      <c r="CQ77" s="179"/>
      <c r="CR77" s="179"/>
      <c r="CS77" s="179"/>
      <c r="CT77" s="179"/>
      <c r="CU77" s="180"/>
      <c r="CV77" s="189"/>
      <c r="CW77" s="180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</row>
    <row r="78" spans="2:122" s="176" customFormat="1" ht="15" thickBot="1" x14ac:dyDescent="0.25">
      <c r="B78" s="1621" t="s">
        <v>785</v>
      </c>
      <c r="C78" s="1622"/>
      <c r="D78" s="1542">
        <f>E27</f>
        <v>0</v>
      </c>
      <c r="E78" s="1544">
        <f>F78</f>
        <v>1</v>
      </c>
      <c r="F78" s="1544">
        <f t="shared" ref="F78" si="34">F13</f>
        <v>1</v>
      </c>
      <c r="G78" s="1545">
        <v>5</v>
      </c>
      <c r="H78" s="1543">
        <f>D78/60</f>
        <v>0</v>
      </c>
      <c r="I78" s="1545" t="str">
        <f>IF(D78&gt;0,F78+G78*12-1,"")</f>
        <v/>
      </c>
      <c r="J78" s="1533"/>
      <c r="K78" s="403"/>
      <c r="L78" s="201"/>
      <c r="M78" s="403"/>
      <c r="N78" s="201"/>
      <c r="S78" s="206"/>
      <c r="CQ78" s="179"/>
      <c r="CR78" s="179"/>
      <c r="CS78" s="179"/>
      <c r="CT78" s="179"/>
      <c r="CU78" s="180"/>
      <c r="CV78" s="189"/>
      <c r="CW78" s="180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</row>
    <row r="79" spans="2:122" s="176" customFormat="1" ht="15.75" thickTop="1" thickBot="1" x14ac:dyDescent="0.25">
      <c r="B79" s="1521" t="s">
        <v>150</v>
      </c>
      <c r="C79" s="1534"/>
      <c r="D79" s="1535">
        <f>SUM(D71:D78)-J79</f>
        <v>0</v>
      </c>
      <c r="H79" s="1535">
        <f>SUM(H71:H78)</f>
        <v>0</v>
      </c>
      <c r="J79" s="1535">
        <f>SUM(J71:J78)</f>
        <v>0</v>
      </c>
      <c r="K79" s="403"/>
      <c r="L79" s="201"/>
      <c r="M79" s="403"/>
      <c r="N79" s="201"/>
      <c r="S79" s="206"/>
      <c r="CQ79" s="179"/>
      <c r="CR79" s="179"/>
      <c r="CS79" s="179"/>
      <c r="CT79" s="179"/>
      <c r="CU79" s="180"/>
      <c r="CV79" s="189"/>
      <c r="CW79" s="180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80"/>
      <c r="DI79" s="180"/>
      <c r="DJ79" s="180"/>
      <c r="DK79" s="180"/>
      <c r="DL79" s="180"/>
      <c r="DM79" s="180"/>
      <c r="DN79" s="180"/>
      <c r="DO79" s="180"/>
      <c r="DP79" s="180"/>
      <c r="DQ79" s="180"/>
      <c r="DR79" s="180"/>
    </row>
    <row r="80" spans="2:122" s="176" customFormat="1" ht="15" thickBot="1" x14ac:dyDescent="0.25">
      <c r="C80" s="201"/>
      <c r="E80" s="388"/>
      <c r="G80" s="388"/>
      <c r="I80" s="388"/>
      <c r="K80" s="403"/>
      <c r="L80" s="201"/>
      <c r="M80" s="403"/>
      <c r="N80" s="201"/>
      <c r="S80" s="206"/>
      <c r="CQ80" s="179"/>
      <c r="CR80" s="179"/>
      <c r="CS80" s="179"/>
      <c r="CT80" s="179"/>
      <c r="CU80" s="228"/>
      <c r="CV80" s="189"/>
      <c r="CW80" s="180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</row>
    <row r="81" spans="2:122" s="176" customFormat="1" ht="14.45" customHeight="1" thickBot="1" x14ac:dyDescent="0.25">
      <c r="B81" s="1613" t="s">
        <v>237</v>
      </c>
      <c r="C81" s="1614"/>
      <c r="D81" s="1508">
        <v>1</v>
      </c>
      <c r="E81" s="1509">
        <f>D81+1</f>
        <v>2</v>
      </c>
      <c r="F81" s="1509">
        <f t="shared" ref="F81:O81" si="35">E81+1</f>
        <v>3</v>
      </c>
      <c r="G81" s="1509">
        <f t="shared" si="35"/>
        <v>4</v>
      </c>
      <c r="H81" s="1509">
        <f t="shared" si="35"/>
        <v>5</v>
      </c>
      <c r="I81" s="1509">
        <f t="shared" si="35"/>
        <v>6</v>
      </c>
      <c r="J81" s="1509">
        <f t="shared" si="35"/>
        <v>7</v>
      </c>
      <c r="K81" s="1509">
        <f t="shared" si="35"/>
        <v>8</v>
      </c>
      <c r="L81" s="1509">
        <f t="shared" si="35"/>
        <v>9</v>
      </c>
      <c r="M81" s="1509">
        <f t="shared" si="35"/>
        <v>10</v>
      </c>
      <c r="N81" s="1509">
        <f t="shared" si="35"/>
        <v>11</v>
      </c>
      <c r="O81" s="1509">
        <f t="shared" si="35"/>
        <v>12</v>
      </c>
      <c r="P81" s="1510"/>
      <c r="S81" s="206"/>
      <c r="CQ81" s="179"/>
      <c r="CR81" s="179"/>
      <c r="CS81" s="179"/>
      <c r="CT81" s="179"/>
      <c r="CU81" s="228"/>
      <c r="CV81" s="189"/>
      <c r="CW81" s="180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</row>
    <row r="82" spans="2:122" s="176" customFormat="1" ht="15" thickBot="1" x14ac:dyDescent="0.25">
      <c r="B82" s="1613">
        <f ca="1">'1 Pers.Ausgaben|Pers Expenses'!C4</f>
        <v>2019</v>
      </c>
      <c r="C82" s="1614"/>
      <c r="D82" s="58" t="s">
        <v>1</v>
      </c>
      <c r="E82" s="53" t="s">
        <v>2</v>
      </c>
      <c r="F82" s="53" t="s">
        <v>3</v>
      </c>
      <c r="G82" s="53" t="s">
        <v>4</v>
      </c>
      <c r="H82" s="53" t="s">
        <v>5</v>
      </c>
      <c r="I82" s="53" t="s">
        <v>6</v>
      </c>
      <c r="J82" s="53" t="s">
        <v>7</v>
      </c>
      <c r="K82" s="53" t="s">
        <v>8</v>
      </c>
      <c r="L82" s="53" t="s">
        <v>9</v>
      </c>
      <c r="M82" s="53" t="s">
        <v>10</v>
      </c>
      <c r="N82" s="53" t="s">
        <v>11</v>
      </c>
      <c r="O82" s="53" t="s">
        <v>12</v>
      </c>
      <c r="P82" s="54" t="s">
        <v>782</v>
      </c>
      <c r="S82" s="206"/>
      <c r="CQ82" s="179"/>
      <c r="CR82" s="179"/>
      <c r="CS82" s="179"/>
      <c r="CT82" s="179"/>
      <c r="CU82" s="228"/>
      <c r="CV82" s="189"/>
      <c r="CW82" s="180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</row>
    <row r="83" spans="2:122" s="176" customFormat="1" x14ac:dyDescent="0.2">
      <c r="B83" s="1625" t="str">
        <f t="shared" ref="B83:B89" si="36">B71</f>
        <v>Investitionsgut 1</v>
      </c>
      <c r="C83" s="1626"/>
      <c r="D83" s="1513">
        <f>IF($G71="x",0,IF($E71&lt;=D$81,$H71,IF($I71&gt;D$81,"","")))</f>
        <v>0</v>
      </c>
      <c r="E83" s="1513">
        <f t="shared" ref="E83:O83" si="37">IF($G71="x",0,IF($E71&lt;=E$81,$H71,IF($I71&gt;E$81,"","")))</f>
        <v>0</v>
      </c>
      <c r="F83" s="1513">
        <f t="shared" si="37"/>
        <v>0</v>
      </c>
      <c r="G83" s="1513">
        <f t="shared" si="37"/>
        <v>0</v>
      </c>
      <c r="H83" s="1513">
        <f t="shared" si="37"/>
        <v>0</v>
      </c>
      <c r="I83" s="1513">
        <f t="shared" si="37"/>
        <v>0</v>
      </c>
      <c r="J83" s="1513">
        <f t="shared" si="37"/>
        <v>0</v>
      </c>
      <c r="K83" s="1513">
        <f t="shared" si="37"/>
        <v>0</v>
      </c>
      <c r="L83" s="1513">
        <f t="shared" si="37"/>
        <v>0</v>
      </c>
      <c r="M83" s="1513">
        <f t="shared" si="37"/>
        <v>0</v>
      </c>
      <c r="N83" s="1513">
        <f t="shared" si="37"/>
        <v>0</v>
      </c>
      <c r="O83" s="1513">
        <f t="shared" si="37"/>
        <v>0</v>
      </c>
      <c r="P83" s="1512">
        <f>SUM(D83:O83)</f>
        <v>0</v>
      </c>
      <c r="S83" s="206"/>
      <c r="CQ83" s="179"/>
      <c r="CR83" s="179"/>
      <c r="CS83" s="179"/>
      <c r="CT83" s="179"/>
      <c r="CU83" s="228"/>
      <c r="CV83" s="189"/>
      <c r="CW83" s="180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</row>
    <row r="84" spans="2:122" s="176" customFormat="1" x14ac:dyDescent="0.2">
      <c r="B84" s="1625" t="str">
        <f t="shared" si="36"/>
        <v>Investitionsgut 2</v>
      </c>
      <c r="C84" s="1626"/>
      <c r="D84" s="1513">
        <f t="shared" ref="D84:O84" si="38">IF($G72="x",0,IF($E72&lt;=D$81,$H72,IF($I72&gt;D$81,"","")))</f>
        <v>0</v>
      </c>
      <c r="E84" s="1513">
        <f t="shared" si="38"/>
        <v>0</v>
      </c>
      <c r="F84" s="1513">
        <f t="shared" si="38"/>
        <v>0</v>
      </c>
      <c r="G84" s="1513">
        <f t="shared" si="38"/>
        <v>0</v>
      </c>
      <c r="H84" s="1513">
        <f t="shared" si="38"/>
        <v>0</v>
      </c>
      <c r="I84" s="1513">
        <f t="shared" si="38"/>
        <v>0</v>
      </c>
      <c r="J84" s="1513">
        <f t="shared" si="38"/>
        <v>0</v>
      </c>
      <c r="K84" s="1513">
        <f t="shared" si="38"/>
        <v>0</v>
      </c>
      <c r="L84" s="1513">
        <f t="shared" si="38"/>
        <v>0</v>
      </c>
      <c r="M84" s="1513">
        <f t="shared" si="38"/>
        <v>0</v>
      </c>
      <c r="N84" s="1513">
        <f t="shared" si="38"/>
        <v>0</v>
      </c>
      <c r="O84" s="1513">
        <f t="shared" si="38"/>
        <v>0</v>
      </c>
      <c r="P84" s="1514">
        <f t="shared" ref="P84:P90" si="39">SUM(D84:O84)</f>
        <v>0</v>
      </c>
      <c r="S84" s="206"/>
      <c r="CQ84" s="179"/>
      <c r="CR84" s="179"/>
      <c r="CS84" s="179"/>
      <c r="CT84" s="179"/>
      <c r="CU84" s="228"/>
      <c r="CV84" s="189"/>
      <c r="CW84" s="180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</row>
    <row r="85" spans="2:122" s="176" customFormat="1" x14ac:dyDescent="0.2">
      <c r="B85" s="1625" t="str">
        <f t="shared" si="36"/>
        <v>Investitionsgut 3</v>
      </c>
      <c r="C85" s="1626"/>
      <c r="D85" s="1513">
        <f t="shared" ref="D85:O85" si="40">IF($G73="x",0,IF($E73&lt;=D$81,$H73,IF($I73&gt;D$81,"","")))</f>
        <v>0</v>
      </c>
      <c r="E85" s="1513">
        <f t="shared" si="40"/>
        <v>0</v>
      </c>
      <c r="F85" s="1513">
        <f t="shared" si="40"/>
        <v>0</v>
      </c>
      <c r="G85" s="1513">
        <f t="shared" si="40"/>
        <v>0</v>
      </c>
      <c r="H85" s="1513">
        <f t="shared" si="40"/>
        <v>0</v>
      </c>
      <c r="I85" s="1513">
        <f t="shared" si="40"/>
        <v>0</v>
      </c>
      <c r="J85" s="1513">
        <f t="shared" si="40"/>
        <v>0</v>
      </c>
      <c r="K85" s="1513">
        <f t="shared" si="40"/>
        <v>0</v>
      </c>
      <c r="L85" s="1513">
        <f t="shared" si="40"/>
        <v>0</v>
      </c>
      <c r="M85" s="1513">
        <f t="shared" si="40"/>
        <v>0</v>
      </c>
      <c r="N85" s="1513">
        <f t="shared" si="40"/>
        <v>0</v>
      </c>
      <c r="O85" s="1513">
        <f t="shared" si="40"/>
        <v>0</v>
      </c>
      <c r="P85" s="1514">
        <f t="shared" si="39"/>
        <v>0</v>
      </c>
      <c r="S85" s="206"/>
      <c r="CQ85" s="179"/>
      <c r="CR85" s="179"/>
      <c r="CS85" s="179"/>
      <c r="CT85" s="179"/>
      <c r="CU85" s="228"/>
      <c r="CV85" s="189"/>
      <c r="CW85" s="180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</row>
    <row r="86" spans="2:122" s="176" customFormat="1" x14ac:dyDescent="0.2">
      <c r="B86" s="1625" t="str">
        <f t="shared" si="36"/>
        <v>Investitionsgut 4</v>
      </c>
      <c r="C86" s="1626"/>
      <c r="D86" s="1513">
        <f t="shared" ref="D86:O86" si="41">IF($G74="x",0,IF($E74&lt;=D$81,$H74,IF($I74&gt;D$81,"","")))</f>
        <v>0</v>
      </c>
      <c r="E86" s="1513">
        <f t="shared" si="41"/>
        <v>0</v>
      </c>
      <c r="F86" s="1513">
        <f t="shared" si="41"/>
        <v>0</v>
      </c>
      <c r="G86" s="1513">
        <f t="shared" si="41"/>
        <v>0</v>
      </c>
      <c r="H86" s="1513">
        <f t="shared" si="41"/>
        <v>0</v>
      </c>
      <c r="I86" s="1513">
        <f t="shared" si="41"/>
        <v>0</v>
      </c>
      <c r="J86" s="1513">
        <f t="shared" si="41"/>
        <v>0</v>
      </c>
      <c r="K86" s="1513">
        <f t="shared" si="41"/>
        <v>0</v>
      </c>
      <c r="L86" s="1513">
        <f t="shared" si="41"/>
        <v>0</v>
      </c>
      <c r="M86" s="1513">
        <f t="shared" si="41"/>
        <v>0</v>
      </c>
      <c r="N86" s="1513">
        <f t="shared" si="41"/>
        <v>0</v>
      </c>
      <c r="O86" s="1513">
        <f t="shared" si="41"/>
        <v>0</v>
      </c>
      <c r="P86" s="1514">
        <f t="shared" si="39"/>
        <v>0</v>
      </c>
      <c r="S86" s="206"/>
      <c r="CQ86" s="179"/>
      <c r="CR86" s="179"/>
      <c r="CS86" s="179"/>
      <c r="CT86" s="179"/>
      <c r="CU86" s="228"/>
      <c r="CV86" s="189"/>
      <c r="CW86" s="180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</row>
    <row r="87" spans="2:122" s="176" customFormat="1" x14ac:dyDescent="0.2">
      <c r="B87" s="1625" t="str">
        <f t="shared" si="36"/>
        <v>Investitionsgut 5</v>
      </c>
      <c r="C87" s="1626"/>
      <c r="D87" s="1513">
        <f t="shared" ref="D87:O87" si="42">IF($G75="x",0,IF($E75&lt;=D$81,$H75,IF($I75&gt;D$81,"","")))</f>
        <v>0</v>
      </c>
      <c r="E87" s="1513">
        <f t="shared" si="42"/>
        <v>0</v>
      </c>
      <c r="F87" s="1513">
        <f t="shared" si="42"/>
        <v>0</v>
      </c>
      <c r="G87" s="1513">
        <f t="shared" si="42"/>
        <v>0</v>
      </c>
      <c r="H87" s="1513">
        <f t="shared" si="42"/>
        <v>0</v>
      </c>
      <c r="I87" s="1513">
        <f t="shared" si="42"/>
        <v>0</v>
      </c>
      <c r="J87" s="1513">
        <f t="shared" si="42"/>
        <v>0</v>
      </c>
      <c r="K87" s="1513">
        <f t="shared" si="42"/>
        <v>0</v>
      </c>
      <c r="L87" s="1513">
        <f t="shared" si="42"/>
        <v>0</v>
      </c>
      <c r="M87" s="1513">
        <f t="shared" si="42"/>
        <v>0</v>
      </c>
      <c r="N87" s="1513">
        <f t="shared" si="42"/>
        <v>0</v>
      </c>
      <c r="O87" s="1513">
        <f t="shared" si="42"/>
        <v>0</v>
      </c>
      <c r="P87" s="1514">
        <f t="shared" si="39"/>
        <v>0</v>
      </c>
      <c r="S87" s="206"/>
      <c r="CQ87" s="179"/>
      <c r="CR87" s="179"/>
      <c r="CS87" s="179"/>
      <c r="CT87" s="179"/>
      <c r="CU87" s="228"/>
      <c r="CV87" s="189"/>
      <c r="CW87" s="180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</row>
    <row r="88" spans="2:122" s="176" customFormat="1" x14ac:dyDescent="0.2">
      <c r="B88" s="1625" t="str">
        <f t="shared" si="36"/>
        <v>Investitionsgut 6</v>
      </c>
      <c r="C88" s="1626"/>
      <c r="D88" s="1513">
        <f t="shared" ref="D88:O88" si="43">IF($G76="x",0,IF($E76&lt;=D$81,$H76,IF($I76&gt;D$81,"","")))</f>
        <v>0</v>
      </c>
      <c r="E88" s="1513">
        <f t="shared" si="43"/>
        <v>0</v>
      </c>
      <c r="F88" s="1513">
        <f t="shared" si="43"/>
        <v>0</v>
      </c>
      <c r="G88" s="1513">
        <f t="shared" si="43"/>
        <v>0</v>
      </c>
      <c r="H88" s="1513">
        <f t="shared" si="43"/>
        <v>0</v>
      </c>
      <c r="I88" s="1513">
        <f t="shared" si="43"/>
        <v>0</v>
      </c>
      <c r="J88" s="1513">
        <f t="shared" si="43"/>
        <v>0</v>
      </c>
      <c r="K88" s="1513">
        <f t="shared" si="43"/>
        <v>0</v>
      </c>
      <c r="L88" s="1513">
        <f t="shared" si="43"/>
        <v>0</v>
      </c>
      <c r="M88" s="1513">
        <f t="shared" si="43"/>
        <v>0</v>
      </c>
      <c r="N88" s="1513">
        <f t="shared" si="43"/>
        <v>0</v>
      </c>
      <c r="O88" s="1513">
        <f t="shared" si="43"/>
        <v>0</v>
      </c>
      <c r="P88" s="1514">
        <f t="shared" si="39"/>
        <v>0</v>
      </c>
      <c r="S88" s="206"/>
      <c r="CQ88" s="179"/>
      <c r="CR88" s="179"/>
      <c r="CS88" s="179"/>
      <c r="CT88" s="179"/>
      <c r="CU88" s="228"/>
      <c r="CV88" s="189"/>
      <c r="CW88" s="180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</row>
    <row r="89" spans="2:122" s="176" customFormat="1" x14ac:dyDescent="0.2">
      <c r="B89" s="1627" t="str">
        <f t="shared" si="36"/>
        <v>Investitionsgut 7</v>
      </c>
      <c r="C89" s="1628"/>
      <c r="D89" s="1513">
        <f t="shared" ref="D89:O89" si="44">IF($G77="x",0,IF($E77&lt;=D$81,$H77,IF($I77&gt;D$81,"","")))</f>
        <v>0</v>
      </c>
      <c r="E89" s="1513">
        <f t="shared" si="44"/>
        <v>0</v>
      </c>
      <c r="F89" s="1513">
        <f t="shared" si="44"/>
        <v>0</v>
      </c>
      <c r="G89" s="1513">
        <f t="shared" si="44"/>
        <v>0</v>
      </c>
      <c r="H89" s="1513">
        <f t="shared" si="44"/>
        <v>0</v>
      </c>
      <c r="I89" s="1513">
        <f t="shared" si="44"/>
        <v>0</v>
      </c>
      <c r="J89" s="1513">
        <f t="shared" si="44"/>
        <v>0</v>
      </c>
      <c r="K89" s="1513">
        <f t="shared" si="44"/>
        <v>0</v>
      </c>
      <c r="L89" s="1513">
        <f t="shared" si="44"/>
        <v>0</v>
      </c>
      <c r="M89" s="1513">
        <f t="shared" si="44"/>
        <v>0</v>
      </c>
      <c r="N89" s="1513">
        <f t="shared" si="44"/>
        <v>0</v>
      </c>
      <c r="O89" s="1513">
        <f t="shared" si="44"/>
        <v>0</v>
      </c>
      <c r="P89" s="1523">
        <f t="shared" si="39"/>
        <v>0</v>
      </c>
      <c r="S89" s="206"/>
      <c r="CQ89" s="179"/>
      <c r="CR89" s="179"/>
      <c r="CS89" s="179"/>
      <c r="CT89" s="179"/>
      <c r="CU89" s="228"/>
      <c r="CV89" s="189"/>
      <c r="CW89" s="180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</row>
    <row r="90" spans="2:122" s="176" customFormat="1" x14ac:dyDescent="0.2">
      <c r="B90" s="1629" t="s">
        <v>785</v>
      </c>
      <c r="C90" s="1630"/>
      <c r="D90" s="1526">
        <f t="shared" ref="D90:O90" si="45">IF($F78&lt;=D$81,$H78,0)</f>
        <v>0</v>
      </c>
      <c r="E90" s="1526">
        <f t="shared" si="45"/>
        <v>0</v>
      </c>
      <c r="F90" s="1526">
        <f t="shared" si="45"/>
        <v>0</v>
      </c>
      <c r="G90" s="1526">
        <f t="shared" si="45"/>
        <v>0</v>
      </c>
      <c r="H90" s="1526">
        <f t="shared" si="45"/>
        <v>0</v>
      </c>
      <c r="I90" s="1526">
        <f t="shared" si="45"/>
        <v>0</v>
      </c>
      <c r="J90" s="1526">
        <f t="shared" si="45"/>
        <v>0</v>
      </c>
      <c r="K90" s="1526">
        <f t="shared" si="45"/>
        <v>0</v>
      </c>
      <c r="L90" s="1526">
        <f t="shared" si="45"/>
        <v>0</v>
      </c>
      <c r="M90" s="1526">
        <f t="shared" si="45"/>
        <v>0</v>
      </c>
      <c r="N90" s="1526">
        <f t="shared" si="45"/>
        <v>0</v>
      </c>
      <c r="O90" s="1526">
        <f t="shared" si="45"/>
        <v>0</v>
      </c>
      <c r="P90" s="1527">
        <f t="shared" si="39"/>
        <v>0</v>
      </c>
      <c r="S90" s="206"/>
      <c r="CQ90" s="179"/>
      <c r="CR90" s="179"/>
      <c r="CS90" s="179"/>
      <c r="CT90" s="179"/>
      <c r="CU90" s="228"/>
      <c r="CV90" s="189"/>
      <c r="CW90" s="180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</row>
    <row r="91" spans="2:122" s="176" customFormat="1" ht="15" thickBot="1" x14ac:dyDescent="0.25">
      <c r="B91" s="1528" t="str">
        <f>"Summe" &amp;" "&amp;B90</f>
        <v>Summe Sammelposten</v>
      </c>
      <c r="C91" s="1529"/>
      <c r="D91" s="1530">
        <f>D90</f>
        <v>0</v>
      </c>
      <c r="E91" s="1531">
        <f>E90</f>
        <v>0</v>
      </c>
      <c r="F91" s="1531">
        <f t="shared" ref="F91:O91" si="46">F90</f>
        <v>0</v>
      </c>
      <c r="G91" s="1531">
        <f t="shared" si="46"/>
        <v>0</v>
      </c>
      <c r="H91" s="1531">
        <f t="shared" si="46"/>
        <v>0</v>
      </c>
      <c r="I91" s="1531">
        <f t="shared" si="46"/>
        <v>0</v>
      </c>
      <c r="J91" s="1531">
        <f t="shared" si="46"/>
        <v>0</v>
      </c>
      <c r="K91" s="1531">
        <f t="shared" si="46"/>
        <v>0</v>
      </c>
      <c r="L91" s="1531">
        <f t="shared" si="46"/>
        <v>0</v>
      </c>
      <c r="M91" s="1531">
        <f t="shared" si="46"/>
        <v>0</v>
      </c>
      <c r="N91" s="1531">
        <f t="shared" si="46"/>
        <v>0</v>
      </c>
      <c r="O91" s="1531">
        <f t="shared" si="46"/>
        <v>0</v>
      </c>
      <c r="P91" s="1532">
        <f>SUM(D91:O91)</f>
        <v>0</v>
      </c>
      <c r="S91" s="206"/>
      <c r="CQ91" s="179"/>
      <c r="CR91" s="179"/>
      <c r="CS91" s="179"/>
      <c r="CT91" s="179"/>
      <c r="CU91" s="228"/>
      <c r="CV91" s="189"/>
      <c r="CW91" s="180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80"/>
      <c r="DI91" s="180"/>
      <c r="DJ91" s="180"/>
      <c r="DK91" s="180"/>
      <c r="DL91" s="180"/>
      <c r="DM91" s="180"/>
      <c r="DN91" s="180"/>
      <c r="DO91" s="180"/>
      <c r="DP91" s="180"/>
      <c r="DQ91" s="180"/>
      <c r="DR91" s="180"/>
    </row>
    <row r="92" spans="2:122" s="176" customFormat="1" ht="15.75" thickTop="1" thickBot="1" x14ac:dyDescent="0.25">
      <c r="B92" s="1615" t="s">
        <v>784</v>
      </c>
      <c r="C92" s="1616"/>
      <c r="D92" s="1524">
        <f>SUM(D83:D89)+D91</f>
        <v>0</v>
      </c>
      <c r="E92" s="1524">
        <f t="shared" ref="E92:O92" si="47">SUM(E83:E89)+E91</f>
        <v>0</v>
      </c>
      <c r="F92" s="1524">
        <f t="shared" si="47"/>
        <v>0</v>
      </c>
      <c r="G92" s="1524">
        <f t="shared" si="47"/>
        <v>0</v>
      </c>
      <c r="H92" s="1524">
        <f t="shared" si="47"/>
        <v>0</v>
      </c>
      <c r="I92" s="1524">
        <f t="shared" si="47"/>
        <v>0</v>
      </c>
      <c r="J92" s="1524">
        <f t="shared" si="47"/>
        <v>0</v>
      </c>
      <c r="K92" s="1524">
        <f t="shared" si="47"/>
        <v>0</v>
      </c>
      <c r="L92" s="1524">
        <f t="shared" si="47"/>
        <v>0</v>
      </c>
      <c r="M92" s="1524">
        <f t="shared" si="47"/>
        <v>0</v>
      </c>
      <c r="N92" s="1524">
        <f t="shared" si="47"/>
        <v>0</v>
      </c>
      <c r="O92" s="1524">
        <f t="shared" si="47"/>
        <v>0</v>
      </c>
      <c r="P92" s="1525">
        <f>SUM(D92:O92)</f>
        <v>0</v>
      </c>
      <c r="S92" s="206"/>
      <c r="CQ92" s="179"/>
      <c r="CR92" s="179"/>
      <c r="CS92" s="179"/>
      <c r="CT92" s="179"/>
      <c r="CU92" s="228"/>
      <c r="CV92" s="189"/>
      <c r="CW92" s="180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</row>
    <row r="93" spans="2:122" s="176" customFormat="1" x14ac:dyDescent="0.2">
      <c r="B93" s="201"/>
      <c r="C93" s="201"/>
      <c r="E93" s="388"/>
      <c r="G93" s="388"/>
      <c r="I93" s="388"/>
      <c r="K93" s="403"/>
      <c r="L93" s="201"/>
      <c r="M93" s="403"/>
      <c r="N93" s="201"/>
      <c r="S93" s="206"/>
      <c r="CQ93" s="179"/>
      <c r="CR93" s="179"/>
      <c r="CS93" s="179"/>
      <c r="CT93" s="179"/>
      <c r="CU93" s="189"/>
      <c r="CV93" s="189"/>
      <c r="CW93" s="180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80"/>
      <c r="DI93" s="180"/>
      <c r="DJ93" s="180"/>
      <c r="DK93" s="180"/>
      <c r="DL93" s="180"/>
      <c r="DM93" s="180"/>
      <c r="DN93" s="180"/>
      <c r="DO93" s="180"/>
      <c r="DP93" s="180"/>
      <c r="DQ93" s="180"/>
      <c r="DR93" s="180"/>
    </row>
    <row r="94" spans="2:122" s="176" customFormat="1" x14ac:dyDescent="0.2">
      <c r="B94" s="201"/>
      <c r="C94" s="201"/>
      <c r="E94" s="388"/>
      <c r="G94" s="388"/>
      <c r="I94" s="388"/>
      <c r="K94" s="403"/>
      <c r="L94" s="201"/>
      <c r="M94" s="403"/>
      <c r="N94" s="201"/>
      <c r="S94" s="206"/>
      <c r="CQ94" s="179"/>
      <c r="CR94" s="179"/>
      <c r="CS94" s="179"/>
      <c r="CT94" s="179"/>
      <c r="CU94" s="189"/>
      <c r="CV94" s="189"/>
      <c r="CW94" s="180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80"/>
      <c r="DI94" s="180"/>
      <c r="DJ94" s="180"/>
      <c r="DK94" s="180"/>
      <c r="DL94" s="180"/>
      <c r="DM94" s="180"/>
      <c r="DN94" s="180"/>
      <c r="DO94" s="180"/>
      <c r="DP94" s="180"/>
      <c r="DQ94" s="180"/>
      <c r="DR94" s="180"/>
    </row>
    <row r="95" spans="2:122" s="176" customFormat="1" ht="15" thickBot="1" x14ac:dyDescent="0.25">
      <c r="B95" s="201"/>
      <c r="C95" s="201"/>
      <c r="E95" s="388"/>
      <c r="G95" s="388"/>
      <c r="I95" s="388"/>
      <c r="K95" s="403"/>
      <c r="L95" s="201"/>
      <c r="M95" s="403"/>
      <c r="N95" s="201"/>
      <c r="S95" s="206"/>
      <c r="CQ95" s="179"/>
      <c r="CR95" s="179"/>
      <c r="CS95" s="179"/>
      <c r="CT95" s="179"/>
      <c r="CU95" s="189"/>
      <c r="CV95" s="189"/>
      <c r="CW95" s="180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80"/>
      <c r="DI95" s="180"/>
      <c r="DJ95" s="180"/>
      <c r="DK95" s="180"/>
      <c r="DL95" s="180"/>
      <c r="DM95" s="180"/>
      <c r="DN95" s="180"/>
      <c r="DO95" s="180"/>
      <c r="DP95" s="180"/>
      <c r="DQ95" s="180"/>
      <c r="DR95" s="180"/>
    </row>
    <row r="96" spans="2:122" s="176" customFormat="1" ht="28.15" customHeight="1" thickBot="1" x14ac:dyDescent="0.25">
      <c r="B96" s="1613" t="str">
        <f t="shared" ref="B96:B105" si="48">B70</f>
        <v>Anschaffungen</v>
      </c>
      <c r="C96" s="1614"/>
      <c r="D96" s="1515" t="str">
        <f ca="1">IF($C$2="English","Value      ","Betrag    ")&amp;'1 Pers.Ausgaben|Pers Expenses'!$C$4+1</f>
        <v>Betrag    2020</v>
      </c>
      <c r="E96" s="1516" t="str">
        <f>E70</f>
        <v>Investmonat</v>
      </c>
      <c r="F96" s="1517" t="str">
        <f ca="1">$E$70&amp;"   "&amp;B108</f>
        <v>Investmonat   2020</v>
      </c>
      <c r="G96" s="1517" t="str">
        <f t="shared" ref="G96:G104" si="49">P5</f>
        <v>Jahre der
Abschreibung</v>
      </c>
      <c r="H96" s="1517" t="s">
        <v>781</v>
      </c>
      <c r="I96" s="1517" t="s">
        <v>783</v>
      </c>
      <c r="J96" s="1517" t="s">
        <v>787</v>
      </c>
      <c r="K96" s="403"/>
      <c r="L96" s="201"/>
      <c r="M96" s="403"/>
      <c r="N96" s="201"/>
      <c r="S96" s="206"/>
      <c r="CQ96" s="179"/>
      <c r="CR96" s="179"/>
      <c r="CS96" s="179"/>
      <c r="CT96" s="179"/>
      <c r="CU96" s="189"/>
      <c r="CV96" s="189"/>
      <c r="CW96" s="180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</row>
    <row r="97" spans="2:122" s="176" customFormat="1" x14ac:dyDescent="0.2">
      <c r="B97" s="1623" t="str">
        <f t="shared" si="48"/>
        <v>Investitionsgut 1</v>
      </c>
      <c r="C97" s="1624"/>
      <c r="D97" s="1536">
        <f t="shared" ref="D97:D103" si="50">G6</f>
        <v>0</v>
      </c>
      <c r="E97" s="1539">
        <f>E71+F97</f>
        <v>0</v>
      </c>
      <c r="F97" s="1537">
        <f t="shared" ref="F97:F103" si="51">IF(D97&gt;0,H6+($B$108-$B$82)*12,0)</f>
        <v>0</v>
      </c>
      <c r="G97" s="1537">
        <f t="shared" si="49"/>
        <v>0</v>
      </c>
      <c r="H97" s="1537">
        <f>IF(G97="x",0,IF(D97&gt;0,D97/(12*G97),IF(E97&gt;0,H71,0)))</f>
        <v>0</v>
      </c>
      <c r="I97" s="1537">
        <f>IF(G97="x",0,IF(D97&gt;0,E97+G97*12-1,IF(E97&gt;0,I71,0)))</f>
        <v>0</v>
      </c>
      <c r="J97" s="1518">
        <f>IF(G97="x",IF(D97&gt;0,D97,0),0)</f>
        <v>0</v>
      </c>
      <c r="K97" s="403"/>
      <c r="L97" s="201"/>
      <c r="M97" s="403"/>
      <c r="N97" s="201"/>
      <c r="S97" s="206"/>
      <c r="CQ97" s="179"/>
      <c r="CR97" s="179"/>
      <c r="CS97" s="179"/>
      <c r="CT97" s="179"/>
      <c r="CU97" s="189"/>
      <c r="CV97" s="189"/>
      <c r="CW97" s="180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</row>
    <row r="98" spans="2:122" s="176" customFormat="1" x14ac:dyDescent="0.2">
      <c r="B98" s="1617" t="str">
        <f t="shared" si="48"/>
        <v>Investitionsgut 2</v>
      </c>
      <c r="C98" s="1618"/>
      <c r="D98" s="1538">
        <f t="shared" si="50"/>
        <v>0</v>
      </c>
      <c r="E98" s="1539">
        <f>E72+F98</f>
        <v>0</v>
      </c>
      <c r="F98" s="1539">
        <f t="shared" si="51"/>
        <v>0</v>
      </c>
      <c r="G98" s="1539">
        <f t="shared" si="49"/>
        <v>0</v>
      </c>
      <c r="H98" s="1539">
        <f t="shared" ref="H98:H103" si="52">IF(G98="x",0,IF(D98&gt;0,D98/(12*G98),IF(E98&gt;0,H72,0)))</f>
        <v>0</v>
      </c>
      <c r="I98" s="1539">
        <f t="shared" ref="I98:I103" si="53">IF(G98="x",0,IF(D98&gt;0,E98+G98*12-1,IF(E98&gt;0,I72,0)))</f>
        <v>0</v>
      </c>
      <c r="J98" s="1519">
        <f t="shared" ref="J98:J103" si="54">IF(G98="x",IF(D98&gt;0,D98,0),0)</f>
        <v>0</v>
      </c>
      <c r="K98" s="403"/>
      <c r="L98" s="201"/>
      <c r="M98" s="403"/>
      <c r="N98" s="201"/>
      <c r="S98" s="206"/>
      <c r="CQ98" s="179"/>
      <c r="CR98" s="179"/>
      <c r="CS98" s="179"/>
      <c r="CT98" s="179"/>
      <c r="CU98" s="189"/>
      <c r="CV98" s="189"/>
      <c r="CW98" s="180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80"/>
      <c r="DI98" s="180"/>
      <c r="DJ98" s="180"/>
      <c r="DK98" s="180"/>
      <c r="DL98" s="180"/>
      <c r="DM98" s="180"/>
      <c r="DN98" s="180"/>
      <c r="DO98" s="180"/>
      <c r="DP98" s="180"/>
      <c r="DQ98" s="180"/>
      <c r="DR98" s="180"/>
    </row>
    <row r="99" spans="2:122" s="176" customFormat="1" x14ac:dyDescent="0.2">
      <c r="B99" s="1617" t="str">
        <f t="shared" si="48"/>
        <v>Investitionsgut 3</v>
      </c>
      <c r="C99" s="1618"/>
      <c r="D99" s="1538">
        <f t="shared" si="50"/>
        <v>0</v>
      </c>
      <c r="E99" s="1539">
        <f t="shared" ref="E99:E103" si="55">E73+F99</f>
        <v>0</v>
      </c>
      <c r="F99" s="1539">
        <f t="shared" si="51"/>
        <v>0</v>
      </c>
      <c r="G99" s="1539">
        <f t="shared" si="49"/>
        <v>0</v>
      </c>
      <c r="H99" s="1539">
        <f t="shared" si="52"/>
        <v>0</v>
      </c>
      <c r="I99" s="1539">
        <f t="shared" si="53"/>
        <v>0</v>
      </c>
      <c r="J99" s="1519">
        <f t="shared" si="54"/>
        <v>0</v>
      </c>
      <c r="K99" s="403"/>
      <c r="L99" s="201"/>
      <c r="M99" s="403"/>
      <c r="N99" s="201"/>
      <c r="S99" s="206"/>
      <c r="CQ99" s="179"/>
      <c r="CR99" s="179"/>
      <c r="CS99" s="179"/>
      <c r="CT99" s="179"/>
      <c r="CU99" s="189"/>
      <c r="CV99" s="189"/>
      <c r="CW99" s="180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</row>
    <row r="100" spans="2:122" s="176" customFormat="1" x14ac:dyDescent="0.2">
      <c r="B100" s="1617" t="str">
        <f t="shared" si="48"/>
        <v>Investitionsgut 4</v>
      </c>
      <c r="C100" s="1618"/>
      <c r="D100" s="1538">
        <f t="shared" si="50"/>
        <v>0</v>
      </c>
      <c r="E100" s="1539">
        <f>E74+F100</f>
        <v>0</v>
      </c>
      <c r="F100" s="1539">
        <f t="shared" si="51"/>
        <v>0</v>
      </c>
      <c r="G100" s="1539">
        <f t="shared" si="49"/>
        <v>0</v>
      </c>
      <c r="H100" s="1539">
        <f t="shared" si="52"/>
        <v>0</v>
      </c>
      <c r="I100" s="1539">
        <f t="shared" si="53"/>
        <v>0</v>
      </c>
      <c r="J100" s="1519">
        <f t="shared" si="54"/>
        <v>0</v>
      </c>
      <c r="K100" s="403"/>
      <c r="L100" s="201"/>
      <c r="M100" s="403"/>
      <c r="N100" s="201"/>
      <c r="S100" s="206"/>
      <c r="CQ100" s="179"/>
      <c r="CR100" s="179"/>
      <c r="CS100" s="179"/>
      <c r="CT100" s="179"/>
      <c r="CU100" s="189"/>
      <c r="CV100" s="189"/>
      <c r="CW100" s="180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</row>
    <row r="101" spans="2:122" s="176" customFormat="1" x14ac:dyDescent="0.2">
      <c r="B101" s="1617" t="str">
        <f t="shared" si="48"/>
        <v>Investitionsgut 5</v>
      </c>
      <c r="C101" s="1618"/>
      <c r="D101" s="1538">
        <f t="shared" si="50"/>
        <v>0</v>
      </c>
      <c r="E101" s="1539">
        <f t="shared" si="55"/>
        <v>0</v>
      </c>
      <c r="F101" s="1539">
        <f t="shared" si="51"/>
        <v>0</v>
      </c>
      <c r="G101" s="1539">
        <f t="shared" si="49"/>
        <v>0</v>
      </c>
      <c r="H101" s="1539">
        <f t="shared" si="52"/>
        <v>0</v>
      </c>
      <c r="I101" s="1539">
        <f t="shared" si="53"/>
        <v>0</v>
      </c>
      <c r="J101" s="1519">
        <f t="shared" si="54"/>
        <v>0</v>
      </c>
      <c r="K101" s="403"/>
      <c r="L101" s="201"/>
      <c r="M101" s="403"/>
      <c r="N101" s="201"/>
      <c r="S101" s="206"/>
      <c r="CQ101" s="179"/>
      <c r="CR101" s="179"/>
      <c r="CS101" s="179"/>
      <c r="CT101" s="179"/>
      <c r="CU101" s="189"/>
      <c r="CV101" s="189"/>
      <c r="CW101" s="180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80"/>
      <c r="DI101" s="180"/>
      <c r="DJ101" s="180"/>
      <c r="DK101" s="180"/>
      <c r="DL101" s="180"/>
      <c r="DM101" s="180"/>
      <c r="DN101" s="180"/>
      <c r="DO101" s="180"/>
      <c r="DP101" s="180"/>
      <c r="DQ101" s="180"/>
      <c r="DR101" s="180"/>
    </row>
    <row r="102" spans="2:122" s="176" customFormat="1" x14ac:dyDescent="0.2">
      <c r="B102" s="1617" t="str">
        <f t="shared" si="48"/>
        <v>Investitionsgut 6</v>
      </c>
      <c r="C102" s="1618"/>
      <c r="D102" s="1538">
        <f t="shared" si="50"/>
        <v>0</v>
      </c>
      <c r="E102" s="1539">
        <f t="shared" si="55"/>
        <v>0</v>
      </c>
      <c r="F102" s="1539">
        <f t="shared" si="51"/>
        <v>0</v>
      </c>
      <c r="G102" s="1539">
        <f t="shared" si="49"/>
        <v>0</v>
      </c>
      <c r="H102" s="1539">
        <f t="shared" si="52"/>
        <v>0</v>
      </c>
      <c r="I102" s="1539">
        <f t="shared" si="53"/>
        <v>0</v>
      </c>
      <c r="J102" s="1519">
        <f t="shared" si="54"/>
        <v>0</v>
      </c>
      <c r="K102" s="403"/>
      <c r="L102" s="201"/>
      <c r="M102" s="403"/>
      <c r="N102" s="201"/>
      <c r="S102" s="206"/>
      <c r="CQ102" s="179"/>
      <c r="CR102" s="179"/>
      <c r="CS102" s="179"/>
      <c r="CT102" s="179"/>
      <c r="CU102" s="189"/>
      <c r="CV102" s="189"/>
      <c r="CW102" s="180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80"/>
      <c r="DI102" s="180"/>
      <c r="DJ102" s="180"/>
      <c r="DK102" s="180"/>
      <c r="DL102" s="180"/>
      <c r="DM102" s="180"/>
      <c r="DN102" s="180"/>
      <c r="DO102" s="180"/>
      <c r="DP102" s="180"/>
      <c r="DQ102" s="180"/>
      <c r="DR102" s="180"/>
    </row>
    <row r="103" spans="2:122" s="176" customFormat="1" x14ac:dyDescent="0.2">
      <c r="B103" s="1617" t="str">
        <f t="shared" si="48"/>
        <v>Investitionsgut 7</v>
      </c>
      <c r="C103" s="1618"/>
      <c r="D103" s="1540">
        <f t="shared" si="50"/>
        <v>0</v>
      </c>
      <c r="E103" s="1539">
        <f t="shared" si="55"/>
        <v>0</v>
      </c>
      <c r="F103" s="1541">
        <f t="shared" si="51"/>
        <v>0</v>
      </c>
      <c r="G103" s="1541">
        <f t="shared" si="49"/>
        <v>0</v>
      </c>
      <c r="H103" s="1541">
        <f t="shared" si="52"/>
        <v>0</v>
      </c>
      <c r="I103" s="1541">
        <f t="shared" si="53"/>
        <v>0</v>
      </c>
      <c r="J103" s="1520">
        <f t="shared" si="54"/>
        <v>0</v>
      </c>
      <c r="K103" s="403"/>
      <c r="L103" s="201"/>
      <c r="M103" s="403"/>
      <c r="N103" s="201"/>
      <c r="S103" s="206"/>
      <c r="CQ103" s="179"/>
      <c r="CR103" s="179"/>
      <c r="CS103" s="179"/>
      <c r="CT103" s="179"/>
      <c r="CU103" s="189"/>
      <c r="CV103" s="189"/>
      <c r="CW103" s="180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80"/>
      <c r="DI103" s="180"/>
      <c r="DJ103" s="180"/>
      <c r="DK103" s="180"/>
      <c r="DL103" s="180"/>
      <c r="DM103" s="180"/>
      <c r="DN103" s="180"/>
      <c r="DO103" s="180"/>
      <c r="DP103" s="180"/>
      <c r="DQ103" s="180"/>
      <c r="DR103" s="180"/>
    </row>
    <row r="104" spans="2:122" s="176" customFormat="1" ht="15" thickBot="1" x14ac:dyDescent="0.25">
      <c r="B104" s="1621" t="str">
        <f t="shared" si="48"/>
        <v>Sammelposten</v>
      </c>
      <c r="C104" s="1622"/>
      <c r="D104" s="1542">
        <f>H27</f>
        <v>0</v>
      </c>
      <c r="E104" s="1544">
        <f ca="1">F104</f>
        <v>13</v>
      </c>
      <c r="F104" s="1544">
        <f ca="1">H13+($B$108-$B$82)*12</f>
        <v>13</v>
      </c>
      <c r="G104" s="1545">
        <f t="shared" si="49"/>
        <v>5</v>
      </c>
      <c r="H104" s="1543">
        <f>D104/60</f>
        <v>0</v>
      </c>
      <c r="I104" s="1545" t="str">
        <f>IF(D104&gt;0,F104+G104*12-1,"")</f>
        <v/>
      </c>
      <c r="J104" s="1533"/>
      <c r="K104" s="403"/>
      <c r="L104" s="201"/>
      <c r="M104" s="403"/>
      <c r="N104" s="201"/>
      <c r="O104" s="205"/>
      <c r="P104" s="205"/>
      <c r="S104" s="206"/>
      <c r="CQ104" s="179"/>
      <c r="CR104" s="179"/>
      <c r="CS104" s="179"/>
      <c r="CT104" s="179"/>
      <c r="CU104" s="189"/>
      <c r="CV104" s="189"/>
      <c r="CW104" s="180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80"/>
      <c r="DI104" s="180"/>
      <c r="DJ104" s="180"/>
      <c r="DK104" s="180"/>
      <c r="DL104" s="180"/>
      <c r="DM104" s="180"/>
      <c r="DN104" s="180"/>
      <c r="DO104" s="180"/>
      <c r="DP104" s="180"/>
      <c r="DQ104" s="180"/>
      <c r="DR104" s="180"/>
    </row>
    <row r="105" spans="2:122" s="478" customFormat="1" ht="15.75" thickTop="1" thickBot="1" x14ac:dyDescent="0.25">
      <c r="B105" s="1521" t="str">
        <f t="shared" si="48"/>
        <v>Summe Anschaffungen</v>
      </c>
      <c r="C105" s="1534"/>
      <c r="D105" s="1535">
        <f>SUM(D97:D104)-J105</f>
        <v>0</v>
      </c>
      <c r="E105" s="176"/>
      <c r="F105" s="176"/>
      <c r="G105" s="176"/>
      <c r="H105" s="1535">
        <f>SUM(H97:H104)</f>
        <v>0</v>
      </c>
      <c r="I105" s="176"/>
      <c r="J105" s="1535">
        <f>SUM(J97:J104)</f>
        <v>0</v>
      </c>
      <c r="K105" s="403"/>
      <c r="L105" s="201"/>
      <c r="M105" s="403"/>
      <c r="N105" s="201"/>
      <c r="O105" s="1299"/>
      <c r="P105" s="1299"/>
      <c r="S105" s="480"/>
      <c r="CQ105" s="387"/>
      <c r="CR105" s="387"/>
      <c r="CS105" s="387"/>
      <c r="CT105" s="387"/>
      <c r="CU105" s="233"/>
      <c r="CV105" s="189"/>
      <c r="CW105" s="180"/>
      <c r="CX105" s="387"/>
      <c r="CY105" s="387"/>
      <c r="CZ105" s="387"/>
      <c r="DA105" s="387"/>
      <c r="DB105" s="387"/>
      <c r="DC105" s="387"/>
      <c r="DD105" s="387"/>
      <c r="DE105" s="387"/>
      <c r="DF105" s="387"/>
      <c r="DG105" s="387"/>
      <c r="DH105" s="387"/>
      <c r="DI105" s="387"/>
      <c r="DJ105" s="387"/>
      <c r="DK105" s="387"/>
      <c r="DL105" s="387"/>
      <c r="DM105" s="387"/>
      <c r="DN105" s="387"/>
      <c r="DO105" s="387"/>
      <c r="DP105" s="387"/>
      <c r="DQ105" s="387"/>
      <c r="DR105" s="387"/>
    </row>
    <row r="106" spans="2:122" s="478" customFormat="1" ht="15" thickBot="1" x14ac:dyDescent="0.25">
      <c r="B106" s="176"/>
      <c r="C106" s="201"/>
      <c r="D106" s="176"/>
      <c r="E106" s="388"/>
      <c r="F106" s="176"/>
      <c r="G106" s="388"/>
      <c r="H106" s="176"/>
      <c r="I106" s="388"/>
      <c r="J106" s="176"/>
      <c r="K106" s="403"/>
      <c r="L106" s="201"/>
      <c r="M106" s="403"/>
      <c r="N106" s="201"/>
      <c r="O106" s="1299"/>
      <c r="P106" s="1299"/>
      <c r="S106" s="481"/>
      <c r="T106" s="479"/>
      <c r="U106" s="479"/>
      <c r="V106" s="479"/>
      <c r="W106" s="479"/>
      <c r="X106" s="479"/>
      <c r="Y106" s="479"/>
      <c r="Z106" s="479"/>
      <c r="AA106" s="479"/>
      <c r="AB106" s="479"/>
      <c r="CQ106" s="387"/>
      <c r="CR106" s="387"/>
      <c r="CS106" s="387"/>
      <c r="CT106" s="387"/>
      <c r="CU106" s="233"/>
      <c r="CV106" s="189"/>
      <c r="CW106" s="180"/>
      <c r="CX106" s="387"/>
      <c r="CY106" s="387"/>
      <c r="CZ106" s="387"/>
      <c r="DA106" s="387"/>
      <c r="DB106" s="387"/>
      <c r="DC106" s="387"/>
      <c r="DD106" s="387"/>
      <c r="DE106" s="387"/>
      <c r="DF106" s="387"/>
      <c r="DG106" s="387"/>
      <c r="DH106" s="387"/>
      <c r="DI106" s="387"/>
      <c r="DJ106" s="387"/>
      <c r="DK106" s="387"/>
      <c r="DL106" s="387"/>
      <c r="DM106" s="387"/>
      <c r="DN106" s="387"/>
      <c r="DO106" s="387"/>
      <c r="DP106" s="387"/>
      <c r="DQ106" s="387"/>
      <c r="DR106" s="387"/>
    </row>
    <row r="107" spans="2:122" s="478" customFormat="1" ht="14.45" customHeight="1" thickBot="1" x14ac:dyDescent="0.25">
      <c r="B107" s="1613" t="str">
        <f>B81</f>
        <v>laufender Monat</v>
      </c>
      <c r="C107" s="1614"/>
      <c r="D107" s="1508">
        <f ca="1">1+($B$108-$B$82)*12</f>
        <v>13</v>
      </c>
      <c r="E107" s="1509">
        <f ca="1">D107+1</f>
        <v>14</v>
      </c>
      <c r="F107" s="1509">
        <f t="shared" ref="F107:O107" ca="1" si="56">E107+1</f>
        <v>15</v>
      </c>
      <c r="G107" s="1509">
        <f t="shared" ca="1" si="56"/>
        <v>16</v>
      </c>
      <c r="H107" s="1509">
        <f t="shared" ca="1" si="56"/>
        <v>17</v>
      </c>
      <c r="I107" s="1509">
        <f t="shared" ca="1" si="56"/>
        <v>18</v>
      </c>
      <c r="J107" s="1509">
        <f t="shared" ca="1" si="56"/>
        <v>19</v>
      </c>
      <c r="K107" s="1509">
        <f t="shared" ca="1" si="56"/>
        <v>20</v>
      </c>
      <c r="L107" s="1509">
        <f t="shared" ca="1" si="56"/>
        <v>21</v>
      </c>
      <c r="M107" s="1509">
        <f t="shared" ca="1" si="56"/>
        <v>22</v>
      </c>
      <c r="N107" s="1509">
        <f t="shared" ca="1" si="56"/>
        <v>23</v>
      </c>
      <c r="O107" s="1509">
        <f t="shared" ca="1" si="56"/>
        <v>24</v>
      </c>
      <c r="P107" s="1510"/>
      <c r="S107" s="481"/>
      <c r="T107" s="479"/>
      <c r="U107" s="479"/>
      <c r="V107" s="479"/>
      <c r="W107" s="479"/>
      <c r="X107" s="479"/>
      <c r="Y107" s="479"/>
      <c r="Z107" s="479"/>
      <c r="AA107" s="479"/>
      <c r="AB107" s="479"/>
      <c r="CQ107" s="387"/>
      <c r="CR107" s="387"/>
      <c r="CS107" s="387"/>
      <c r="CT107" s="387"/>
      <c r="CU107" s="233"/>
      <c r="CV107" s="189"/>
      <c r="CW107" s="180"/>
      <c r="CX107" s="387"/>
      <c r="CY107" s="387"/>
      <c r="CZ107" s="387"/>
      <c r="DA107" s="387"/>
      <c r="DB107" s="387"/>
      <c r="DC107" s="387"/>
      <c r="DD107" s="387"/>
      <c r="DE107" s="387"/>
      <c r="DF107" s="387"/>
      <c r="DG107" s="387"/>
      <c r="DH107" s="387"/>
      <c r="DI107" s="387"/>
      <c r="DJ107" s="387"/>
      <c r="DK107" s="387"/>
      <c r="DL107" s="387"/>
      <c r="DM107" s="387"/>
      <c r="DN107" s="387"/>
      <c r="DO107" s="387"/>
      <c r="DP107" s="387"/>
      <c r="DQ107" s="387"/>
      <c r="DR107" s="387"/>
    </row>
    <row r="108" spans="2:122" s="478" customFormat="1" ht="15" thickBot="1" x14ac:dyDescent="0.25">
      <c r="B108" s="1613">
        <f ca="1">'1 Pers.Ausgaben|Pers Expenses'!C4+1</f>
        <v>2020</v>
      </c>
      <c r="C108" s="1614"/>
      <c r="D108" s="58" t="s">
        <v>1</v>
      </c>
      <c r="E108" s="53" t="s">
        <v>2</v>
      </c>
      <c r="F108" s="53" t="s">
        <v>3</v>
      </c>
      <c r="G108" s="53" t="s">
        <v>4</v>
      </c>
      <c r="H108" s="53" t="s">
        <v>5</v>
      </c>
      <c r="I108" s="53" t="s">
        <v>6</v>
      </c>
      <c r="J108" s="53" t="s">
        <v>7</v>
      </c>
      <c r="K108" s="53" t="s">
        <v>8</v>
      </c>
      <c r="L108" s="53" t="s">
        <v>9</v>
      </c>
      <c r="M108" s="53" t="s">
        <v>10</v>
      </c>
      <c r="N108" s="53" t="s">
        <v>11</v>
      </c>
      <c r="O108" s="53" t="s">
        <v>12</v>
      </c>
      <c r="P108" s="54" t="s">
        <v>782</v>
      </c>
      <c r="S108" s="481"/>
      <c r="T108" s="479"/>
      <c r="U108" s="479"/>
      <c r="V108" s="479"/>
      <c r="W108" s="479"/>
      <c r="X108" s="479"/>
      <c r="Y108" s="479"/>
      <c r="Z108" s="479"/>
      <c r="AA108" s="479"/>
      <c r="AB108" s="479"/>
      <c r="CQ108" s="387"/>
      <c r="CR108" s="387"/>
      <c r="CS108" s="387"/>
      <c r="CT108" s="387"/>
      <c r="CU108" s="233"/>
      <c r="CV108" s="189"/>
      <c r="CW108" s="180"/>
      <c r="CX108" s="387"/>
      <c r="CY108" s="387"/>
      <c r="CZ108" s="387"/>
      <c r="DA108" s="387"/>
      <c r="DB108" s="387"/>
      <c r="DC108" s="387"/>
      <c r="DD108" s="387"/>
      <c r="DE108" s="387"/>
      <c r="DF108" s="387"/>
      <c r="DG108" s="387"/>
      <c r="DH108" s="387"/>
      <c r="DI108" s="387"/>
      <c r="DJ108" s="387"/>
      <c r="DK108" s="387"/>
      <c r="DL108" s="387"/>
      <c r="DM108" s="387"/>
      <c r="DN108" s="387"/>
      <c r="DO108" s="387"/>
      <c r="DP108" s="387"/>
      <c r="DQ108" s="387"/>
      <c r="DR108" s="387"/>
    </row>
    <row r="109" spans="2:122" s="478" customFormat="1" x14ac:dyDescent="0.2">
      <c r="B109" s="1625" t="str">
        <f>B97</f>
        <v>Investitionsgut 1</v>
      </c>
      <c r="C109" s="1626"/>
      <c r="D109" s="1513">
        <f ca="1">IF($G97="x",0,IF(OR(D$107&lt;$E97,D$107&gt;$I97),0,$H97))</f>
        <v>0</v>
      </c>
      <c r="E109" s="1513">
        <f t="shared" ref="E109:O109" ca="1" si="57">IF($G97="x",0,IF(OR(E$107&lt;$E97,E$107&gt;$I97),0,$H97))</f>
        <v>0</v>
      </c>
      <c r="F109" s="1513">
        <f t="shared" ca="1" si="57"/>
        <v>0</v>
      </c>
      <c r="G109" s="1513">
        <f t="shared" ca="1" si="57"/>
        <v>0</v>
      </c>
      <c r="H109" s="1513">
        <f t="shared" ca="1" si="57"/>
        <v>0</v>
      </c>
      <c r="I109" s="1513">
        <f t="shared" ca="1" si="57"/>
        <v>0</v>
      </c>
      <c r="J109" s="1513">
        <f t="shared" ca="1" si="57"/>
        <v>0</v>
      </c>
      <c r="K109" s="1513">
        <f t="shared" ca="1" si="57"/>
        <v>0</v>
      </c>
      <c r="L109" s="1513">
        <f t="shared" ca="1" si="57"/>
        <v>0</v>
      </c>
      <c r="M109" s="1513">
        <f t="shared" ca="1" si="57"/>
        <v>0</v>
      </c>
      <c r="N109" s="1513">
        <f t="shared" ca="1" si="57"/>
        <v>0</v>
      </c>
      <c r="O109" s="1513">
        <f t="shared" ca="1" si="57"/>
        <v>0</v>
      </c>
      <c r="P109" s="1512">
        <f ca="1">SUM(D109:O109)</f>
        <v>0</v>
      </c>
      <c r="S109" s="481"/>
      <c r="T109" s="479"/>
      <c r="U109" s="479"/>
      <c r="V109" s="479"/>
      <c r="W109" s="479"/>
      <c r="X109" s="479"/>
      <c r="Y109" s="479"/>
      <c r="Z109" s="479"/>
      <c r="AA109" s="479"/>
      <c r="AB109" s="479"/>
      <c r="CQ109" s="387"/>
      <c r="CR109" s="387"/>
      <c r="CS109" s="387"/>
      <c r="CT109" s="387"/>
      <c r="CU109" s="233"/>
      <c r="CV109" s="189"/>
      <c r="CW109" s="180"/>
      <c r="CX109" s="387"/>
      <c r="CY109" s="387"/>
      <c r="CZ109" s="387"/>
      <c r="DA109" s="387"/>
      <c r="DB109" s="387"/>
      <c r="DC109" s="387"/>
      <c r="DD109" s="387"/>
      <c r="DE109" s="387"/>
      <c r="DF109" s="387"/>
      <c r="DG109" s="387"/>
      <c r="DH109" s="387"/>
      <c r="DI109" s="387"/>
      <c r="DJ109" s="387"/>
      <c r="DK109" s="387"/>
      <c r="DL109" s="387"/>
      <c r="DM109" s="387"/>
      <c r="DN109" s="387"/>
      <c r="DO109" s="387"/>
      <c r="DP109" s="387"/>
      <c r="DQ109" s="387"/>
      <c r="DR109" s="387"/>
    </row>
    <row r="110" spans="2:122" s="480" customFormat="1" x14ac:dyDescent="0.2">
      <c r="B110" s="1625" t="str">
        <f t="shared" ref="B110:B115" si="58">B98</f>
        <v>Investitionsgut 2</v>
      </c>
      <c r="C110" s="1626"/>
      <c r="D110" s="1513">
        <f t="shared" ref="D110:O110" ca="1" si="59">IF($G98="x",0,IF(OR(D$107&lt;$E98,D$107&gt;$I98),0,$H98))</f>
        <v>0</v>
      </c>
      <c r="E110" s="1513">
        <f t="shared" ca="1" si="59"/>
        <v>0</v>
      </c>
      <c r="F110" s="1513">
        <f t="shared" ca="1" si="59"/>
        <v>0</v>
      </c>
      <c r="G110" s="1513">
        <f t="shared" ca="1" si="59"/>
        <v>0</v>
      </c>
      <c r="H110" s="1513">
        <f t="shared" ca="1" si="59"/>
        <v>0</v>
      </c>
      <c r="I110" s="1513">
        <f t="shared" ca="1" si="59"/>
        <v>0</v>
      </c>
      <c r="J110" s="1513">
        <f t="shared" ca="1" si="59"/>
        <v>0</v>
      </c>
      <c r="K110" s="1513">
        <f t="shared" ca="1" si="59"/>
        <v>0</v>
      </c>
      <c r="L110" s="1513">
        <f t="shared" ca="1" si="59"/>
        <v>0</v>
      </c>
      <c r="M110" s="1513">
        <f t="shared" ca="1" si="59"/>
        <v>0</v>
      </c>
      <c r="N110" s="1513">
        <f t="shared" ca="1" si="59"/>
        <v>0</v>
      </c>
      <c r="O110" s="1513">
        <f t="shared" ca="1" si="59"/>
        <v>0</v>
      </c>
      <c r="P110" s="1514">
        <f t="shared" ref="P110:P114" ca="1" si="60">SUM(D110:O110)</f>
        <v>0</v>
      </c>
      <c r="S110" s="481"/>
      <c r="T110" s="481"/>
      <c r="U110" s="481"/>
      <c r="V110" s="481"/>
      <c r="W110" s="481"/>
      <c r="X110" s="481"/>
      <c r="Y110" s="481"/>
      <c r="Z110" s="481"/>
      <c r="AA110" s="481"/>
      <c r="AB110" s="481"/>
      <c r="CQ110" s="399"/>
      <c r="CR110" s="399"/>
      <c r="CS110" s="399"/>
      <c r="CT110" s="399"/>
      <c r="CU110" s="483"/>
      <c r="CV110" s="568"/>
      <c r="CW110" s="382"/>
      <c r="CX110" s="399"/>
      <c r="CY110" s="399"/>
      <c r="CZ110" s="399"/>
      <c r="DA110" s="399"/>
      <c r="DB110" s="399"/>
      <c r="DC110" s="399"/>
      <c r="DD110" s="399"/>
      <c r="DE110" s="399"/>
      <c r="DF110" s="399"/>
      <c r="DG110" s="399"/>
      <c r="DH110" s="399"/>
      <c r="DI110" s="399"/>
      <c r="DJ110" s="399"/>
      <c r="DK110" s="399"/>
      <c r="DL110" s="399"/>
      <c r="DM110" s="399"/>
      <c r="DN110" s="399"/>
      <c r="DO110" s="399"/>
      <c r="DP110" s="399"/>
      <c r="DQ110" s="399"/>
      <c r="DR110" s="399"/>
    </row>
    <row r="111" spans="2:122" s="208" customFormat="1" x14ac:dyDescent="0.2">
      <c r="B111" s="1625" t="str">
        <f t="shared" si="58"/>
        <v>Investitionsgut 3</v>
      </c>
      <c r="C111" s="1626"/>
      <c r="D111" s="1513">
        <f t="shared" ref="D111:O111" ca="1" si="61">IF($G99="x",0,IF(OR(D$107&lt;$E99,D$107&gt;$I99),0,$H99))</f>
        <v>0</v>
      </c>
      <c r="E111" s="1513">
        <f t="shared" ca="1" si="61"/>
        <v>0</v>
      </c>
      <c r="F111" s="1513">
        <f t="shared" ca="1" si="61"/>
        <v>0</v>
      </c>
      <c r="G111" s="1513">
        <f t="shared" ca="1" si="61"/>
        <v>0</v>
      </c>
      <c r="H111" s="1513">
        <f t="shared" ca="1" si="61"/>
        <v>0</v>
      </c>
      <c r="I111" s="1513">
        <f t="shared" ca="1" si="61"/>
        <v>0</v>
      </c>
      <c r="J111" s="1513">
        <f t="shared" ca="1" si="61"/>
        <v>0</v>
      </c>
      <c r="K111" s="1513">
        <f t="shared" ca="1" si="61"/>
        <v>0</v>
      </c>
      <c r="L111" s="1513">
        <f t="shared" ca="1" si="61"/>
        <v>0</v>
      </c>
      <c r="M111" s="1513">
        <f t="shared" ca="1" si="61"/>
        <v>0</v>
      </c>
      <c r="N111" s="1513">
        <f t="shared" ca="1" si="61"/>
        <v>0</v>
      </c>
      <c r="O111" s="1513">
        <f t="shared" ca="1" si="61"/>
        <v>0</v>
      </c>
      <c r="P111" s="1514">
        <f t="shared" ca="1" si="60"/>
        <v>0</v>
      </c>
      <c r="S111" s="1222"/>
      <c r="T111" s="1222"/>
      <c r="U111" s="1222"/>
      <c r="V111" s="1222"/>
      <c r="W111" s="1222"/>
      <c r="X111" s="1222"/>
      <c r="Y111" s="1222"/>
      <c r="Z111" s="1222"/>
      <c r="AA111" s="1222"/>
      <c r="AB111" s="1222"/>
      <c r="CQ111" s="382"/>
      <c r="CR111" s="382"/>
      <c r="CS111" s="382"/>
      <c r="CT111" s="382"/>
      <c r="CU111" s="568"/>
      <c r="CV111" s="568"/>
      <c r="CW111" s="382"/>
      <c r="CX111" s="382"/>
      <c r="CY111" s="382"/>
      <c r="CZ111" s="382"/>
      <c r="DA111" s="382"/>
      <c r="DB111" s="382"/>
      <c r="DC111" s="382"/>
      <c r="DD111" s="382"/>
      <c r="DE111" s="382"/>
      <c r="DF111" s="382"/>
      <c r="DG111" s="382"/>
      <c r="DH111" s="382"/>
      <c r="DI111" s="382"/>
      <c r="DJ111" s="382"/>
      <c r="DK111" s="382"/>
      <c r="DL111" s="382"/>
      <c r="DM111" s="382"/>
      <c r="DN111" s="382"/>
      <c r="DO111" s="382"/>
      <c r="DP111" s="382"/>
      <c r="DQ111" s="382"/>
      <c r="DR111" s="382"/>
    </row>
    <row r="112" spans="2:122" s="208" customFormat="1" x14ac:dyDescent="0.2">
      <c r="B112" s="1625" t="str">
        <f t="shared" si="58"/>
        <v>Investitionsgut 4</v>
      </c>
      <c r="C112" s="1626"/>
      <c r="D112" s="1513">
        <f t="shared" ref="D112:O112" ca="1" si="62">IF($G100="x",0,IF(OR(D$107&lt;$E100,D$107&gt;$I100),0,$H100))</f>
        <v>0</v>
      </c>
      <c r="E112" s="1513">
        <f t="shared" ca="1" si="62"/>
        <v>0</v>
      </c>
      <c r="F112" s="1513">
        <f t="shared" ca="1" si="62"/>
        <v>0</v>
      </c>
      <c r="G112" s="1513">
        <f t="shared" ca="1" si="62"/>
        <v>0</v>
      </c>
      <c r="H112" s="1513">
        <f t="shared" ca="1" si="62"/>
        <v>0</v>
      </c>
      <c r="I112" s="1513">
        <f t="shared" ca="1" si="62"/>
        <v>0</v>
      </c>
      <c r="J112" s="1513">
        <f t="shared" ca="1" si="62"/>
        <v>0</v>
      </c>
      <c r="K112" s="1513">
        <f t="shared" ca="1" si="62"/>
        <v>0</v>
      </c>
      <c r="L112" s="1513">
        <f t="shared" ca="1" si="62"/>
        <v>0</v>
      </c>
      <c r="M112" s="1513">
        <f t="shared" ca="1" si="62"/>
        <v>0</v>
      </c>
      <c r="N112" s="1513">
        <f t="shared" ca="1" si="62"/>
        <v>0</v>
      </c>
      <c r="O112" s="1513">
        <f t="shared" ca="1" si="62"/>
        <v>0</v>
      </c>
      <c r="P112" s="1514">
        <f t="shared" ca="1" si="60"/>
        <v>0</v>
      </c>
      <c r="S112" s="1222"/>
      <c r="T112" s="1222"/>
      <c r="U112" s="1222"/>
      <c r="V112" s="1222"/>
      <c r="W112" s="1222"/>
      <c r="X112" s="1222"/>
      <c r="Y112" s="1222"/>
      <c r="Z112" s="1222"/>
      <c r="AA112" s="1222"/>
      <c r="AB112" s="1222"/>
      <c r="CQ112" s="382"/>
      <c r="CR112" s="382"/>
      <c r="CS112" s="382"/>
      <c r="CT112" s="382"/>
      <c r="CU112" s="568"/>
      <c r="CV112" s="568"/>
      <c r="CW112" s="382"/>
      <c r="CX112" s="382"/>
      <c r="CY112" s="382"/>
      <c r="CZ112" s="382"/>
      <c r="DA112" s="382"/>
      <c r="DB112" s="382"/>
      <c r="DC112" s="382"/>
      <c r="DD112" s="382"/>
      <c r="DE112" s="382"/>
      <c r="DF112" s="382"/>
      <c r="DG112" s="382"/>
      <c r="DH112" s="382"/>
      <c r="DI112" s="382"/>
      <c r="DJ112" s="382"/>
      <c r="DK112" s="382"/>
      <c r="DL112" s="382"/>
      <c r="DM112" s="382"/>
      <c r="DN112" s="382"/>
      <c r="DO112" s="382"/>
      <c r="DP112" s="382"/>
      <c r="DQ112" s="382"/>
      <c r="DR112" s="382"/>
    </row>
    <row r="113" spans="1:122" s="208" customFormat="1" x14ac:dyDescent="0.2">
      <c r="B113" s="1625" t="str">
        <f t="shared" si="58"/>
        <v>Investitionsgut 5</v>
      </c>
      <c r="C113" s="1626"/>
      <c r="D113" s="1513">
        <f t="shared" ref="D113:O113" ca="1" si="63">IF($G101="x",0,IF(OR(D$107&lt;$E101,D$107&gt;$I101),0,$H101))</f>
        <v>0</v>
      </c>
      <c r="E113" s="1513">
        <f t="shared" ca="1" si="63"/>
        <v>0</v>
      </c>
      <c r="F113" s="1513">
        <f t="shared" ca="1" si="63"/>
        <v>0</v>
      </c>
      <c r="G113" s="1513">
        <f t="shared" ca="1" si="63"/>
        <v>0</v>
      </c>
      <c r="H113" s="1513">
        <f t="shared" ca="1" si="63"/>
        <v>0</v>
      </c>
      <c r="I113" s="1513">
        <f t="shared" ca="1" si="63"/>
        <v>0</v>
      </c>
      <c r="J113" s="1513">
        <f t="shared" ca="1" si="63"/>
        <v>0</v>
      </c>
      <c r="K113" s="1513">
        <f t="shared" ca="1" si="63"/>
        <v>0</v>
      </c>
      <c r="L113" s="1513">
        <f t="shared" ca="1" si="63"/>
        <v>0</v>
      </c>
      <c r="M113" s="1513">
        <f t="shared" ca="1" si="63"/>
        <v>0</v>
      </c>
      <c r="N113" s="1513">
        <f t="shared" ca="1" si="63"/>
        <v>0</v>
      </c>
      <c r="O113" s="1513">
        <f t="shared" ca="1" si="63"/>
        <v>0</v>
      </c>
      <c r="P113" s="1514">
        <f t="shared" ca="1" si="60"/>
        <v>0</v>
      </c>
      <c r="S113" s="1222"/>
      <c r="T113" s="1222"/>
      <c r="U113" s="1222"/>
      <c r="V113" s="1222"/>
      <c r="W113" s="1222"/>
      <c r="X113" s="1222"/>
      <c r="Y113" s="1222"/>
      <c r="Z113" s="1222"/>
      <c r="AA113" s="1222"/>
      <c r="AB113" s="1222"/>
      <c r="CQ113" s="382"/>
      <c r="CR113" s="382"/>
      <c r="CS113" s="382"/>
      <c r="CT113" s="382"/>
      <c r="CU113" s="568"/>
      <c r="CV113" s="568"/>
      <c r="CW113" s="382"/>
      <c r="CX113" s="382"/>
      <c r="CY113" s="382"/>
      <c r="CZ113" s="382"/>
      <c r="DA113" s="382"/>
      <c r="DB113" s="382"/>
      <c r="DC113" s="382"/>
      <c r="DD113" s="382"/>
      <c r="DE113" s="382"/>
      <c r="DF113" s="382"/>
      <c r="DG113" s="382"/>
      <c r="DH113" s="382"/>
      <c r="DI113" s="382"/>
      <c r="DJ113" s="382"/>
      <c r="DK113" s="382"/>
      <c r="DL113" s="382"/>
      <c r="DM113" s="382"/>
      <c r="DN113" s="382"/>
      <c r="DO113" s="382"/>
      <c r="DP113" s="382"/>
      <c r="DQ113" s="382"/>
      <c r="DR113" s="382"/>
    </row>
    <row r="114" spans="1:122" s="480" customFormat="1" ht="17.25" customHeight="1" x14ac:dyDescent="0.2">
      <c r="B114" s="1625" t="str">
        <f t="shared" si="58"/>
        <v>Investitionsgut 6</v>
      </c>
      <c r="C114" s="1626"/>
      <c r="D114" s="1513">
        <f t="shared" ref="D114:O114" ca="1" si="64">IF($G102="x",0,IF(OR(D$107&lt;$E102,D$107&gt;$I102),0,$H102))</f>
        <v>0</v>
      </c>
      <c r="E114" s="1513">
        <f t="shared" ca="1" si="64"/>
        <v>0</v>
      </c>
      <c r="F114" s="1513">
        <f t="shared" ca="1" si="64"/>
        <v>0</v>
      </c>
      <c r="G114" s="1513">
        <f t="shared" ca="1" si="64"/>
        <v>0</v>
      </c>
      <c r="H114" s="1513">
        <f t="shared" ca="1" si="64"/>
        <v>0</v>
      </c>
      <c r="I114" s="1513">
        <f t="shared" ca="1" si="64"/>
        <v>0</v>
      </c>
      <c r="J114" s="1513">
        <f t="shared" ca="1" si="64"/>
        <v>0</v>
      </c>
      <c r="K114" s="1513">
        <f t="shared" ca="1" si="64"/>
        <v>0</v>
      </c>
      <c r="L114" s="1513">
        <f t="shared" ca="1" si="64"/>
        <v>0</v>
      </c>
      <c r="M114" s="1513">
        <f t="shared" ca="1" si="64"/>
        <v>0</v>
      </c>
      <c r="N114" s="1513">
        <f t="shared" ca="1" si="64"/>
        <v>0</v>
      </c>
      <c r="O114" s="1513">
        <f t="shared" ca="1" si="64"/>
        <v>0</v>
      </c>
      <c r="P114" s="1514">
        <f t="shared" ca="1" si="60"/>
        <v>0</v>
      </c>
      <c r="S114" s="481"/>
      <c r="T114" s="481"/>
      <c r="U114" s="481"/>
      <c r="V114" s="481"/>
      <c r="W114" s="481"/>
      <c r="X114" s="481"/>
      <c r="Y114" s="481"/>
      <c r="Z114" s="481"/>
      <c r="AA114" s="481"/>
      <c r="AB114" s="481"/>
      <c r="CQ114" s="399"/>
      <c r="CR114" s="399"/>
      <c r="CS114" s="399"/>
      <c r="CT114" s="399"/>
      <c r="CU114" s="483"/>
      <c r="CV114" s="483"/>
      <c r="CW114" s="399"/>
      <c r="CX114" s="399"/>
      <c r="CY114" s="399"/>
      <c r="CZ114" s="399"/>
      <c r="DA114" s="399"/>
      <c r="DB114" s="399"/>
      <c r="DC114" s="399"/>
      <c r="DD114" s="399"/>
      <c r="DE114" s="399"/>
      <c r="DF114" s="399"/>
      <c r="DG114" s="399"/>
      <c r="DH114" s="399"/>
      <c r="DI114" s="399"/>
      <c r="DJ114" s="399"/>
      <c r="DK114" s="399"/>
      <c r="DL114" s="399"/>
      <c r="DM114" s="399"/>
      <c r="DN114" s="399"/>
      <c r="DO114" s="399"/>
      <c r="DP114" s="399"/>
      <c r="DQ114" s="399"/>
      <c r="DR114" s="399"/>
    </row>
    <row r="115" spans="1:122" s="480" customFormat="1" x14ac:dyDescent="0.2">
      <c r="B115" s="1627" t="str">
        <f t="shared" si="58"/>
        <v>Investitionsgut 7</v>
      </c>
      <c r="C115" s="1628"/>
      <c r="D115" s="1513">
        <f t="shared" ref="D115:O115" ca="1" si="65">IF($G103="x",0,IF(OR(D$107&lt;$E103,D$107&gt;$I103),0,$H103))</f>
        <v>0</v>
      </c>
      <c r="E115" s="1513">
        <f t="shared" ca="1" si="65"/>
        <v>0</v>
      </c>
      <c r="F115" s="1513">
        <f t="shared" ca="1" si="65"/>
        <v>0</v>
      </c>
      <c r="G115" s="1513">
        <f t="shared" ca="1" si="65"/>
        <v>0</v>
      </c>
      <c r="H115" s="1513">
        <f t="shared" ca="1" si="65"/>
        <v>0</v>
      </c>
      <c r="I115" s="1513">
        <f t="shared" ca="1" si="65"/>
        <v>0</v>
      </c>
      <c r="J115" s="1513">
        <f t="shared" ca="1" si="65"/>
        <v>0</v>
      </c>
      <c r="K115" s="1513">
        <f t="shared" ca="1" si="65"/>
        <v>0</v>
      </c>
      <c r="L115" s="1513">
        <f t="shared" ca="1" si="65"/>
        <v>0</v>
      </c>
      <c r="M115" s="1513">
        <f t="shared" ca="1" si="65"/>
        <v>0</v>
      </c>
      <c r="N115" s="1513">
        <f t="shared" ca="1" si="65"/>
        <v>0</v>
      </c>
      <c r="O115" s="1513">
        <f t="shared" ca="1" si="65"/>
        <v>0</v>
      </c>
      <c r="P115" s="1523">
        <f ca="1">SUM(D115:O115)</f>
        <v>0</v>
      </c>
      <c r="Q115" s="1301"/>
      <c r="R115" s="1301"/>
      <c r="S115" s="1302"/>
      <c r="T115" s="481"/>
      <c r="U115" s="481"/>
      <c r="V115" s="481"/>
      <c r="W115" s="481"/>
      <c r="X115" s="481"/>
      <c r="Y115" s="481"/>
      <c r="Z115" s="481"/>
      <c r="AA115" s="481"/>
      <c r="AB115" s="481"/>
      <c r="CQ115" s="399"/>
      <c r="CR115" s="399"/>
      <c r="CS115" s="399"/>
      <c r="CT115" s="399"/>
      <c r="CU115" s="483"/>
      <c r="CV115" s="483"/>
      <c r="CW115" s="399"/>
      <c r="CX115" s="399"/>
      <c r="CY115" s="399"/>
      <c r="CZ115" s="399"/>
      <c r="DA115" s="399"/>
      <c r="DB115" s="399"/>
      <c r="DC115" s="399"/>
      <c r="DD115" s="399"/>
      <c r="DE115" s="399"/>
      <c r="DF115" s="399"/>
      <c r="DG115" s="399"/>
      <c r="DH115" s="399"/>
      <c r="DI115" s="399"/>
      <c r="DJ115" s="399"/>
      <c r="DK115" s="399"/>
      <c r="DL115" s="399"/>
      <c r="DM115" s="399"/>
      <c r="DN115" s="399"/>
      <c r="DO115" s="399"/>
      <c r="DP115" s="399"/>
      <c r="DQ115" s="399"/>
      <c r="DR115" s="399"/>
    </row>
    <row r="116" spans="1:122" s="480" customFormat="1" x14ac:dyDescent="0.2">
      <c r="B116" s="1629" t="str">
        <f>B90</f>
        <v>Sammelposten</v>
      </c>
      <c r="C116" s="1630"/>
      <c r="D116" s="1526">
        <f t="shared" ref="D116:O116" ca="1" si="66">IF($F104&lt;=D$107,$H104,"")</f>
        <v>0</v>
      </c>
      <c r="E116" s="1526">
        <f t="shared" ca="1" si="66"/>
        <v>0</v>
      </c>
      <c r="F116" s="1526">
        <f t="shared" ca="1" si="66"/>
        <v>0</v>
      </c>
      <c r="G116" s="1526">
        <f t="shared" ca="1" si="66"/>
        <v>0</v>
      </c>
      <c r="H116" s="1526">
        <f t="shared" ca="1" si="66"/>
        <v>0</v>
      </c>
      <c r="I116" s="1526">
        <f t="shared" ca="1" si="66"/>
        <v>0</v>
      </c>
      <c r="J116" s="1526">
        <f t="shared" ca="1" si="66"/>
        <v>0</v>
      </c>
      <c r="K116" s="1526">
        <f t="shared" ca="1" si="66"/>
        <v>0</v>
      </c>
      <c r="L116" s="1526">
        <f t="shared" ca="1" si="66"/>
        <v>0</v>
      </c>
      <c r="M116" s="1526">
        <f t="shared" ca="1" si="66"/>
        <v>0</v>
      </c>
      <c r="N116" s="1526">
        <f t="shared" ca="1" si="66"/>
        <v>0</v>
      </c>
      <c r="O116" s="1526">
        <f t="shared" ca="1" si="66"/>
        <v>0</v>
      </c>
      <c r="P116" s="1527">
        <f ca="1">SUM(D116:O116)</f>
        <v>0</v>
      </c>
      <c r="Q116" s="1301"/>
      <c r="R116" s="1301"/>
      <c r="S116" s="1302"/>
      <c r="T116" s="481"/>
      <c r="U116" s="481"/>
      <c r="V116" s="481"/>
      <c r="W116" s="481"/>
      <c r="X116" s="481"/>
      <c r="Y116" s="481"/>
      <c r="Z116" s="481"/>
      <c r="AA116" s="481"/>
      <c r="AB116" s="481"/>
      <c r="CQ116" s="399"/>
      <c r="CR116" s="399"/>
      <c r="CS116" s="399"/>
      <c r="CT116" s="399"/>
      <c r="CU116" s="483"/>
      <c r="CV116" s="483"/>
      <c r="CW116" s="399"/>
      <c r="CX116" s="399"/>
      <c r="CY116" s="399"/>
      <c r="CZ116" s="399"/>
      <c r="DA116" s="399"/>
      <c r="DB116" s="399"/>
      <c r="DC116" s="399"/>
      <c r="DD116" s="399"/>
      <c r="DE116" s="399"/>
      <c r="DF116" s="399"/>
      <c r="DG116" s="399"/>
      <c r="DH116" s="399"/>
      <c r="DI116" s="399"/>
      <c r="DJ116" s="399"/>
      <c r="DK116" s="399"/>
      <c r="DL116" s="399"/>
      <c r="DM116" s="399"/>
      <c r="DN116" s="399"/>
      <c r="DO116" s="399"/>
      <c r="DP116" s="399"/>
      <c r="DQ116" s="399"/>
      <c r="DR116" s="399"/>
    </row>
    <row r="117" spans="1:122" s="176" customFormat="1" ht="15" thickBot="1" x14ac:dyDescent="0.25">
      <c r="B117" s="1528" t="str">
        <f>"Summe" &amp;" "&amp;B116</f>
        <v>Summe Sammelposten</v>
      </c>
      <c r="C117" s="1529"/>
      <c r="D117" s="1530">
        <f ca="1">D116+D91</f>
        <v>0</v>
      </c>
      <c r="E117" s="1530">
        <f t="shared" ref="E117:O117" ca="1" si="67">E116+E91</f>
        <v>0</v>
      </c>
      <c r="F117" s="1530">
        <f t="shared" ca="1" si="67"/>
        <v>0</v>
      </c>
      <c r="G117" s="1530">
        <f t="shared" ca="1" si="67"/>
        <v>0</v>
      </c>
      <c r="H117" s="1530">
        <f t="shared" ca="1" si="67"/>
        <v>0</v>
      </c>
      <c r="I117" s="1530">
        <f t="shared" ca="1" si="67"/>
        <v>0</v>
      </c>
      <c r="J117" s="1530">
        <f t="shared" ca="1" si="67"/>
        <v>0</v>
      </c>
      <c r="K117" s="1530">
        <f t="shared" ca="1" si="67"/>
        <v>0</v>
      </c>
      <c r="L117" s="1530">
        <f t="shared" ca="1" si="67"/>
        <v>0</v>
      </c>
      <c r="M117" s="1530">
        <f t="shared" ca="1" si="67"/>
        <v>0</v>
      </c>
      <c r="N117" s="1530">
        <f t="shared" ca="1" si="67"/>
        <v>0</v>
      </c>
      <c r="O117" s="1530">
        <f t="shared" ca="1" si="67"/>
        <v>0</v>
      </c>
      <c r="P117" s="1532">
        <f ca="1">SUM(D117:O117)</f>
        <v>0</v>
      </c>
      <c r="S117" s="206"/>
      <c r="CQ117" s="179"/>
      <c r="CR117" s="179"/>
      <c r="CS117" s="179"/>
      <c r="CT117" s="179"/>
      <c r="CU117" s="228"/>
      <c r="CV117" s="189"/>
      <c r="CW117" s="180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</row>
    <row r="118" spans="1:122" s="480" customFormat="1" ht="15.75" thickTop="1" thickBot="1" x14ac:dyDescent="0.25">
      <c r="A118" s="1511"/>
      <c r="B118" s="1615" t="str">
        <f>B92</f>
        <v>Summe Abschreibungen</v>
      </c>
      <c r="C118" s="1616"/>
      <c r="D118" s="1524">
        <f ca="1">SUM(D109:D115)+D117</f>
        <v>0</v>
      </c>
      <c r="E118" s="1524">
        <f t="shared" ref="E118" ca="1" si="68">SUM(E109:E115)+E117</f>
        <v>0</v>
      </c>
      <c r="F118" s="1524">
        <f t="shared" ref="F118" ca="1" si="69">SUM(F109:F115)+F117</f>
        <v>0</v>
      </c>
      <c r="G118" s="1524">
        <f t="shared" ref="G118" ca="1" si="70">SUM(G109:G115)+G117</f>
        <v>0</v>
      </c>
      <c r="H118" s="1524">
        <f t="shared" ref="H118" ca="1" si="71">SUM(H109:H115)+H117</f>
        <v>0</v>
      </c>
      <c r="I118" s="1524">
        <f t="shared" ref="I118" ca="1" si="72">SUM(I109:I115)+I117</f>
        <v>0</v>
      </c>
      <c r="J118" s="1524">
        <f t="shared" ref="J118" ca="1" si="73">SUM(J109:J115)+J117</f>
        <v>0</v>
      </c>
      <c r="K118" s="1524">
        <f t="shared" ref="K118" ca="1" si="74">SUM(K109:K115)+K117</f>
        <v>0</v>
      </c>
      <c r="L118" s="1524">
        <f t="shared" ref="L118" ca="1" si="75">SUM(L109:L115)+L117</f>
        <v>0</v>
      </c>
      <c r="M118" s="1524">
        <f t="shared" ref="M118" ca="1" si="76">SUM(M109:M115)+M117</f>
        <v>0</v>
      </c>
      <c r="N118" s="1524">
        <f t="shared" ref="N118" ca="1" si="77">SUM(N109:N115)+N117</f>
        <v>0</v>
      </c>
      <c r="O118" s="1524">
        <f t="shared" ref="O118" ca="1" si="78">SUM(O109:O115)+O117</f>
        <v>0</v>
      </c>
      <c r="P118" s="1525">
        <f ca="1">SUM(D118:O118)</f>
        <v>0</v>
      </c>
      <c r="Q118" s="1301"/>
      <c r="R118" s="1301"/>
      <c r="S118" s="1302"/>
      <c r="T118" s="481"/>
      <c r="U118" s="481"/>
      <c r="V118" s="481"/>
      <c r="W118" s="481"/>
      <c r="X118" s="481"/>
      <c r="Y118" s="481"/>
      <c r="Z118" s="481"/>
      <c r="AA118" s="481"/>
      <c r="AB118" s="481"/>
      <c r="CQ118" s="399"/>
      <c r="CR118" s="399"/>
      <c r="CS118" s="399"/>
      <c r="CT118" s="399"/>
      <c r="CU118" s="483"/>
      <c r="CV118" s="483"/>
      <c r="CW118" s="399"/>
      <c r="CX118" s="399"/>
      <c r="CY118" s="399"/>
      <c r="CZ118" s="399"/>
      <c r="DA118" s="399"/>
      <c r="DB118" s="399"/>
      <c r="DC118" s="399"/>
      <c r="DD118" s="399"/>
      <c r="DE118" s="399"/>
      <c r="DF118" s="399"/>
      <c r="DG118" s="399"/>
      <c r="DH118" s="399"/>
      <c r="DI118" s="399"/>
      <c r="DJ118" s="399"/>
      <c r="DK118" s="399"/>
      <c r="DL118" s="399"/>
      <c r="DM118" s="399"/>
      <c r="DN118" s="399"/>
      <c r="DO118" s="399"/>
      <c r="DP118" s="399"/>
      <c r="DQ118" s="399"/>
      <c r="DR118" s="399"/>
    </row>
    <row r="119" spans="1:122" s="480" customFormat="1" x14ac:dyDescent="0.2">
      <c r="B119" s="186"/>
      <c r="C119" s="1511"/>
      <c r="D119" s="1511"/>
      <c r="E119" s="1511"/>
      <c r="F119" s="1511"/>
      <c r="G119" s="1511"/>
      <c r="H119" s="1511"/>
      <c r="I119" s="1511"/>
      <c r="J119" s="1511"/>
      <c r="K119" s="1511"/>
      <c r="L119" s="1511"/>
      <c r="M119" s="1511"/>
      <c r="N119" s="1511"/>
      <c r="O119" s="1522"/>
      <c r="P119" s="1299"/>
      <c r="Q119" s="1301"/>
      <c r="R119" s="1301"/>
      <c r="S119" s="1302"/>
      <c r="T119" s="481"/>
      <c r="U119" s="481"/>
      <c r="V119" s="481"/>
      <c r="W119" s="481"/>
      <c r="X119" s="481"/>
      <c r="Y119" s="481"/>
      <c r="Z119" s="481"/>
      <c r="AA119" s="481"/>
      <c r="AB119" s="481"/>
      <c r="CQ119" s="399"/>
      <c r="CR119" s="399"/>
      <c r="CS119" s="399"/>
      <c r="CT119" s="399"/>
      <c r="CU119" s="483"/>
      <c r="CV119" s="483"/>
      <c r="CW119" s="399"/>
      <c r="CX119" s="399"/>
      <c r="CY119" s="399"/>
      <c r="CZ119" s="399"/>
      <c r="DA119" s="399"/>
      <c r="DB119" s="399"/>
      <c r="DC119" s="399"/>
      <c r="DD119" s="399"/>
      <c r="DE119" s="399"/>
      <c r="DF119" s="399"/>
      <c r="DG119" s="399"/>
      <c r="DH119" s="399"/>
      <c r="DI119" s="399"/>
      <c r="DJ119" s="399"/>
      <c r="DK119" s="399"/>
      <c r="DL119" s="399"/>
      <c r="DM119" s="399"/>
      <c r="DN119" s="399"/>
      <c r="DO119" s="399"/>
      <c r="DP119" s="399"/>
      <c r="DQ119" s="399"/>
      <c r="DR119" s="399"/>
    </row>
    <row r="120" spans="1:122" s="480" customFormat="1" x14ac:dyDescent="0.2">
      <c r="B120" s="186"/>
      <c r="C120" s="1511"/>
      <c r="D120" s="1511"/>
      <c r="E120" s="1511"/>
      <c r="F120" s="1511"/>
      <c r="G120" s="1511"/>
      <c r="H120" s="1511"/>
      <c r="I120" s="1511"/>
      <c r="J120" s="1511"/>
      <c r="K120" s="1511"/>
      <c r="L120" s="1511"/>
      <c r="M120" s="1511"/>
      <c r="N120" s="1511"/>
      <c r="O120" s="1522"/>
      <c r="P120" s="1299"/>
      <c r="Q120" s="1301"/>
      <c r="R120" s="1301"/>
      <c r="S120" s="1302"/>
      <c r="T120" s="481"/>
      <c r="U120" s="481"/>
      <c r="V120" s="481"/>
      <c r="W120" s="481"/>
      <c r="X120" s="481"/>
      <c r="Y120" s="481"/>
      <c r="Z120" s="481"/>
      <c r="AA120" s="481"/>
      <c r="AB120" s="481"/>
      <c r="CQ120" s="399"/>
      <c r="CR120" s="399"/>
      <c r="CS120" s="399"/>
      <c r="CT120" s="399"/>
      <c r="CU120" s="483"/>
      <c r="CV120" s="483"/>
      <c r="CW120" s="399"/>
      <c r="CX120" s="399"/>
      <c r="CY120" s="399"/>
      <c r="CZ120" s="399"/>
      <c r="DA120" s="399"/>
      <c r="DB120" s="399"/>
      <c r="DC120" s="399"/>
      <c r="DD120" s="399"/>
      <c r="DE120" s="399"/>
      <c r="DF120" s="399"/>
      <c r="DG120" s="399"/>
      <c r="DH120" s="399"/>
      <c r="DI120" s="399"/>
      <c r="DJ120" s="399"/>
      <c r="DK120" s="399"/>
      <c r="DL120" s="399"/>
      <c r="DM120" s="399"/>
      <c r="DN120" s="399"/>
      <c r="DO120" s="399"/>
      <c r="DP120" s="399"/>
      <c r="DQ120" s="399"/>
      <c r="DR120" s="399"/>
    </row>
    <row r="121" spans="1:122" s="480" customFormat="1" ht="15" thickBot="1" x14ac:dyDescent="0.25">
      <c r="B121" s="186"/>
      <c r="C121" s="1511"/>
      <c r="D121" s="1511"/>
      <c r="E121" s="1511"/>
      <c r="F121" s="1511"/>
      <c r="G121" s="1511"/>
      <c r="H121" s="1511"/>
      <c r="I121" s="1511"/>
      <c r="J121" s="1511"/>
      <c r="K121" s="1511"/>
      <c r="L121" s="1511"/>
      <c r="M121" s="1511"/>
      <c r="N121" s="1511"/>
      <c r="O121" s="1522"/>
      <c r="P121" s="1299"/>
      <c r="Q121" s="1301"/>
      <c r="R121" s="1301"/>
      <c r="S121" s="1302"/>
      <c r="T121" s="481"/>
      <c r="U121" s="481"/>
      <c r="V121" s="481"/>
      <c r="W121" s="481"/>
      <c r="X121" s="481"/>
      <c r="Y121" s="481"/>
      <c r="Z121" s="481"/>
      <c r="AA121" s="481"/>
      <c r="AB121" s="481"/>
      <c r="CQ121" s="399"/>
      <c r="CR121" s="399"/>
      <c r="CS121" s="399"/>
      <c r="CT121" s="399"/>
      <c r="CU121" s="483"/>
      <c r="CV121" s="483"/>
      <c r="CW121" s="399"/>
      <c r="CX121" s="399"/>
      <c r="CY121" s="399"/>
      <c r="CZ121" s="399"/>
      <c r="DA121" s="399"/>
      <c r="DB121" s="399"/>
      <c r="DC121" s="399"/>
      <c r="DD121" s="399"/>
      <c r="DE121" s="399"/>
      <c r="DF121" s="399"/>
      <c r="DG121" s="399"/>
      <c r="DH121" s="399"/>
      <c r="DI121" s="399"/>
      <c r="DJ121" s="399"/>
      <c r="DK121" s="399"/>
      <c r="DL121" s="399"/>
      <c r="DM121" s="399"/>
      <c r="DN121" s="399"/>
      <c r="DO121" s="399"/>
      <c r="DP121" s="399"/>
      <c r="DQ121" s="399"/>
      <c r="DR121" s="399"/>
    </row>
    <row r="122" spans="1:122" s="480" customFormat="1" ht="28.15" customHeight="1" thickBot="1" x14ac:dyDescent="0.25">
      <c r="B122" s="1613" t="str">
        <f t="shared" ref="B122:B131" si="79">B96</f>
        <v>Anschaffungen</v>
      </c>
      <c r="C122" s="1614"/>
      <c r="D122" s="1515" t="str">
        <f ca="1">IF($C$2="English","Value      ","Betrag    ")&amp;'1 Pers.Ausgaben|Pers Expenses'!$C$4+2</f>
        <v>Betrag    2021</v>
      </c>
      <c r="E122" s="1516" t="str">
        <f>E96</f>
        <v>Investmonat</v>
      </c>
      <c r="F122" s="1517" t="str">
        <f ca="1">$E$70&amp;"   "&amp;B134</f>
        <v>Investmonat   2021</v>
      </c>
      <c r="G122" s="1517" t="str">
        <f>G96</f>
        <v>Jahre der
Abschreibung</v>
      </c>
      <c r="H122" s="1517" t="s">
        <v>781</v>
      </c>
      <c r="I122" s="1517" t="s">
        <v>783</v>
      </c>
      <c r="J122" s="1517" t="s">
        <v>787</v>
      </c>
      <c r="K122" s="403"/>
      <c r="L122" s="201"/>
      <c r="M122" s="403"/>
      <c r="N122" s="201"/>
      <c r="O122" s="1522"/>
      <c r="P122" s="1299"/>
      <c r="Q122" s="1301"/>
      <c r="R122" s="1301"/>
      <c r="S122" s="1302"/>
      <c r="T122" s="481"/>
      <c r="U122" s="481"/>
      <c r="V122" s="481"/>
      <c r="W122" s="481"/>
      <c r="X122" s="481"/>
      <c r="Y122" s="481"/>
      <c r="Z122" s="481"/>
      <c r="AA122" s="481"/>
      <c r="AB122" s="481"/>
      <c r="CQ122" s="399"/>
      <c r="CR122" s="399"/>
      <c r="CS122" s="399"/>
      <c r="CT122" s="399"/>
      <c r="CU122" s="483"/>
      <c r="CV122" s="483"/>
      <c r="CW122" s="399"/>
      <c r="CX122" s="399"/>
      <c r="CY122" s="399"/>
      <c r="CZ122" s="399"/>
      <c r="DA122" s="399"/>
      <c r="DB122" s="399"/>
      <c r="DC122" s="399"/>
      <c r="DD122" s="399"/>
      <c r="DE122" s="399"/>
      <c r="DF122" s="399"/>
      <c r="DG122" s="399"/>
      <c r="DH122" s="399"/>
      <c r="DI122" s="399"/>
      <c r="DJ122" s="399"/>
      <c r="DK122" s="399"/>
      <c r="DL122" s="399"/>
      <c r="DM122" s="399"/>
      <c r="DN122" s="399"/>
      <c r="DO122" s="399"/>
      <c r="DP122" s="399"/>
      <c r="DQ122" s="399"/>
      <c r="DR122" s="399"/>
    </row>
    <row r="123" spans="1:122" s="480" customFormat="1" x14ac:dyDescent="0.2">
      <c r="B123" s="1623" t="str">
        <f t="shared" si="79"/>
        <v>Investitionsgut 1</v>
      </c>
      <c r="C123" s="1624"/>
      <c r="D123" s="1536">
        <f t="shared" ref="D123:D129" si="80">I6</f>
        <v>0</v>
      </c>
      <c r="E123" s="1539">
        <f t="shared" ref="E123:E129" si="81">E97+F123</f>
        <v>0</v>
      </c>
      <c r="F123" s="1539">
        <f>IF(D123&gt;0,J6+($B$134-$B$82)*12,0)</f>
        <v>0</v>
      </c>
      <c r="G123" s="1537">
        <f t="shared" ref="G123:G129" si="82">P6</f>
        <v>0</v>
      </c>
      <c r="H123" s="1539">
        <f>IF(G123="x",0,IF(AND(E123&gt;0,D123=0),H97,IF(D123&gt;0,D123/(12*G123),0)))</f>
        <v>0</v>
      </c>
      <c r="I123" s="1537">
        <f>IF(G123="x",0,IF(D123&gt;0,E123+G123*12-1,IF(E123&gt;0,I97,0)))</f>
        <v>0</v>
      </c>
      <c r="J123" s="1518">
        <f>IF(G123="x",IF(D123&gt;0,D123,0),0)</f>
        <v>0</v>
      </c>
      <c r="K123" s="403"/>
      <c r="L123" s="201"/>
      <c r="M123" s="403"/>
      <c r="N123" s="201"/>
      <c r="O123" s="1522"/>
      <c r="P123" s="1299"/>
      <c r="Q123" s="1301"/>
      <c r="R123" s="1301"/>
      <c r="S123" s="1302"/>
      <c r="T123" s="481"/>
      <c r="U123" s="481"/>
      <c r="V123" s="481"/>
      <c r="W123" s="481"/>
      <c r="X123" s="481"/>
      <c r="Y123" s="481"/>
      <c r="Z123" s="481"/>
      <c r="AA123" s="481"/>
      <c r="AB123" s="481"/>
      <c r="CQ123" s="399"/>
      <c r="CR123" s="399"/>
      <c r="CS123" s="399"/>
      <c r="CT123" s="399"/>
      <c r="CU123" s="483"/>
      <c r="CV123" s="483"/>
      <c r="CW123" s="399"/>
      <c r="CX123" s="399"/>
      <c r="CY123" s="399"/>
      <c r="CZ123" s="399"/>
      <c r="DA123" s="399"/>
      <c r="DB123" s="399"/>
      <c r="DC123" s="399"/>
      <c r="DD123" s="399"/>
      <c r="DE123" s="399"/>
      <c r="DF123" s="399"/>
      <c r="DG123" s="399"/>
      <c r="DH123" s="399"/>
      <c r="DI123" s="399"/>
      <c r="DJ123" s="399"/>
      <c r="DK123" s="399"/>
      <c r="DL123" s="399"/>
      <c r="DM123" s="399"/>
      <c r="DN123" s="399"/>
      <c r="DO123" s="399"/>
      <c r="DP123" s="399"/>
      <c r="DQ123" s="399"/>
      <c r="DR123" s="399"/>
    </row>
    <row r="124" spans="1:122" s="480" customFormat="1" x14ac:dyDescent="0.2">
      <c r="B124" s="1617" t="str">
        <f t="shared" si="79"/>
        <v>Investitionsgut 2</v>
      </c>
      <c r="C124" s="1618"/>
      <c r="D124" s="1538">
        <f t="shared" si="80"/>
        <v>0</v>
      </c>
      <c r="E124" s="1539">
        <f t="shared" si="81"/>
        <v>0</v>
      </c>
      <c r="F124" s="1539">
        <f>IF(D124&gt;0,J7+($B$134-$B$82)*12,0)</f>
        <v>0</v>
      </c>
      <c r="G124" s="1539">
        <f t="shared" si="82"/>
        <v>0</v>
      </c>
      <c r="H124" s="1539">
        <f>IF(G124="x",0,IF(AND(E124&gt;0,D124=0),H98,IF(D124&gt;0,D124/(12*G124),0)))</f>
        <v>0</v>
      </c>
      <c r="I124" s="1539">
        <f t="shared" ref="I124:I129" si="83">IF(G124="x",0,IF(D124&gt;0,E124+G124*12-1,IF(E124&gt;0,I98,0)))</f>
        <v>0</v>
      </c>
      <c r="J124" s="1519">
        <f t="shared" ref="J124:J129" si="84">IF(G124="x",IF(D124&gt;0,D124,0),0)</f>
        <v>0</v>
      </c>
      <c r="K124" s="403"/>
      <c r="L124" s="201"/>
      <c r="M124" s="403"/>
      <c r="N124" s="201"/>
      <c r="O124" s="1522"/>
      <c r="P124" s="1299"/>
      <c r="Q124" s="1301"/>
      <c r="R124" s="1301"/>
      <c r="S124" s="1302"/>
      <c r="T124" s="481"/>
      <c r="U124" s="481"/>
      <c r="V124" s="481"/>
      <c r="W124" s="481"/>
      <c r="X124" s="481"/>
      <c r="Y124" s="481"/>
      <c r="Z124" s="481"/>
      <c r="AA124" s="481"/>
      <c r="AB124" s="481"/>
      <c r="CQ124" s="399"/>
      <c r="CR124" s="399"/>
      <c r="CS124" s="399"/>
      <c r="CT124" s="399"/>
      <c r="CU124" s="483"/>
      <c r="CV124" s="483"/>
      <c r="CW124" s="399"/>
      <c r="CX124" s="399"/>
      <c r="CY124" s="399"/>
      <c r="CZ124" s="399"/>
      <c r="DA124" s="399"/>
      <c r="DB124" s="399"/>
      <c r="DC124" s="399"/>
      <c r="DD124" s="399"/>
      <c r="DE124" s="399"/>
      <c r="DF124" s="399"/>
      <c r="DG124" s="399"/>
      <c r="DH124" s="399"/>
      <c r="DI124" s="399"/>
      <c r="DJ124" s="399"/>
      <c r="DK124" s="399"/>
      <c r="DL124" s="399"/>
      <c r="DM124" s="399"/>
      <c r="DN124" s="399"/>
      <c r="DO124" s="399"/>
      <c r="DP124" s="399"/>
      <c r="DQ124" s="399"/>
      <c r="DR124" s="399"/>
    </row>
    <row r="125" spans="1:122" s="480" customFormat="1" x14ac:dyDescent="0.2">
      <c r="B125" s="1617" t="str">
        <f t="shared" si="79"/>
        <v>Investitionsgut 3</v>
      </c>
      <c r="C125" s="1618"/>
      <c r="D125" s="1538">
        <f t="shared" si="80"/>
        <v>0</v>
      </c>
      <c r="E125" s="1539">
        <f>E99+F125</f>
        <v>0</v>
      </c>
      <c r="F125" s="1539">
        <f t="shared" ref="F125:F129" si="85">IF(D125&gt;0,J8+($B$134-$B$82)*12,0)</f>
        <v>0</v>
      </c>
      <c r="G125" s="1539">
        <f t="shared" si="82"/>
        <v>0</v>
      </c>
      <c r="H125" s="1539">
        <f t="shared" ref="H125:H129" si="86">IF(G125="x",0,IF(AND(E125&gt;0,D125=0),H99,IF(D125&gt;0,D125/(12*G125),0)))</f>
        <v>0</v>
      </c>
      <c r="I125" s="1539">
        <f t="shared" si="83"/>
        <v>0</v>
      </c>
      <c r="J125" s="1519">
        <f t="shared" si="84"/>
        <v>0</v>
      </c>
      <c r="K125" s="403"/>
      <c r="L125" s="201"/>
      <c r="M125" s="403"/>
      <c r="N125" s="201"/>
      <c r="O125" s="1522"/>
      <c r="P125" s="1299"/>
      <c r="Q125" s="1301"/>
      <c r="R125" s="1301"/>
      <c r="S125" s="1302"/>
      <c r="T125" s="481"/>
      <c r="U125" s="481"/>
      <c r="V125" s="481"/>
      <c r="W125" s="481"/>
      <c r="X125" s="481"/>
      <c r="Y125" s="481"/>
      <c r="Z125" s="481"/>
      <c r="AA125" s="481"/>
      <c r="AB125" s="481"/>
      <c r="CQ125" s="399"/>
      <c r="CR125" s="399"/>
      <c r="CS125" s="399"/>
      <c r="CT125" s="399"/>
      <c r="CU125" s="483"/>
      <c r="CV125" s="483"/>
      <c r="CW125" s="399"/>
      <c r="CX125" s="399"/>
      <c r="CY125" s="399"/>
      <c r="CZ125" s="399"/>
      <c r="DA125" s="399"/>
      <c r="DB125" s="399"/>
      <c r="DC125" s="399"/>
      <c r="DD125" s="399"/>
      <c r="DE125" s="399"/>
      <c r="DF125" s="399"/>
      <c r="DG125" s="399"/>
      <c r="DH125" s="399"/>
      <c r="DI125" s="399"/>
      <c r="DJ125" s="399"/>
      <c r="DK125" s="399"/>
      <c r="DL125" s="399"/>
      <c r="DM125" s="399"/>
      <c r="DN125" s="399"/>
      <c r="DO125" s="399"/>
      <c r="DP125" s="399"/>
      <c r="DQ125" s="399"/>
      <c r="DR125" s="399"/>
    </row>
    <row r="126" spans="1:122" s="480" customFormat="1" x14ac:dyDescent="0.2">
      <c r="B126" s="1617" t="str">
        <f t="shared" si="79"/>
        <v>Investitionsgut 4</v>
      </c>
      <c r="C126" s="1618"/>
      <c r="D126" s="1538">
        <f t="shared" si="80"/>
        <v>0</v>
      </c>
      <c r="E126" s="1539">
        <f t="shared" si="81"/>
        <v>0</v>
      </c>
      <c r="F126" s="1539">
        <f t="shared" si="85"/>
        <v>0</v>
      </c>
      <c r="G126" s="1539">
        <f t="shared" si="82"/>
        <v>0</v>
      </c>
      <c r="H126" s="1539">
        <f t="shared" si="86"/>
        <v>0</v>
      </c>
      <c r="I126" s="1539">
        <f t="shared" si="83"/>
        <v>0</v>
      </c>
      <c r="J126" s="1519">
        <f t="shared" si="84"/>
        <v>0</v>
      </c>
      <c r="K126" s="403"/>
      <c r="L126" s="201"/>
      <c r="M126" s="403"/>
      <c r="N126" s="201"/>
      <c r="O126" s="1522"/>
      <c r="P126" s="1299"/>
      <c r="Q126" s="1301"/>
      <c r="R126" s="1301"/>
      <c r="S126" s="1302"/>
      <c r="T126" s="481"/>
      <c r="U126" s="481"/>
      <c r="V126" s="481"/>
      <c r="W126" s="481"/>
      <c r="X126" s="481"/>
      <c r="Y126" s="481"/>
      <c r="Z126" s="481"/>
      <c r="AA126" s="481"/>
      <c r="AB126" s="481"/>
      <c r="CQ126" s="399"/>
      <c r="CR126" s="399"/>
      <c r="CS126" s="399"/>
      <c r="CT126" s="399"/>
      <c r="CU126" s="483"/>
      <c r="CV126" s="483"/>
      <c r="CW126" s="399"/>
      <c r="CX126" s="399"/>
      <c r="CY126" s="399"/>
      <c r="CZ126" s="399"/>
      <c r="DA126" s="399"/>
      <c r="DB126" s="399"/>
      <c r="DC126" s="399"/>
      <c r="DD126" s="399"/>
      <c r="DE126" s="399"/>
      <c r="DF126" s="399"/>
      <c r="DG126" s="399"/>
      <c r="DH126" s="399"/>
      <c r="DI126" s="399"/>
      <c r="DJ126" s="399"/>
      <c r="DK126" s="399"/>
      <c r="DL126" s="399"/>
      <c r="DM126" s="399"/>
      <c r="DN126" s="399"/>
      <c r="DO126" s="399"/>
      <c r="DP126" s="399"/>
      <c r="DQ126" s="399"/>
      <c r="DR126" s="399"/>
    </row>
    <row r="127" spans="1:122" s="480" customFormat="1" x14ac:dyDescent="0.2">
      <c r="B127" s="1617" t="str">
        <f t="shared" si="79"/>
        <v>Investitionsgut 5</v>
      </c>
      <c r="C127" s="1618"/>
      <c r="D127" s="1538">
        <f t="shared" si="80"/>
        <v>0</v>
      </c>
      <c r="E127" s="1539">
        <f t="shared" si="81"/>
        <v>0</v>
      </c>
      <c r="F127" s="1539">
        <f t="shared" si="85"/>
        <v>0</v>
      </c>
      <c r="G127" s="1539">
        <f t="shared" si="82"/>
        <v>0</v>
      </c>
      <c r="H127" s="1539">
        <f t="shared" si="86"/>
        <v>0</v>
      </c>
      <c r="I127" s="1539">
        <f>IF(G127="x",0,IF(D127&gt;0,E127+G127*12-1,IF(E127&gt;0,I101,0)))</f>
        <v>0</v>
      </c>
      <c r="J127" s="1519">
        <f t="shared" si="84"/>
        <v>0</v>
      </c>
      <c r="K127" s="403"/>
      <c r="L127" s="201"/>
      <c r="M127" s="403"/>
      <c r="N127" s="201"/>
      <c r="O127" s="1522"/>
      <c r="P127" s="1299"/>
      <c r="Q127" s="1301"/>
      <c r="R127" s="1301"/>
      <c r="S127" s="1302"/>
      <c r="T127" s="481"/>
      <c r="U127" s="481"/>
      <c r="V127" s="481"/>
      <c r="W127" s="481"/>
      <c r="X127" s="481"/>
      <c r="Y127" s="481"/>
      <c r="Z127" s="481"/>
      <c r="AA127" s="481"/>
      <c r="AB127" s="481"/>
      <c r="CQ127" s="399"/>
      <c r="CR127" s="399"/>
      <c r="CS127" s="399"/>
      <c r="CT127" s="399"/>
      <c r="CU127" s="483"/>
      <c r="CV127" s="483"/>
      <c r="CW127" s="399"/>
      <c r="CX127" s="399"/>
      <c r="CY127" s="399"/>
      <c r="CZ127" s="399"/>
      <c r="DA127" s="399"/>
      <c r="DB127" s="399"/>
      <c r="DC127" s="399"/>
      <c r="DD127" s="399"/>
      <c r="DE127" s="399"/>
      <c r="DF127" s="399"/>
      <c r="DG127" s="399"/>
      <c r="DH127" s="399"/>
      <c r="DI127" s="399"/>
      <c r="DJ127" s="399"/>
      <c r="DK127" s="399"/>
      <c r="DL127" s="399"/>
      <c r="DM127" s="399"/>
      <c r="DN127" s="399"/>
      <c r="DO127" s="399"/>
      <c r="DP127" s="399"/>
      <c r="DQ127" s="399"/>
      <c r="DR127" s="399"/>
    </row>
    <row r="128" spans="1:122" s="480" customFormat="1" x14ac:dyDescent="0.2">
      <c r="B128" s="1617" t="str">
        <f t="shared" si="79"/>
        <v>Investitionsgut 6</v>
      </c>
      <c r="C128" s="1618"/>
      <c r="D128" s="1538">
        <f t="shared" si="80"/>
        <v>0</v>
      </c>
      <c r="E128" s="1539">
        <f t="shared" si="81"/>
        <v>0</v>
      </c>
      <c r="F128" s="1539">
        <f t="shared" si="85"/>
        <v>0</v>
      </c>
      <c r="G128" s="1539">
        <f t="shared" si="82"/>
        <v>0</v>
      </c>
      <c r="H128" s="1539">
        <f t="shared" si="86"/>
        <v>0</v>
      </c>
      <c r="I128" s="1539">
        <f t="shared" si="83"/>
        <v>0</v>
      </c>
      <c r="J128" s="1519">
        <f t="shared" si="84"/>
        <v>0</v>
      </c>
      <c r="K128" s="403"/>
      <c r="L128" s="201"/>
      <c r="M128" s="403"/>
      <c r="N128" s="201"/>
      <c r="O128" s="1522"/>
      <c r="P128" s="1299"/>
      <c r="Q128" s="1301"/>
      <c r="R128" s="1301"/>
      <c r="S128" s="1302"/>
      <c r="T128" s="481"/>
      <c r="U128" s="481"/>
      <c r="V128" s="481"/>
      <c r="W128" s="481"/>
      <c r="X128" s="481"/>
      <c r="Y128" s="481"/>
      <c r="Z128" s="481"/>
      <c r="AA128" s="481"/>
      <c r="AB128" s="481"/>
      <c r="CQ128" s="399"/>
      <c r="CR128" s="399"/>
      <c r="CS128" s="399"/>
      <c r="CT128" s="399"/>
      <c r="CU128" s="483"/>
      <c r="CV128" s="483"/>
      <c r="CW128" s="399"/>
      <c r="CX128" s="399"/>
      <c r="CY128" s="399"/>
      <c r="CZ128" s="399"/>
      <c r="DA128" s="399"/>
      <c r="DB128" s="399"/>
      <c r="DC128" s="399"/>
      <c r="DD128" s="399"/>
      <c r="DE128" s="399"/>
      <c r="DF128" s="399"/>
      <c r="DG128" s="399"/>
      <c r="DH128" s="399"/>
      <c r="DI128" s="399"/>
      <c r="DJ128" s="399"/>
      <c r="DK128" s="399"/>
      <c r="DL128" s="399"/>
      <c r="DM128" s="399"/>
      <c r="DN128" s="399"/>
      <c r="DO128" s="399"/>
      <c r="DP128" s="399"/>
      <c r="DQ128" s="399"/>
      <c r="DR128" s="399"/>
    </row>
    <row r="129" spans="1:122" s="480" customFormat="1" x14ac:dyDescent="0.2">
      <c r="B129" s="1617" t="str">
        <f t="shared" si="79"/>
        <v>Investitionsgut 7</v>
      </c>
      <c r="C129" s="1618"/>
      <c r="D129" s="1540">
        <f t="shared" si="80"/>
        <v>0</v>
      </c>
      <c r="E129" s="1539">
        <f t="shared" si="81"/>
        <v>0</v>
      </c>
      <c r="F129" s="1539">
        <f t="shared" si="85"/>
        <v>0</v>
      </c>
      <c r="G129" s="1541">
        <f t="shared" si="82"/>
        <v>0</v>
      </c>
      <c r="H129" s="1539">
        <f t="shared" si="86"/>
        <v>0</v>
      </c>
      <c r="I129" s="1541">
        <f t="shared" si="83"/>
        <v>0</v>
      </c>
      <c r="J129" s="1520">
        <f t="shared" si="84"/>
        <v>0</v>
      </c>
      <c r="K129" s="403"/>
      <c r="L129" s="201"/>
      <c r="M129" s="403"/>
      <c r="N129" s="201"/>
      <c r="O129" s="1522"/>
      <c r="P129" s="1299"/>
      <c r="Q129" s="1301"/>
      <c r="R129" s="1301"/>
      <c r="S129" s="1302"/>
      <c r="T129" s="481"/>
      <c r="U129" s="481"/>
      <c r="V129" s="481"/>
      <c r="W129" s="481"/>
      <c r="X129" s="481"/>
      <c r="Y129" s="481"/>
      <c r="Z129" s="481"/>
      <c r="AA129" s="481"/>
      <c r="AB129" s="481"/>
      <c r="CQ129" s="399"/>
      <c r="CR129" s="399"/>
      <c r="CS129" s="399"/>
      <c r="CT129" s="399"/>
      <c r="CU129" s="483"/>
      <c r="CV129" s="483"/>
      <c r="CW129" s="399"/>
      <c r="CX129" s="399"/>
      <c r="CY129" s="399"/>
      <c r="CZ129" s="399"/>
      <c r="DA129" s="399"/>
      <c r="DB129" s="399"/>
      <c r="DC129" s="399"/>
      <c r="DD129" s="399"/>
      <c r="DE129" s="399"/>
      <c r="DF129" s="399"/>
      <c r="DG129" s="399"/>
      <c r="DH129" s="399"/>
      <c r="DI129" s="399"/>
      <c r="DJ129" s="399"/>
      <c r="DK129" s="399"/>
      <c r="DL129" s="399"/>
      <c r="DM129" s="399"/>
      <c r="DN129" s="399"/>
      <c r="DO129" s="399"/>
      <c r="DP129" s="399"/>
      <c r="DQ129" s="399"/>
      <c r="DR129" s="399"/>
    </row>
    <row r="130" spans="1:122" s="480" customFormat="1" ht="15" thickBot="1" x14ac:dyDescent="0.25">
      <c r="B130" s="1621" t="str">
        <f t="shared" si="79"/>
        <v>Sammelposten</v>
      </c>
      <c r="C130" s="1622"/>
      <c r="D130" s="1542">
        <f>K27</f>
        <v>0</v>
      </c>
      <c r="E130" s="1544">
        <f ca="1">F130</f>
        <v>25</v>
      </c>
      <c r="F130" s="1544">
        <f ca="1">J13+($B$134-$B$82)*12</f>
        <v>25</v>
      </c>
      <c r="G130" s="1545">
        <v>5</v>
      </c>
      <c r="H130" s="1543">
        <f>D130/60</f>
        <v>0</v>
      </c>
      <c r="I130" s="1545" t="str">
        <f>IF(D130&gt;0,F130+G130*12-1,"")</f>
        <v/>
      </c>
      <c r="J130" s="1533"/>
      <c r="K130" s="403"/>
      <c r="L130" s="201"/>
      <c r="M130" s="403"/>
      <c r="N130" s="201"/>
      <c r="O130" s="1522"/>
      <c r="P130" s="1299"/>
      <c r="Q130" s="1301"/>
      <c r="R130" s="1301"/>
      <c r="S130" s="1302"/>
      <c r="T130" s="481"/>
      <c r="U130" s="481"/>
      <c r="V130" s="481"/>
      <c r="W130" s="481"/>
      <c r="X130" s="481"/>
      <c r="Y130" s="481"/>
      <c r="Z130" s="481"/>
      <c r="AA130" s="481"/>
      <c r="AB130" s="481"/>
      <c r="CQ130" s="399"/>
      <c r="CR130" s="399"/>
      <c r="CS130" s="399"/>
      <c r="CT130" s="399"/>
      <c r="CU130" s="483"/>
      <c r="CV130" s="483"/>
      <c r="CW130" s="399"/>
      <c r="CX130" s="399"/>
      <c r="CY130" s="399"/>
      <c r="CZ130" s="399"/>
      <c r="DA130" s="399"/>
      <c r="DB130" s="399"/>
      <c r="DC130" s="399"/>
      <c r="DD130" s="399"/>
      <c r="DE130" s="399"/>
      <c r="DF130" s="399"/>
      <c r="DG130" s="399"/>
      <c r="DH130" s="399"/>
      <c r="DI130" s="399"/>
      <c r="DJ130" s="399"/>
      <c r="DK130" s="399"/>
      <c r="DL130" s="399"/>
      <c r="DM130" s="399"/>
      <c r="DN130" s="399"/>
      <c r="DO130" s="399"/>
      <c r="DP130" s="399"/>
      <c r="DQ130" s="399"/>
      <c r="DR130" s="399"/>
    </row>
    <row r="131" spans="1:122" s="480" customFormat="1" ht="15.75" thickTop="1" thickBot="1" x14ac:dyDescent="0.25">
      <c r="B131" s="1521" t="str">
        <f t="shared" si="79"/>
        <v>Summe Anschaffungen</v>
      </c>
      <c r="C131" s="1534"/>
      <c r="D131" s="1535">
        <f>SUM(D123:D130)-J131</f>
        <v>0</v>
      </c>
      <c r="E131" s="176"/>
      <c r="F131" s="176"/>
      <c r="G131" s="176"/>
      <c r="H131" s="1535">
        <f>SUM(H123:H130)</f>
        <v>0</v>
      </c>
      <c r="I131" s="176"/>
      <c r="J131" s="1535">
        <f>SUM(J123:J130)</f>
        <v>0</v>
      </c>
      <c r="K131" s="403"/>
      <c r="L131" s="201"/>
      <c r="M131" s="403"/>
      <c r="N131" s="201"/>
      <c r="O131" s="1522"/>
      <c r="P131" s="1299"/>
      <c r="Q131" s="1301"/>
      <c r="R131" s="1301"/>
      <c r="S131" s="1302"/>
      <c r="T131" s="481"/>
      <c r="U131" s="481"/>
      <c r="V131" s="481"/>
      <c r="W131" s="481"/>
      <c r="X131" s="481"/>
      <c r="Y131" s="481"/>
      <c r="Z131" s="481"/>
      <c r="AA131" s="481"/>
      <c r="AB131" s="481"/>
      <c r="CQ131" s="399"/>
      <c r="CR131" s="399"/>
      <c r="CS131" s="399"/>
      <c r="CT131" s="399"/>
      <c r="CU131" s="483"/>
      <c r="CV131" s="483"/>
      <c r="CW131" s="399"/>
      <c r="CX131" s="399"/>
      <c r="CY131" s="399"/>
      <c r="CZ131" s="399"/>
      <c r="DA131" s="399"/>
      <c r="DB131" s="399"/>
      <c r="DC131" s="399"/>
      <c r="DD131" s="399"/>
      <c r="DE131" s="399"/>
      <c r="DF131" s="399"/>
      <c r="DG131" s="399"/>
      <c r="DH131" s="399"/>
      <c r="DI131" s="399"/>
      <c r="DJ131" s="399"/>
      <c r="DK131" s="399"/>
      <c r="DL131" s="399"/>
      <c r="DM131" s="399"/>
      <c r="DN131" s="399"/>
      <c r="DO131" s="399"/>
      <c r="DP131" s="399"/>
      <c r="DQ131" s="399"/>
      <c r="DR131" s="399"/>
    </row>
    <row r="132" spans="1:122" s="480" customFormat="1" ht="15" thickBot="1" x14ac:dyDescent="0.25">
      <c r="B132" s="176"/>
      <c r="C132" s="201"/>
      <c r="D132" s="176"/>
      <c r="E132" s="388"/>
      <c r="F132" s="176"/>
      <c r="G132" s="388"/>
      <c r="H132" s="176"/>
      <c r="I132" s="388"/>
      <c r="J132" s="176"/>
      <c r="K132" s="403"/>
      <c r="L132" s="201"/>
      <c r="M132" s="403"/>
      <c r="N132" s="201"/>
      <c r="O132" s="1522"/>
      <c r="P132" s="1299"/>
      <c r="Q132" s="1301"/>
      <c r="R132" s="1301"/>
      <c r="S132" s="1302"/>
      <c r="T132" s="481"/>
      <c r="U132" s="481"/>
      <c r="V132" s="481"/>
      <c r="W132" s="481"/>
      <c r="X132" s="481"/>
      <c r="Y132" s="481"/>
      <c r="Z132" s="481"/>
      <c r="AA132" s="481"/>
      <c r="AB132" s="481"/>
      <c r="CQ132" s="399"/>
      <c r="CR132" s="399"/>
      <c r="CS132" s="399"/>
      <c r="CT132" s="399"/>
      <c r="CU132" s="483"/>
      <c r="CV132" s="483"/>
      <c r="CW132" s="399"/>
      <c r="CX132" s="399"/>
      <c r="CY132" s="399"/>
      <c r="CZ132" s="399"/>
      <c r="DA132" s="399"/>
      <c r="DB132" s="399"/>
      <c r="DC132" s="399"/>
      <c r="DD132" s="399"/>
      <c r="DE132" s="399"/>
      <c r="DF132" s="399"/>
      <c r="DG132" s="399"/>
      <c r="DH132" s="399"/>
      <c r="DI132" s="399"/>
      <c r="DJ132" s="399"/>
      <c r="DK132" s="399"/>
      <c r="DL132" s="399"/>
      <c r="DM132" s="399"/>
      <c r="DN132" s="399"/>
      <c r="DO132" s="399"/>
      <c r="DP132" s="399"/>
      <c r="DQ132" s="399"/>
      <c r="DR132" s="399"/>
    </row>
    <row r="133" spans="1:122" s="480" customFormat="1" ht="14.45" customHeight="1" thickBot="1" x14ac:dyDescent="0.25">
      <c r="B133" s="1613" t="str">
        <f>B107</f>
        <v>laufender Monat</v>
      </c>
      <c r="C133" s="1614"/>
      <c r="D133" s="1508">
        <f ca="1">1+($B$134-$B$82)*12</f>
        <v>25</v>
      </c>
      <c r="E133" s="1509">
        <f ca="1">D133+1</f>
        <v>26</v>
      </c>
      <c r="F133" s="1509">
        <f t="shared" ref="F133:O133" ca="1" si="87">E133+1</f>
        <v>27</v>
      </c>
      <c r="G133" s="1509">
        <f t="shared" ca="1" si="87"/>
        <v>28</v>
      </c>
      <c r="H133" s="1509">
        <f t="shared" ca="1" si="87"/>
        <v>29</v>
      </c>
      <c r="I133" s="1509">
        <f t="shared" ca="1" si="87"/>
        <v>30</v>
      </c>
      <c r="J133" s="1509">
        <f t="shared" ca="1" si="87"/>
        <v>31</v>
      </c>
      <c r="K133" s="1509">
        <f t="shared" ca="1" si="87"/>
        <v>32</v>
      </c>
      <c r="L133" s="1509">
        <f t="shared" ca="1" si="87"/>
        <v>33</v>
      </c>
      <c r="M133" s="1509">
        <f t="shared" ca="1" si="87"/>
        <v>34</v>
      </c>
      <c r="N133" s="1509">
        <f t="shared" ca="1" si="87"/>
        <v>35</v>
      </c>
      <c r="O133" s="1509">
        <f t="shared" ca="1" si="87"/>
        <v>36</v>
      </c>
      <c r="P133" s="1510"/>
      <c r="Q133" s="1301"/>
      <c r="R133" s="1301"/>
      <c r="S133" s="1302"/>
      <c r="T133" s="481"/>
      <c r="U133" s="481"/>
      <c r="V133" s="481"/>
      <c r="W133" s="481"/>
      <c r="X133" s="481"/>
      <c r="Y133" s="481"/>
      <c r="Z133" s="481"/>
      <c r="AA133" s="481"/>
      <c r="AB133" s="481"/>
      <c r="CQ133" s="399"/>
      <c r="CR133" s="399"/>
      <c r="CS133" s="399"/>
      <c r="CT133" s="399"/>
      <c r="CU133" s="483"/>
      <c r="CV133" s="483"/>
      <c r="CW133" s="399"/>
      <c r="CX133" s="399"/>
      <c r="CY133" s="399"/>
      <c r="CZ133" s="399"/>
      <c r="DA133" s="399"/>
      <c r="DB133" s="399"/>
      <c r="DC133" s="399"/>
      <c r="DD133" s="399"/>
      <c r="DE133" s="399"/>
      <c r="DF133" s="399"/>
      <c r="DG133" s="399"/>
      <c r="DH133" s="399"/>
      <c r="DI133" s="399"/>
      <c r="DJ133" s="399"/>
      <c r="DK133" s="399"/>
      <c r="DL133" s="399"/>
      <c r="DM133" s="399"/>
      <c r="DN133" s="399"/>
      <c r="DO133" s="399"/>
      <c r="DP133" s="399"/>
      <c r="DQ133" s="399"/>
      <c r="DR133" s="399"/>
    </row>
    <row r="134" spans="1:122" s="480" customFormat="1" ht="15" thickBot="1" x14ac:dyDescent="0.25">
      <c r="B134" s="1613">
        <f ca="1">'1 Pers.Ausgaben|Pers Expenses'!C4+2</f>
        <v>2021</v>
      </c>
      <c r="C134" s="1614"/>
      <c r="D134" s="58" t="s">
        <v>1</v>
      </c>
      <c r="E134" s="53" t="s">
        <v>2</v>
      </c>
      <c r="F134" s="53" t="s">
        <v>3</v>
      </c>
      <c r="G134" s="53" t="s">
        <v>4</v>
      </c>
      <c r="H134" s="53" t="s">
        <v>5</v>
      </c>
      <c r="I134" s="53" t="s">
        <v>6</v>
      </c>
      <c r="J134" s="53" t="s">
        <v>7</v>
      </c>
      <c r="K134" s="53" t="s">
        <v>8</v>
      </c>
      <c r="L134" s="53" t="s">
        <v>9</v>
      </c>
      <c r="M134" s="53" t="s">
        <v>10</v>
      </c>
      <c r="N134" s="53" t="s">
        <v>11</v>
      </c>
      <c r="O134" s="53" t="s">
        <v>12</v>
      </c>
      <c r="P134" s="54" t="s">
        <v>782</v>
      </c>
      <c r="Q134" s="1301"/>
      <c r="R134" s="1301"/>
      <c r="S134" s="1302"/>
      <c r="T134" s="481"/>
      <c r="U134" s="481"/>
      <c r="V134" s="481"/>
      <c r="W134" s="481"/>
      <c r="X134" s="481"/>
      <c r="Y134" s="481"/>
      <c r="Z134" s="481"/>
      <c r="AA134" s="481"/>
      <c r="AB134" s="481"/>
      <c r="CQ134" s="399"/>
      <c r="CR134" s="399"/>
      <c r="CS134" s="399"/>
      <c r="CT134" s="399"/>
      <c r="CU134" s="483"/>
      <c r="CV134" s="483"/>
      <c r="CW134" s="399"/>
      <c r="CX134" s="399"/>
      <c r="CY134" s="399"/>
      <c r="CZ134" s="399"/>
      <c r="DA134" s="399"/>
      <c r="DB134" s="399"/>
      <c r="DC134" s="399"/>
      <c r="DD134" s="399"/>
      <c r="DE134" s="399"/>
      <c r="DF134" s="399"/>
      <c r="DG134" s="399"/>
      <c r="DH134" s="399"/>
      <c r="DI134" s="399"/>
      <c r="DJ134" s="399"/>
      <c r="DK134" s="399"/>
      <c r="DL134" s="399"/>
      <c r="DM134" s="399"/>
      <c r="DN134" s="399"/>
      <c r="DO134" s="399"/>
      <c r="DP134" s="399"/>
      <c r="DQ134" s="399"/>
      <c r="DR134" s="399"/>
    </row>
    <row r="135" spans="1:122" s="480" customFormat="1" x14ac:dyDescent="0.2">
      <c r="B135" s="1625" t="str">
        <f>B123</f>
        <v>Investitionsgut 1</v>
      </c>
      <c r="C135" s="1626"/>
      <c r="D135" s="1513">
        <f ca="1">IF($G123="x",0,IF(OR(D$133&lt;$E123,D$133&gt;$I123),0,$H123))</f>
        <v>0</v>
      </c>
      <c r="E135" s="1513">
        <f t="shared" ref="E135:O135" ca="1" si="88">IF($G123="x",0,IF(OR(E$133&lt;$E123,E$133&gt;$I123),0,$H123))</f>
        <v>0</v>
      </c>
      <c r="F135" s="1513">
        <f t="shared" ca="1" si="88"/>
        <v>0</v>
      </c>
      <c r="G135" s="1513">
        <f t="shared" ca="1" si="88"/>
        <v>0</v>
      </c>
      <c r="H135" s="1513">
        <f t="shared" ca="1" si="88"/>
        <v>0</v>
      </c>
      <c r="I135" s="1513">
        <f t="shared" ca="1" si="88"/>
        <v>0</v>
      </c>
      <c r="J135" s="1513">
        <f t="shared" ca="1" si="88"/>
        <v>0</v>
      </c>
      <c r="K135" s="1513">
        <f t="shared" ca="1" si="88"/>
        <v>0</v>
      </c>
      <c r="L135" s="1513">
        <f t="shared" ca="1" si="88"/>
        <v>0</v>
      </c>
      <c r="M135" s="1513">
        <f t="shared" ca="1" si="88"/>
        <v>0</v>
      </c>
      <c r="N135" s="1513">
        <f t="shared" ca="1" si="88"/>
        <v>0</v>
      </c>
      <c r="O135" s="1513">
        <f t="shared" ca="1" si="88"/>
        <v>0</v>
      </c>
      <c r="P135" s="1512">
        <f ca="1">SUM(D135:O135)</f>
        <v>0</v>
      </c>
      <c r="Q135" s="1301"/>
      <c r="R135" s="1301"/>
      <c r="S135" s="1302"/>
      <c r="T135" s="481"/>
      <c r="U135" s="481"/>
      <c r="V135" s="481"/>
      <c r="W135" s="481"/>
      <c r="X135" s="481"/>
      <c r="Y135" s="481"/>
      <c r="Z135" s="481"/>
      <c r="AA135" s="481"/>
      <c r="AB135" s="481"/>
      <c r="CQ135" s="399"/>
      <c r="CR135" s="399"/>
      <c r="CS135" s="399"/>
      <c r="CT135" s="399"/>
      <c r="CU135" s="483"/>
      <c r="CV135" s="483"/>
      <c r="CW135" s="399"/>
      <c r="CX135" s="399"/>
      <c r="CY135" s="399"/>
      <c r="CZ135" s="399"/>
      <c r="DA135" s="399"/>
      <c r="DB135" s="399"/>
      <c r="DC135" s="399"/>
      <c r="DD135" s="399"/>
      <c r="DE135" s="399"/>
      <c r="DF135" s="399"/>
      <c r="DG135" s="399"/>
      <c r="DH135" s="399"/>
      <c r="DI135" s="399"/>
      <c r="DJ135" s="399"/>
      <c r="DK135" s="399"/>
      <c r="DL135" s="399"/>
      <c r="DM135" s="399"/>
      <c r="DN135" s="399"/>
      <c r="DO135" s="399"/>
      <c r="DP135" s="399"/>
      <c r="DQ135" s="399"/>
      <c r="DR135" s="399"/>
    </row>
    <row r="136" spans="1:122" s="480" customFormat="1" x14ac:dyDescent="0.2">
      <c r="B136" s="1625" t="str">
        <f t="shared" ref="B136:B141" si="89">B124</f>
        <v>Investitionsgut 2</v>
      </c>
      <c r="C136" s="1626"/>
      <c r="D136" s="1513">
        <f t="shared" ref="D136:O136" ca="1" si="90">IF($G124="x",0,IF(OR(D$133&lt;$E124,D$133&gt;$I124),0,$H124))</f>
        <v>0</v>
      </c>
      <c r="E136" s="1513">
        <f t="shared" ca="1" si="90"/>
        <v>0</v>
      </c>
      <c r="F136" s="1513">
        <f t="shared" ca="1" si="90"/>
        <v>0</v>
      </c>
      <c r="G136" s="1513">
        <f t="shared" ca="1" si="90"/>
        <v>0</v>
      </c>
      <c r="H136" s="1513">
        <f t="shared" ca="1" si="90"/>
        <v>0</v>
      </c>
      <c r="I136" s="1513">
        <f t="shared" ca="1" si="90"/>
        <v>0</v>
      </c>
      <c r="J136" s="1513">
        <f t="shared" ca="1" si="90"/>
        <v>0</v>
      </c>
      <c r="K136" s="1513">
        <f t="shared" ca="1" si="90"/>
        <v>0</v>
      </c>
      <c r="L136" s="1513">
        <f t="shared" ca="1" si="90"/>
        <v>0</v>
      </c>
      <c r="M136" s="1513">
        <f t="shared" ca="1" si="90"/>
        <v>0</v>
      </c>
      <c r="N136" s="1513">
        <f t="shared" ca="1" si="90"/>
        <v>0</v>
      </c>
      <c r="O136" s="1513">
        <f t="shared" ca="1" si="90"/>
        <v>0</v>
      </c>
      <c r="P136" s="1514">
        <f t="shared" ref="P136:P140" ca="1" si="91">SUM(D136:O136)</f>
        <v>0</v>
      </c>
      <c r="Q136" s="1301"/>
      <c r="R136" s="1301"/>
      <c r="S136" s="1302"/>
      <c r="T136" s="481"/>
      <c r="U136" s="481"/>
      <c r="V136" s="481"/>
      <c r="W136" s="481"/>
      <c r="X136" s="481"/>
      <c r="Y136" s="481"/>
      <c r="Z136" s="481"/>
      <c r="AA136" s="481"/>
      <c r="AB136" s="481"/>
      <c r="CQ136" s="399"/>
      <c r="CR136" s="399"/>
      <c r="CS136" s="399"/>
      <c r="CT136" s="399"/>
      <c r="CU136" s="483"/>
      <c r="CV136" s="483"/>
      <c r="CW136" s="399"/>
      <c r="CX136" s="399"/>
      <c r="CY136" s="399"/>
      <c r="CZ136" s="399"/>
      <c r="DA136" s="399"/>
      <c r="DB136" s="399"/>
      <c r="DC136" s="399"/>
      <c r="DD136" s="399"/>
      <c r="DE136" s="399"/>
      <c r="DF136" s="399"/>
      <c r="DG136" s="399"/>
      <c r="DH136" s="399"/>
      <c r="DI136" s="399"/>
      <c r="DJ136" s="399"/>
      <c r="DK136" s="399"/>
      <c r="DL136" s="399"/>
      <c r="DM136" s="399"/>
      <c r="DN136" s="399"/>
      <c r="DO136" s="399"/>
      <c r="DP136" s="399"/>
      <c r="DQ136" s="399"/>
      <c r="DR136" s="399"/>
    </row>
    <row r="137" spans="1:122" s="480" customFormat="1" x14ac:dyDescent="0.2">
      <c r="B137" s="1625" t="str">
        <f t="shared" si="89"/>
        <v>Investitionsgut 3</v>
      </c>
      <c r="C137" s="1626"/>
      <c r="D137" s="1513">
        <f t="shared" ref="D137:O137" ca="1" si="92">IF($G125="x",0,IF(OR(D$133&lt;$E125,D$133&gt;$I125),0,$H125))</f>
        <v>0</v>
      </c>
      <c r="E137" s="1513">
        <f t="shared" ca="1" si="92"/>
        <v>0</v>
      </c>
      <c r="F137" s="1513">
        <f t="shared" ca="1" si="92"/>
        <v>0</v>
      </c>
      <c r="G137" s="1513">
        <f t="shared" ca="1" si="92"/>
        <v>0</v>
      </c>
      <c r="H137" s="1513">
        <f t="shared" ca="1" si="92"/>
        <v>0</v>
      </c>
      <c r="I137" s="1513">
        <f t="shared" ca="1" si="92"/>
        <v>0</v>
      </c>
      <c r="J137" s="1513">
        <f t="shared" ca="1" si="92"/>
        <v>0</v>
      </c>
      <c r="K137" s="1513">
        <f t="shared" ca="1" si="92"/>
        <v>0</v>
      </c>
      <c r="L137" s="1513">
        <f t="shared" ca="1" si="92"/>
        <v>0</v>
      </c>
      <c r="M137" s="1513">
        <f t="shared" ca="1" si="92"/>
        <v>0</v>
      </c>
      <c r="N137" s="1513">
        <f t="shared" ca="1" si="92"/>
        <v>0</v>
      </c>
      <c r="O137" s="1513">
        <f t="shared" ca="1" si="92"/>
        <v>0</v>
      </c>
      <c r="P137" s="1514">
        <f t="shared" ca="1" si="91"/>
        <v>0</v>
      </c>
      <c r="Q137" s="1301"/>
      <c r="R137" s="1301"/>
      <c r="S137" s="1302"/>
      <c r="T137" s="481"/>
      <c r="U137" s="481"/>
      <c r="V137" s="481"/>
      <c r="W137" s="481"/>
      <c r="X137" s="481"/>
      <c r="Y137" s="481"/>
      <c r="Z137" s="481"/>
      <c r="AA137" s="481"/>
      <c r="AB137" s="481"/>
      <c r="CQ137" s="399"/>
      <c r="CR137" s="399"/>
      <c r="CS137" s="399"/>
      <c r="CT137" s="399"/>
      <c r="CU137" s="483"/>
      <c r="CV137" s="483"/>
      <c r="CW137" s="399"/>
      <c r="CX137" s="399"/>
      <c r="CY137" s="399"/>
      <c r="CZ137" s="399"/>
      <c r="DA137" s="399"/>
      <c r="DB137" s="399"/>
      <c r="DC137" s="399"/>
      <c r="DD137" s="399"/>
      <c r="DE137" s="399"/>
      <c r="DF137" s="399"/>
      <c r="DG137" s="399"/>
      <c r="DH137" s="399"/>
      <c r="DI137" s="399"/>
      <c r="DJ137" s="399"/>
      <c r="DK137" s="399"/>
      <c r="DL137" s="399"/>
      <c r="DM137" s="399"/>
      <c r="DN137" s="399"/>
      <c r="DO137" s="399"/>
      <c r="DP137" s="399"/>
      <c r="DQ137" s="399"/>
      <c r="DR137" s="399"/>
    </row>
    <row r="138" spans="1:122" s="480" customFormat="1" x14ac:dyDescent="0.2">
      <c r="B138" s="1625" t="str">
        <f t="shared" si="89"/>
        <v>Investitionsgut 4</v>
      </c>
      <c r="C138" s="1626"/>
      <c r="D138" s="1513">
        <f t="shared" ref="D138:O138" ca="1" si="93">IF($G126="x",0,IF(OR(D$133&lt;$E126,D$133&gt;$I126),0,$H126))</f>
        <v>0</v>
      </c>
      <c r="E138" s="1513">
        <f t="shared" ca="1" si="93"/>
        <v>0</v>
      </c>
      <c r="F138" s="1513">
        <f t="shared" ca="1" si="93"/>
        <v>0</v>
      </c>
      <c r="G138" s="1513">
        <f t="shared" ca="1" si="93"/>
        <v>0</v>
      </c>
      <c r="H138" s="1513">
        <f t="shared" ca="1" si="93"/>
        <v>0</v>
      </c>
      <c r="I138" s="1513">
        <f t="shared" ca="1" si="93"/>
        <v>0</v>
      </c>
      <c r="J138" s="1513">
        <f t="shared" ca="1" si="93"/>
        <v>0</v>
      </c>
      <c r="K138" s="1513">
        <f t="shared" ca="1" si="93"/>
        <v>0</v>
      </c>
      <c r="L138" s="1513">
        <f t="shared" ca="1" si="93"/>
        <v>0</v>
      </c>
      <c r="M138" s="1513">
        <f t="shared" ca="1" si="93"/>
        <v>0</v>
      </c>
      <c r="N138" s="1513">
        <f t="shared" ca="1" si="93"/>
        <v>0</v>
      </c>
      <c r="O138" s="1513">
        <f t="shared" ca="1" si="93"/>
        <v>0</v>
      </c>
      <c r="P138" s="1514">
        <f t="shared" ca="1" si="91"/>
        <v>0</v>
      </c>
      <c r="Q138" s="1301"/>
      <c r="R138" s="1301"/>
      <c r="S138" s="1302"/>
      <c r="T138" s="481"/>
      <c r="U138" s="481"/>
      <c r="V138" s="481"/>
      <c r="W138" s="481"/>
      <c r="X138" s="481"/>
      <c r="Y138" s="481"/>
      <c r="Z138" s="481"/>
      <c r="AA138" s="481"/>
      <c r="AB138" s="481"/>
      <c r="CQ138" s="399"/>
      <c r="CR138" s="399"/>
      <c r="CS138" s="399"/>
      <c r="CT138" s="399"/>
      <c r="CU138" s="483"/>
      <c r="CV138" s="483"/>
      <c r="CW138" s="399"/>
      <c r="CX138" s="399"/>
      <c r="CY138" s="399"/>
      <c r="CZ138" s="399"/>
      <c r="DA138" s="399"/>
      <c r="DB138" s="399"/>
      <c r="DC138" s="399"/>
      <c r="DD138" s="399"/>
      <c r="DE138" s="399"/>
      <c r="DF138" s="399"/>
      <c r="DG138" s="399"/>
      <c r="DH138" s="399"/>
      <c r="DI138" s="399"/>
      <c r="DJ138" s="399"/>
      <c r="DK138" s="399"/>
      <c r="DL138" s="399"/>
      <c r="DM138" s="399"/>
      <c r="DN138" s="399"/>
      <c r="DO138" s="399"/>
      <c r="DP138" s="399"/>
      <c r="DQ138" s="399"/>
      <c r="DR138" s="399"/>
    </row>
    <row r="139" spans="1:122" s="480" customFormat="1" x14ac:dyDescent="0.2">
      <c r="B139" s="1625" t="str">
        <f t="shared" si="89"/>
        <v>Investitionsgut 5</v>
      </c>
      <c r="C139" s="1626"/>
      <c r="D139" s="1513">
        <f t="shared" ref="D139:O139" ca="1" si="94">IF($G127="x",0,IF(OR(D$133&lt;$E127,D$133&gt;$I127),0,$H127))</f>
        <v>0</v>
      </c>
      <c r="E139" s="1513">
        <f t="shared" ca="1" si="94"/>
        <v>0</v>
      </c>
      <c r="F139" s="1513">
        <f t="shared" ca="1" si="94"/>
        <v>0</v>
      </c>
      <c r="G139" s="1513">
        <f t="shared" ca="1" si="94"/>
        <v>0</v>
      </c>
      <c r="H139" s="1513">
        <f t="shared" ca="1" si="94"/>
        <v>0</v>
      </c>
      <c r="I139" s="1513">
        <f t="shared" ca="1" si="94"/>
        <v>0</v>
      </c>
      <c r="J139" s="1513">
        <f t="shared" ca="1" si="94"/>
        <v>0</v>
      </c>
      <c r="K139" s="1513">
        <f t="shared" ca="1" si="94"/>
        <v>0</v>
      </c>
      <c r="L139" s="1513">
        <f t="shared" ca="1" si="94"/>
        <v>0</v>
      </c>
      <c r="M139" s="1513">
        <f t="shared" ca="1" si="94"/>
        <v>0</v>
      </c>
      <c r="N139" s="1513">
        <f t="shared" ca="1" si="94"/>
        <v>0</v>
      </c>
      <c r="O139" s="1513">
        <f t="shared" ca="1" si="94"/>
        <v>0</v>
      </c>
      <c r="P139" s="1514">
        <f t="shared" ca="1" si="91"/>
        <v>0</v>
      </c>
      <c r="Q139" s="1301"/>
      <c r="R139" s="1301"/>
      <c r="S139" s="1302"/>
      <c r="T139" s="481"/>
      <c r="U139" s="481"/>
      <c r="V139" s="481"/>
      <c r="W139" s="481"/>
      <c r="X139" s="481"/>
      <c r="Y139" s="481"/>
      <c r="Z139" s="481"/>
      <c r="AA139" s="481"/>
      <c r="AB139" s="481"/>
      <c r="CQ139" s="399"/>
      <c r="CR139" s="399"/>
      <c r="CS139" s="399"/>
      <c r="CT139" s="399"/>
      <c r="CU139" s="483"/>
      <c r="CV139" s="483"/>
      <c r="CW139" s="399"/>
      <c r="CX139" s="399"/>
      <c r="CY139" s="399"/>
      <c r="CZ139" s="399"/>
      <c r="DA139" s="399"/>
      <c r="DB139" s="399"/>
      <c r="DC139" s="399"/>
      <c r="DD139" s="399"/>
      <c r="DE139" s="399"/>
      <c r="DF139" s="399"/>
      <c r="DG139" s="399"/>
      <c r="DH139" s="399"/>
      <c r="DI139" s="399"/>
      <c r="DJ139" s="399"/>
      <c r="DK139" s="399"/>
      <c r="DL139" s="399"/>
      <c r="DM139" s="399"/>
      <c r="DN139" s="399"/>
      <c r="DO139" s="399"/>
      <c r="DP139" s="399"/>
      <c r="DQ139" s="399"/>
      <c r="DR139" s="399"/>
    </row>
    <row r="140" spans="1:122" s="480" customFormat="1" x14ac:dyDescent="0.2">
      <c r="B140" s="1625" t="str">
        <f t="shared" si="89"/>
        <v>Investitionsgut 6</v>
      </c>
      <c r="C140" s="1626"/>
      <c r="D140" s="1513">
        <f t="shared" ref="D140:O140" ca="1" si="95">IF($G128="x",0,IF(OR(D$133&lt;$E128,D$133&gt;$I128),0,$H128))</f>
        <v>0</v>
      </c>
      <c r="E140" s="1513">
        <f t="shared" ca="1" si="95"/>
        <v>0</v>
      </c>
      <c r="F140" s="1513">
        <f t="shared" ca="1" si="95"/>
        <v>0</v>
      </c>
      <c r="G140" s="1513">
        <f t="shared" ca="1" si="95"/>
        <v>0</v>
      </c>
      <c r="H140" s="1513">
        <f t="shared" ca="1" si="95"/>
        <v>0</v>
      </c>
      <c r="I140" s="1513">
        <f t="shared" ca="1" si="95"/>
        <v>0</v>
      </c>
      <c r="J140" s="1513">
        <f t="shared" ca="1" si="95"/>
        <v>0</v>
      </c>
      <c r="K140" s="1513">
        <f t="shared" ca="1" si="95"/>
        <v>0</v>
      </c>
      <c r="L140" s="1513">
        <f t="shared" ca="1" si="95"/>
        <v>0</v>
      </c>
      <c r="M140" s="1513">
        <f t="shared" ca="1" si="95"/>
        <v>0</v>
      </c>
      <c r="N140" s="1513">
        <f t="shared" ca="1" si="95"/>
        <v>0</v>
      </c>
      <c r="O140" s="1513">
        <f t="shared" ca="1" si="95"/>
        <v>0</v>
      </c>
      <c r="P140" s="1514">
        <f t="shared" ca="1" si="91"/>
        <v>0</v>
      </c>
      <c r="Q140" s="1301"/>
      <c r="R140" s="1301"/>
      <c r="S140" s="1302"/>
      <c r="T140" s="481"/>
      <c r="U140" s="481"/>
      <c r="V140" s="481"/>
      <c r="W140" s="481"/>
      <c r="X140" s="481"/>
      <c r="Y140" s="481"/>
      <c r="Z140" s="481"/>
      <c r="AA140" s="481"/>
      <c r="AB140" s="481"/>
      <c r="CQ140" s="399"/>
      <c r="CR140" s="399"/>
      <c r="CS140" s="399"/>
      <c r="CT140" s="399"/>
      <c r="CU140" s="483"/>
      <c r="CV140" s="483"/>
      <c r="CW140" s="399"/>
      <c r="CX140" s="399"/>
      <c r="CY140" s="399"/>
      <c r="CZ140" s="399"/>
      <c r="DA140" s="399"/>
      <c r="DB140" s="399"/>
      <c r="DC140" s="399"/>
      <c r="DD140" s="399"/>
      <c r="DE140" s="399"/>
      <c r="DF140" s="399"/>
      <c r="DG140" s="399"/>
      <c r="DH140" s="399"/>
      <c r="DI140" s="399"/>
      <c r="DJ140" s="399"/>
      <c r="DK140" s="399"/>
      <c r="DL140" s="399"/>
      <c r="DM140" s="399"/>
      <c r="DN140" s="399"/>
      <c r="DO140" s="399"/>
      <c r="DP140" s="399"/>
      <c r="DQ140" s="399"/>
      <c r="DR140" s="399"/>
    </row>
    <row r="141" spans="1:122" s="480" customFormat="1" x14ac:dyDescent="0.2">
      <c r="B141" s="1627" t="str">
        <f t="shared" si="89"/>
        <v>Investitionsgut 7</v>
      </c>
      <c r="C141" s="1628"/>
      <c r="D141" s="1513">
        <f t="shared" ref="D141:O141" ca="1" si="96">IF($G129="x",0,IF(OR(D$133&lt;$E129,D$133&gt;$I129),0,$H129))</f>
        <v>0</v>
      </c>
      <c r="E141" s="1513">
        <f t="shared" ca="1" si="96"/>
        <v>0</v>
      </c>
      <c r="F141" s="1513">
        <f t="shared" ca="1" si="96"/>
        <v>0</v>
      </c>
      <c r="G141" s="1513">
        <f t="shared" ca="1" si="96"/>
        <v>0</v>
      </c>
      <c r="H141" s="1513">
        <f t="shared" ca="1" si="96"/>
        <v>0</v>
      </c>
      <c r="I141" s="1513">
        <f t="shared" ca="1" si="96"/>
        <v>0</v>
      </c>
      <c r="J141" s="1513">
        <f t="shared" ca="1" si="96"/>
        <v>0</v>
      </c>
      <c r="K141" s="1513">
        <f t="shared" ca="1" si="96"/>
        <v>0</v>
      </c>
      <c r="L141" s="1513">
        <f t="shared" ca="1" si="96"/>
        <v>0</v>
      </c>
      <c r="M141" s="1513">
        <f t="shared" ca="1" si="96"/>
        <v>0</v>
      </c>
      <c r="N141" s="1513">
        <f t="shared" ca="1" si="96"/>
        <v>0</v>
      </c>
      <c r="O141" s="1513">
        <f t="shared" ca="1" si="96"/>
        <v>0</v>
      </c>
      <c r="P141" s="1523">
        <f ca="1">SUM(D141:O141)</f>
        <v>0</v>
      </c>
      <c r="Q141" s="1301"/>
      <c r="R141" s="1301"/>
      <c r="S141" s="1302"/>
      <c r="T141" s="481"/>
      <c r="U141" s="481"/>
      <c r="V141" s="481"/>
      <c r="W141" s="481"/>
      <c r="X141" s="481"/>
      <c r="Y141" s="481"/>
      <c r="Z141" s="481"/>
      <c r="AA141" s="481"/>
      <c r="AB141" s="481"/>
      <c r="CQ141" s="399"/>
      <c r="CR141" s="399"/>
      <c r="CS141" s="399"/>
      <c r="CT141" s="399"/>
      <c r="CU141" s="483"/>
      <c r="CV141" s="483"/>
      <c r="CW141" s="399"/>
      <c r="CX141" s="399"/>
      <c r="CY141" s="399"/>
      <c r="CZ141" s="399"/>
      <c r="DA141" s="399"/>
      <c r="DB141" s="399"/>
      <c r="DC141" s="399"/>
      <c r="DD141" s="399"/>
      <c r="DE141" s="399"/>
      <c r="DF141" s="399"/>
      <c r="DG141" s="399"/>
      <c r="DH141" s="399"/>
      <c r="DI141" s="399"/>
      <c r="DJ141" s="399"/>
      <c r="DK141" s="399"/>
      <c r="DL141" s="399"/>
      <c r="DM141" s="399"/>
      <c r="DN141" s="399"/>
      <c r="DO141" s="399"/>
      <c r="DP141" s="399"/>
      <c r="DQ141" s="399"/>
      <c r="DR141" s="399"/>
    </row>
    <row r="142" spans="1:122" s="480" customFormat="1" x14ac:dyDescent="0.2">
      <c r="B142" s="1629" t="str">
        <f>B116</f>
        <v>Sammelposten</v>
      </c>
      <c r="C142" s="1630"/>
      <c r="D142" s="1526">
        <f t="shared" ref="D142:O142" ca="1" si="97">IF($F130&lt;=D$133,$H130,"")</f>
        <v>0</v>
      </c>
      <c r="E142" s="1526">
        <f t="shared" ca="1" si="97"/>
        <v>0</v>
      </c>
      <c r="F142" s="1526">
        <f t="shared" ca="1" si="97"/>
        <v>0</v>
      </c>
      <c r="G142" s="1526">
        <f t="shared" ca="1" si="97"/>
        <v>0</v>
      </c>
      <c r="H142" s="1526">
        <f t="shared" ca="1" si="97"/>
        <v>0</v>
      </c>
      <c r="I142" s="1526">
        <f t="shared" ca="1" si="97"/>
        <v>0</v>
      </c>
      <c r="J142" s="1526">
        <f t="shared" ca="1" si="97"/>
        <v>0</v>
      </c>
      <c r="K142" s="1526">
        <f t="shared" ca="1" si="97"/>
        <v>0</v>
      </c>
      <c r="L142" s="1526">
        <f t="shared" ca="1" si="97"/>
        <v>0</v>
      </c>
      <c r="M142" s="1526">
        <f t="shared" ca="1" si="97"/>
        <v>0</v>
      </c>
      <c r="N142" s="1526">
        <f t="shared" ca="1" si="97"/>
        <v>0</v>
      </c>
      <c r="O142" s="1526">
        <f t="shared" ca="1" si="97"/>
        <v>0</v>
      </c>
      <c r="P142" s="1527">
        <f ca="1">SUM(D142:O142)</f>
        <v>0</v>
      </c>
      <c r="Q142" s="1301"/>
      <c r="R142" s="1301"/>
      <c r="S142" s="1302"/>
      <c r="T142" s="481"/>
      <c r="U142" s="481"/>
      <c r="V142" s="481"/>
      <c r="W142" s="481"/>
      <c r="X142" s="481"/>
      <c r="Y142" s="481"/>
      <c r="Z142" s="481"/>
      <c r="AA142" s="481"/>
      <c r="AB142" s="481"/>
      <c r="CQ142" s="399"/>
      <c r="CR142" s="399"/>
      <c r="CS142" s="399"/>
      <c r="CT142" s="399"/>
      <c r="CU142" s="483"/>
      <c r="CV142" s="483"/>
      <c r="CW142" s="399"/>
      <c r="CX142" s="399"/>
      <c r="CY142" s="399"/>
      <c r="CZ142" s="399"/>
      <c r="DA142" s="399"/>
      <c r="DB142" s="399"/>
      <c r="DC142" s="399"/>
      <c r="DD142" s="399"/>
      <c r="DE142" s="399"/>
      <c r="DF142" s="399"/>
      <c r="DG142" s="399"/>
      <c r="DH142" s="399"/>
      <c r="DI142" s="399"/>
      <c r="DJ142" s="399"/>
      <c r="DK142" s="399"/>
      <c r="DL142" s="399"/>
      <c r="DM142" s="399"/>
      <c r="DN142" s="399"/>
      <c r="DO142" s="399"/>
      <c r="DP142" s="399"/>
      <c r="DQ142" s="399"/>
      <c r="DR142" s="399"/>
    </row>
    <row r="143" spans="1:122" s="176" customFormat="1" ht="15" thickBot="1" x14ac:dyDescent="0.25">
      <c r="B143" s="1528" t="str">
        <f>"Summe" &amp;" "&amp;B142</f>
        <v>Summe Sammelposten</v>
      </c>
      <c r="C143" s="1529"/>
      <c r="D143" s="1530">
        <f ca="1">D142+D117</f>
        <v>0</v>
      </c>
      <c r="E143" s="1530">
        <f t="shared" ref="E143" ca="1" si="98">E142+E117</f>
        <v>0</v>
      </c>
      <c r="F143" s="1530">
        <f t="shared" ref="F143" ca="1" si="99">F142+F117</f>
        <v>0</v>
      </c>
      <c r="G143" s="1530">
        <f t="shared" ref="G143" ca="1" si="100">G142+G117</f>
        <v>0</v>
      </c>
      <c r="H143" s="1530">
        <f t="shared" ref="H143" ca="1" si="101">H142+H117</f>
        <v>0</v>
      </c>
      <c r="I143" s="1530">
        <f t="shared" ref="I143" ca="1" si="102">I142+I117</f>
        <v>0</v>
      </c>
      <c r="J143" s="1530">
        <f t="shared" ref="J143" ca="1" si="103">J142+J117</f>
        <v>0</v>
      </c>
      <c r="K143" s="1530">
        <f t="shared" ref="K143" ca="1" si="104">K142+K117</f>
        <v>0</v>
      </c>
      <c r="L143" s="1530">
        <f t="shared" ref="L143" ca="1" si="105">L142+L117</f>
        <v>0</v>
      </c>
      <c r="M143" s="1530">
        <f t="shared" ref="M143" ca="1" si="106">M142+M117</f>
        <v>0</v>
      </c>
      <c r="N143" s="1530">
        <f t="shared" ref="N143" ca="1" si="107">N142+N117</f>
        <v>0</v>
      </c>
      <c r="O143" s="1530">
        <f t="shared" ref="O143" ca="1" si="108">O142+O117</f>
        <v>0</v>
      </c>
      <c r="P143" s="1532">
        <f ca="1">SUM(D143:O143)</f>
        <v>0</v>
      </c>
      <c r="S143" s="206"/>
      <c r="CQ143" s="179"/>
      <c r="CR143" s="179"/>
      <c r="CS143" s="179"/>
      <c r="CT143" s="179"/>
      <c r="CU143" s="228"/>
      <c r="CV143" s="189"/>
      <c r="CW143" s="180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80"/>
      <c r="DI143" s="180"/>
      <c r="DJ143" s="180"/>
      <c r="DK143" s="180"/>
      <c r="DL143" s="180"/>
      <c r="DM143" s="180"/>
      <c r="DN143" s="180"/>
      <c r="DO143" s="180"/>
      <c r="DP143" s="180"/>
      <c r="DQ143" s="180"/>
      <c r="DR143" s="180"/>
    </row>
    <row r="144" spans="1:122" s="480" customFormat="1" ht="15.75" thickTop="1" thickBot="1" x14ac:dyDescent="0.25">
      <c r="A144" s="1511"/>
      <c r="B144" s="1615" t="str">
        <f>B118</f>
        <v>Summe Abschreibungen</v>
      </c>
      <c r="C144" s="1616"/>
      <c r="D144" s="1524">
        <f ca="1">SUM(D135:D141)+D143</f>
        <v>0</v>
      </c>
      <c r="E144" s="1524">
        <f t="shared" ref="E144" ca="1" si="109">SUM(E135:E141)+E143</f>
        <v>0</v>
      </c>
      <c r="F144" s="1524">
        <f t="shared" ref="F144" ca="1" si="110">SUM(F135:F141)+F143</f>
        <v>0</v>
      </c>
      <c r="G144" s="1524">
        <f t="shared" ref="G144" ca="1" si="111">SUM(G135:G141)+G143</f>
        <v>0</v>
      </c>
      <c r="H144" s="1524">
        <f t="shared" ref="H144" ca="1" si="112">SUM(H135:H141)+H143</f>
        <v>0</v>
      </c>
      <c r="I144" s="1524">
        <f t="shared" ref="I144" ca="1" si="113">SUM(I135:I141)+I143</f>
        <v>0</v>
      </c>
      <c r="J144" s="1524">
        <f t="shared" ref="J144" ca="1" si="114">SUM(J135:J141)+J143</f>
        <v>0</v>
      </c>
      <c r="K144" s="1524">
        <f t="shared" ref="K144" ca="1" si="115">SUM(K135:K141)+K143</f>
        <v>0</v>
      </c>
      <c r="L144" s="1524">
        <f t="shared" ref="L144" ca="1" si="116">SUM(L135:L141)+L143</f>
        <v>0</v>
      </c>
      <c r="M144" s="1524">
        <f t="shared" ref="M144" ca="1" si="117">SUM(M135:M141)+M143</f>
        <v>0</v>
      </c>
      <c r="N144" s="1524">
        <f t="shared" ref="N144" ca="1" si="118">SUM(N135:N141)+N143</f>
        <v>0</v>
      </c>
      <c r="O144" s="1524">
        <f t="shared" ref="O144" ca="1" si="119">SUM(O135:O141)+O143</f>
        <v>0</v>
      </c>
      <c r="P144" s="1525">
        <f ca="1">SUM(D144:O144)</f>
        <v>0</v>
      </c>
      <c r="Q144" s="1301"/>
      <c r="R144" s="1301"/>
      <c r="S144" s="1302"/>
      <c r="T144" s="481"/>
      <c r="U144" s="481"/>
      <c r="V144" s="481"/>
      <c r="W144" s="481"/>
      <c r="X144" s="481"/>
      <c r="Y144" s="481"/>
      <c r="Z144" s="481"/>
      <c r="AA144" s="481"/>
      <c r="AB144" s="481"/>
      <c r="CQ144" s="399"/>
      <c r="CR144" s="399"/>
      <c r="CS144" s="399"/>
      <c r="CT144" s="399"/>
      <c r="CU144" s="483"/>
      <c r="CV144" s="483"/>
      <c r="CW144" s="399"/>
      <c r="CX144" s="399"/>
      <c r="CY144" s="399"/>
      <c r="CZ144" s="399"/>
      <c r="DA144" s="399"/>
      <c r="DB144" s="399"/>
      <c r="DC144" s="399"/>
      <c r="DD144" s="399"/>
      <c r="DE144" s="399"/>
      <c r="DF144" s="399"/>
      <c r="DG144" s="399"/>
      <c r="DH144" s="399"/>
      <c r="DI144" s="399"/>
      <c r="DJ144" s="399"/>
      <c r="DK144" s="399"/>
      <c r="DL144" s="399"/>
      <c r="DM144" s="399"/>
      <c r="DN144" s="399"/>
      <c r="DO144" s="399"/>
      <c r="DP144" s="399"/>
      <c r="DQ144" s="399"/>
      <c r="DR144" s="399"/>
    </row>
    <row r="145" spans="2:122" s="480" customFormat="1" x14ac:dyDescent="0.2">
      <c r="B145" s="186"/>
      <c r="C145" s="1511"/>
      <c r="D145" s="1511"/>
      <c r="E145" s="1511"/>
      <c r="F145" s="1511"/>
      <c r="G145" s="1511"/>
      <c r="H145" s="1511"/>
      <c r="I145" s="1511"/>
      <c r="J145" s="1511"/>
      <c r="K145" s="1511"/>
      <c r="L145" s="1511"/>
      <c r="M145" s="1511"/>
      <c r="N145" s="1511"/>
      <c r="O145" s="1522"/>
      <c r="P145" s="1299"/>
      <c r="Q145" s="1301"/>
      <c r="R145" s="1301"/>
      <c r="S145" s="1302"/>
      <c r="T145" s="481"/>
      <c r="U145" s="481"/>
      <c r="V145" s="481"/>
      <c r="W145" s="481"/>
      <c r="X145" s="481"/>
      <c r="Y145" s="481"/>
      <c r="Z145" s="481"/>
      <c r="AA145" s="481"/>
      <c r="AB145" s="481"/>
      <c r="CQ145" s="399"/>
      <c r="CR145" s="399"/>
      <c r="CS145" s="399"/>
      <c r="CT145" s="399"/>
      <c r="CU145" s="483"/>
      <c r="CV145" s="483"/>
      <c r="CW145" s="399"/>
      <c r="CX145" s="399"/>
      <c r="CY145" s="399"/>
      <c r="CZ145" s="399"/>
      <c r="DA145" s="399"/>
      <c r="DB145" s="399"/>
      <c r="DC145" s="399"/>
      <c r="DD145" s="399"/>
      <c r="DE145" s="399"/>
      <c r="DF145" s="399"/>
      <c r="DG145" s="399"/>
      <c r="DH145" s="399"/>
      <c r="DI145" s="399"/>
      <c r="DJ145" s="399"/>
      <c r="DK145" s="399"/>
      <c r="DL145" s="399"/>
      <c r="DM145" s="399"/>
      <c r="DN145" s="399"/>
      <c r="DO145" s="399"/>
      <c r="DP145" s="399"/>
      <c r="DQ145" s="399"/>
      <c r="DR145" s="399"/>
    </row>
    <row r="146" spans="2:122" s="480" customFormat="1" x14ac:dyDescent="0.2">
      <c r="B146" s="186"/>
      <c r="C146" s="1511"/>
      <c r="D146" s="1511"/>
      <c r="E146" s="1511"/>
      <c r="F146" s="1511"/>
      <c r="G146" s="1511"/>
      <c r="H146" s="1511"/>
      <c r="I146" s="1511"/>
      <c r="J146" s="1511"/>
      <c r="K146" s="1511"/>
      <c r="L146" s="1511"/>
      <c r="M146" s="1511"/>
      <c r="N146" s="1511"/>
      <c r="O146" s="1522"/>
      <c r="P146" s="1299"/>
      <c r="Q146" s="1301"/>
      <c r="R146" s="1301"/>
      <c r="S146" s="1302"/>
      <c r="T146" s="481"/>
      <c r="U146" s="481"/>
      <c r="V146" s="481"/>
      <c r="W146" s="481"/>
      <c r="X146" s="481"/>
      <c r="Y146" s="481"/>
      <c r="Z146" s="481"/>
      <c r="AA146" s="481"/>
      <c r="AB146" s="481"/>
      <c r="CQ146" s="399"/>
      <c r="CR146" s="399"/>
      <c r="CS146" s="399"/>
      <c r="CT146" s="399"/>
      <c r="CU146" s="483"/>
      <c r="CV146" s="483"/>
      <c r="CW146" s="399"/>
      <c r="CX146" s="399"/>
      <c r="CY146" s="399"/>
      <c r="CZ146" s="399"/>
      <c r="DA146" s="399"/>
      <c r="DB146" s="399"/>
      <c r="DC146" s="399"/>
      <c r="DD146" s="399"/>
      <c r="DE146" s="399"/>
      <c r="DF146" s="399"/>
      <c r="DG146" s="399"/>
      <c r="DH146" s="399"/>
      <c r="DI146" s="399"/>
      <c r="DJ146" s="399"/>
      <c r="DK146" s="399"/>
      <c r="DL146" s="399"/>
      <c r="DM146" s="399"/>
      <c r="DN146" s="399"/>
      <c r="DO146" s="399"/>
      <c r="DP146" s="399"/>
      <c r="DQ146" s="399"/>
      <c r="DR146" s="399"/>
    </row>
    <row r="147" spans="2:122" s="480" customFormat="1" ht="15" thickBot="1" x14ac:dyDescent="0.25">
      <c r="B147" s="186"/>
      <c r="C147" s="1511"/>
      <c r="D147" s="1511"/>
      <c r="E147" s="1511"/>
      <c r="F147" s="1511"/>
      <c r="G147" s="1511"/>
      <c r="H147" s="1511"/>
      <c r="I147" s="1511"/>
      <c r="J147" s="1511"/>
      <c r="K147" s="1511"/>
      <c r="L147" s="1511"/>
      <c r="M147" s="1511"/>
      <c r="N147" s="1511"/>
      <c r="O147" s="1522"/>
      <c r="P147" s="1299"/>
      <c r="Q147" s="1301"/>
      <c r="R147" s="1301"/>
      <c r="S147" s="1302"/>
      <c r="T147" s="481"/>
      <c r="U147" s="481"/>
      <c r="V147" s="481"/>
      <c r="W147" s="481"/>
      <c r="X147" s="481"/>
      <c r="Y147" s="481"/>
      <c r="Z147" s="481"/>
      <c r="AA147" s="481"/>
      <c r="AB147" s="481"/>
      <c r="CQ147" s="399"/>
      <c r="CR147" s="399"/>
      <c r="CS147" s="399"/>
      <c r="CT147" s="399"/>
      <c r="CU147" s="483"/>
      <c r="CV147" s="483"/>
      <c r="CW147" s="399"/>
      <c r="CX147" s="399"/>
      <c r="CY147" s="399"/>
      <c r="CZ147" s="399"/>
      <c r="DA147" s="399"/>
      <c r="DB147" s="399"/>
      <c r="DC147" s="399"/>
      <c r="DD147" s="399"/>
      <c r="DE147" s="399"/>
      <c r="DF147" s="399"/>
      <c r="DG147" s="399"/>
      <c r="DH147" s="399"/>
      <c r="DI147" s="399"/>
      <c r="DJ147" s="399"/>
      <c r="DK147" s="399"/>
      <c r="DL147" s="399"/>
      <c r="DM147" s="399"/>
      <c r="DN147" s="399"/>
      <c r="DO147" s="399"/>
      <c r="DP147" s="399"/>
      <c r="DQ147" s="399"/>
      <c r="DR147" s="399"/>
    </row>
    <row r="148" spans="2:122" s="480" customFormat="1" ht="28.15" customHeight="1" thickBot="1" x14ac:dyDescent="0.25">
      <c r="B148" s="1613" t="str">
        <f t="shared" ref="B148:B157" si="120">B122</f>
        <v>Anschaffungen</v>
      </c>
      <c r="C148" s="1614"/>
      <c r="D148" s="1515" t="str">
        <f ca="1">IF($C$2="English","Value      ","Betrag    ")&amp;'1 Pers.Ausgaben|Pers Expenses'!$C$4+3</f>
        <v>Betrag    2022</v>
      </c>
      <c r="E148" s="1516" t="str">
        <f>E122</f>
        <v>Investmonat</v>
      </c>
      <c r="F148" s="1517" t="str">
        <f ca="1">$E$70&amp;"   "&amp;B160</f>
        <v>Investmonat   2022</v>
      </c>
      <c r="G148" s="1517" t="str">
        <f t="shared" ref="G148:G155" si="121">G122</f>
        <v>Jahre der
Abschreibung</v>
      </c>
      <c r="H148" s="1517" t="s">
        <v>781</v>
      </c>
      <c r="I148" s="1517" t="s">
        <v>783</v>
      </c>
      <c r="J148" s="1517" t="s">
        <v>787</v>
      </c>
      <c r="K148" s="403"/>
      <c r="L148" s="201"/>
      <c r="M148" s="403"/>
      <c r="N148" s="201"/>
      <c r="O148" s="1522"/>
      <c r="P148" s="1299"/>
      <c r="Q148" s="1301"/>
      <c r="R148" s="1301"/>
      <c r="S148" s="1302"/>
      <c r="T148" s="481"/>
      <c r="U148" s="481"/>
      <c r="V148" s="481"/>
      <c r="W148" s="481"/>
      <c r="X148" s="481"/>
      <c r="Y148" s="481"/>
      <c r="Z148" s="481"/>
      <c r="AA148" s="481"/>
      <c r="AB148" s="481"/>
      <c r="CQ148" s="399"/>
      <c r="CR148" s="399"/>
      <c r="CS148" s="399"/>
      <c r="CT148" s="399"/>
      <c r="CU148" s="483"/>
      <c r="CV148" s="483"/>
      <c r="CW148" s="399"/>
      <c r="CX148" s="399"/>
      <c r="CY148" s="399"/>
      <c r="CZ148" s="399"/>
      <c r="DA148" s="399"/>
      <c r="DB148" s="399"/>
      <c r="DC148" s="399"/>
      <c r="DD148" s="399"/>
      <c r="DE148" s="399"/>
      <c r="DF148" s="399"/>
      <c r="DG148" s="399"/>
      <c r="DH148" s="399"/>
      <c r="DI148" s="399"/>
      <c r="DJ148" s="399"/>
      <c r="DK148" s="399"/>
      <c r="DL148" s="399"/>
      <c r="DM148" s="399"/>
      <c r="DN148" s="399"/>
      <c r="DO148" s="399"/>
      <c r="DP148" s="399"/>
      <c r="DQ148" s="399"/>
      <c r="DR148" s="399"/>
    </row>
    <row r="149" spans="2:122" s="480" customFormat="1" x14ac:dyDescent="0.2">
      <c r="B149" s="1623" t="str">
        <f t="shared" si="120"/>
        <v>Investitionsgut 1</v>
      </c>
      <c r="C149" s="1624"/>
      <c r="D149" s="1536">
        <f t="shared" ref="D149:D155" si="122">K6</f>
        <v>0</v>
      </c>
      <c r="E149" s="1537">
        <f>E123+F149</f>
        <v>0</v>
      </c>
      <c r="F149" s="1537">
        <f t="shared" ref="F149:F155" si="123">IF(D149&gt;0,L6+($B$160-$B$82)*12,0)</f>
        <v>0</v>
      </c>
      <c r="G149" s="1537">
        <f t="shared" si="121"/>
        <v>0</v>
      </c>
      <c r="H149" s="1537">
        <f>IF(G149="x",0,IF(AND(E149&gt;0,D149=0),H123,IF(D149&gt;0,D149/(12*G149),0)))</f>
        <v>0</v>
      </c>
      <c r="I149" s="1537">
        <f>IF(G149="x",0,IF(D149&gt;0,E149+G149*12-1,IF(E149&gt;0,I123,0)))</f>
        <v>0</v>
      </c>
      <c r="J149" s="1518">
        <f>IF(G149="x",IF(D149&gt;0,D149,0),0)</f>
        <v>0</v>
      </c>
      <c r="K149" s="403"/>
      <c r="L149" s="201"/>
      <c r="M149" s="403"/>
      <c r="N149" s="201"/>
      <c r="O149" s="1522"/>
      <c r="P149" s="1299"/>
      <c r="Q149" s="1301"/>
      <c r="R149" s="1301"/>
      <c r="S149" s="1302"/>
      <c r="T149" s="481"/>
      <c r="U149" s="481"/>
      <c r="V149" s="481"/>
      <c r="W149" s="481"/>
      <c r="X149" s="481"/>
      <c r="Y149" s="481"/>
      <c r="Z149" s="481"/>
      <c r="AA149" s="481"/>
      <c r="AB149" s="481"/>
      <c r="CQ149" s="399"/>
      <c r="CR149" s="399"/>
      <c r="CS149" s="399"/>
      <c r="CT149" s="399"/>
      <c r="CU149" s="483"/>
      <c r="CV149" s="483"/>
      <c r="CW149" s="399"/>
      <c r="CX149" s="399"/>
      <c r="CY149" s="399"/>
      <c r="CZ149" s="399"/>
      <c r="DA149" s="399"/>
      <c r="DB149" s="399"/>
      <c r="DC149" s="399"/>
      <c r="DD149" s="399"/>
      <c r="DE149" s="399"/>
      <c r="DF149" s="399"/>
      <c r="DG149" s="399"/>
      <c r="DH149" s="399"/>
      <c r="DI149" s="399"/>
      <c r="DJ149" s="399"/>
      <c r="DK149" s="399"/>
      <c r="DL149" s="399"/>
      <c r="DM149" s="399"/>
      <c r="DN149" s="399"/>
      <c r="DO149" s="399"/>
      <c r="DP149" s="399"/>
      <c r="DQ149" s="399"/>
      <c r="DR149" s="399"/>
    </row>
    <row r="150" spans="2:122" s="480" customFormat="1" x14ac:dyDescent="0.2">
      <c r="B150" s="1617" t="str">
        <f t="shared" si="120"/>
        <v>Investitionsgut 2</v>
      </c>
      <c r="C150" s="1618"/>
      <c r="D150" s="1538">
        <f t="shared" si="122"/>
        <v>0</v>
      </c>
      <c r="E150" s="1539">
        <f t="shared" ref="E150:E155" si="124">E124+F150</f>
        <v>0</v>
      </c>
      <c r="F150" s="1539">
        <f t="shared" si="123"/>
        <v>0</v>
      </c>
      <c r="G150" s="1539">
        <f t="shared" si="121"/>
        <v>0</v>
      </c>
      <c r="H150" s="1539">
        <f t="shared" ref="H150:H155" si="125">IF(G150="x",0,IF(AND(E150&gt;0,D150=0),H124,IF(D150&gt;0,D150/(12*G150),0)))</f>
        <v>0</v>
      </c>
      <c r="I150" s="1539">
        <f t="shared" ref="I150:I155" si="126">IF(G150="x",0,IF(D150&gt;0,E150+G150*12-1,IF(E150&gt;0,I124,0)))</f>
        <v>0</v>
      </c>
      <c r="J150" s="1519">
        <f t="shared" ref="J150:J155" si="127">IF(G150="x",IF(D150&gt;0,D150,0),0)</f>
        <v>0</v>
      </c>
      <c r="K150" s="403"/>
      <c r="L150" s="201"/>
      <c r="M150" s="403"/>
      <c r="N150" s="201"/>
      <c r="O150" s="1522"/>
      <c r="P150" s="1299"/>
      <c r="Q150" s="1301"/>
      <c r="R150" s="1301"/>
      <c r="S150" s="1302"/>
      <c r="T150" s="481"/>
      <c r="U150" s="481"/>
      <c r="V150" s="481"/>
      <c r="W150" s="481"/>
      <c r="X150" s="481"/>
      <c r="Y150" s="481"/>
      <c r="Z150" s="481"/>
      <c r="AA150" s="481"/>
      <c r="AB150" s="481"/>
      <c r="CQ150" s="399"/>
      <c r="CR150" s="399"/>
      <c r="CS150" s="399"/>
      <c r="CT150" s="399"/>
      <c r="CU150" s="483"/>
      <c r="CV150" s="483"/>
      <c r="CW150" s="399"/>
      <c r="CX150" s="399"/>
      <c r="CY150" s="399"/>
      <c r="CZ150" s="399"/>
      <c r="DA150" s="399"/>
      <c r="DB150" s="399"/>
      <c r="DC150" s="399"/>
      <c r="DD150" s="399"/>
      <c r="DE150" s="399"/>
      <c r="DF150" s="399"/>
      <c r="DG150" s="399"/>
      <c r="DH150" s="399"/>
      <c r="DI150" s="399"/>
      <c r="DJ150" s="399"/>
      <c r="DK150" s="399"/>
      <c r="DL150" s="399"/>
      <c r="DM150" s="399"/>
      <c r="DN150" s="399"/>
      <c r="DO150" s="399"/>
      <c r="DP150" s="399"/>
      <c r="DQ150" s="399"/>
      <c r="DR150" s="399"/>
    </row>
    <row r="151" spans="2:122" s="480" customFormat="1" x14ac:dyDescent="0.2">
      <c r="B151" s="1617" t="str">
        <f t="shared" si="120"/>
        <v>Investitionsgut 3</v>
      </c>
      <c r="C151" s="1618"/>
      <c r="D151" s="1538">
        <f t="shared" si="122"/>
        <v>0</v>
      </c>
      <c r="E151" s="1539">
        <f t="shared" si="124"/>
        <v>0</v>
      </c>
      <c r="F151" s="1539">
        <f t="shared" si="123"/>
        <v>0</v>
      </c>
      <c r="G151" s="1539">
        <f t="shared" si="121"/>
        <v>0</v>
      </c>
      <c r="H151" s="1539">
        <f t="shared" si="125"/>
        <v>0</v>
      </c>
      <c r="I151" s="1539">
        <f t="shared" si="126"/>
        <v>0</v>
      </c>
      <c r="J151" s="1519">
        <f t="shared" si="127"/>
        <v>0</v>
      </c>
      <c r="K151" s="403"/>
      <c r="L151" s="201"/>
      <c r="M151" s="403"/>
      <c r="N151" s="201"/>
      <c r="O151" s="1522"/>
      <c r="P151" s="1299"/>
      <c r="Q151" s="1301"/>
      <c r="R151" s="1301"/>
      <c r="S151" s="1302"/>
      <c r="T151" s="481"/>
      <c r="U151" s="481"/>
      <c r="V151" s="481"/>
      <c r="W151" s="481"/>
      <c r="X151" s="481"/>
      <c r="Y151" s="481"/>
      <c r="Z151" s="481"/>
      <c r="AA151" s="481"/>
      <c r="AB151" s="481"/>
      <c r="CQ151" s="399"/>
      <c r="CR151" s="399"/>
      <c r="CS151" s="399"/>
      <c r="CT151" s="399"/>
      <c r="CU151" s="483"/>
      <c r="CV151" s="483"/>
      <c r="CW151" s="399"/>
      <c r="CX151" s="399"/>
      <c r="CY151" s="399"/>
      <c r="CZ151" s="399"/>
      <c r="DA151" s="399"/>
      <c r="DB151" s="399"/>
      <c r="DC151" s="399"/>
      <c r="DD151" s="399"/>
      <c r="DE151" s="399"/>
      <c r="DF151" s="399"/>
      <c r="DG151" s="399"/>
      <c r="DH151" s="399"/>
      <c r="DI151" s="399"/>
      <c r="DJ151" s="399"/>
      <c r="DK151" s="399"/>
      <c r="DL151" s="399"/>
      <c r="DM151" s="399"/>
      <c r="DN151" s="399"/>
      <c r="DO151" s="399"/>
      <c r="DP151" s="399"/>
      <c r="DQ151" s="399"/>
      <c r="DR151" s="399"/>
    </row>
    <row r="152" spans="2:122" s="480" customFormat="1" x14ac:dyDescent="0.2">
      <c r="B152" s="1617" t="str">
        <f t="shared" si="120"/>
        <v>Investitionsgut 4</v>
      </c>
      <c r="C152" s="1618"/>
      <c r="D152" s="1538">
        <f t="shared" si="122"/>
        <v>0</v>
      </c>
      <c r="E152" s="1539">
        <f t="shared" si="124"/>
        <v>0</v>
      </c>
      <c r="F152" s="1539">
        <f t="shared" si="123"/>
        <v>0</v>
      </c>
      <c r="G152" s="1539">
        <f t="shared" si="121"/>
        <v>0</v>
      </c>
      <c r="H152" s="1539">
        <f t="shared" si="125"/>
        <v>0</v>
      </c>
      <c r="I152" s="1539">
        <f t="shared" si="126"/>
        <v>0</v>
      </c>
      <c r="J152" s="1519">
        <f t="shared" si="127"/>
        <v>0</v>
      </c>
      <c r="K152" s="403"/>
      <c r="L152" s="201"/>
      <c r="M152" s="403"/>
      <c r="N152" s="201"/>
      <c r="O152" s="1522"/>
      <c r="P152" s="1299"/>
      <c r="Q152" s="1301"/>
      <c r="R152" s="1301"/>
      <c r="S152" s="1302"/>
      <c r="T152" s="481"/>
      <c r="U152" s="481"/>
      <c r="V152" s="481"/>
      <c r="W152" s="481"/>
      <c r="X152" s="481"/>
      <c r="Y152" s="481"/>
      <c r="Z152" s="481"/>
      <c r="AA152" s="481"/>
      <c r="AB152" s="481"/>
      <c r="CQ152" s="399"/>
      <c r="CR152" s="399"/>
      <c r="CS152" s="399"/>
      <c r="CT152" s="399"/>
      <c r="CU152" s="483"/>
      <c r="CV152" s="483"/>
      <c r="CW152" s="399"/>
      <c r="CX152" s="399"/>
      <c r="CY152" s="399"/>
      <c r="CZ152" s="399"/>
      <c r="DA152" s="399"/>
      <c r="DB152" s="399"/>
      <c r="DC152" s="399"/>
      <c r="DD152" s="399"/>
      <c r="DE152" s="399"/>
      <c r="DF152" s="399"/>
      <c r="DG152" s="399"/>
      <c r="DH152" s="399"/>
      <c r="DI152" s="399"/>
      <c r="DJ152" s="399"/>
      <c r="DK152" s="399"/>
      <c r="DL152" s="399"/>
      <c r="DM152" s="399"/>
      <c r="DN152" s="399"/>
      <c r="DO152" s="399"/>
      <c r="DP152" s="399"/>
      <c r="DQ152" s="399"/>
      <c r="DR152" s="399"/>
    </row>
    <row r="153" spans="2:122" s="480" customFormat="1" x14ac:dyDescent="0.2">
      <c r="B153" s="1617" t="str">
        <f t="shared" si="120"/>
        <v>Investitionsgut 5</v>
      </c>
      <c r="C153" s="1618"/>
      <c r="D153" s="1538">
        <f t="shared" si="122"/>
        <v>0</v>
      </c>
      <c r="E153" s="1539">
        <f t="shared" si="124"/>
        <v>0</v>
      </c>
      <c r="F153" s="1539">
        <f t="shared" si="123"/>
        <v>0</v>
      </c>
      <c r="G153" s="1539">
        <f t="shared" si="121"/>
        <v>0</v>
      </c>
      <c r="H153" s="1539">
        <f>IF(G153="x",0,IF(AND(E153&gt;0,D153=0),H127,IF(D153&gt;0,D153/(12*G153),0)))</f>
        <v>0</v>
      </c>
      <c r="I153" s="1539">
        <f t="shared" si="126"/>
        <v>0</v>
      </c>
      <c r="J153" s="1519">
        <f t="shared" si="127"/>
        <v>0</v>
      </c>
      <c r="K153" s="403"/>
      <c r="L153" s="201"/>
      <c r="M153" s="403"/>
      <c r="N153" s="201"/>
      <c r="O153" s="1522"/>
      <c r="P153" s="1299"/>
      <c r="Q153" s="1301"/>
      <c r="R153" s="1301"/>
      <c r="S153" s="1302"/>
      <c r="T153" s="481"/>
      <c r="U153" s="481"/>
      <c r="V153" s="481"/>
      <c r="W153" s="481"/>
      <c r="X153" s="481"/>
      <c r="Y153" s="481"/>
      <c r="Z153" s="481"/>
      <c r="AA153" s="481"/>
      <c r="AB153" s="481"/>
      <c r="CQ153" s="399"/>
      <c r="CR153" s="399"/>
      <c r="CS153" s="399"/>
      <c r="CT153" s="399"/>
      <c r="CU153" s="483"/>
      <c r="CV153" s="483"/>
      <c r="CW153" s="399"/>
      <c r="CX153" s="399"/>
      <c r="CY153" s="399"/>
      <c r="CZ153" s="399"/>
      <c r="DA153" s="399"/>
      <c r="DB153" s="399"/>
      <c r="DC153" s="399"/>
      <c r="DD153" s="399"/>
      <c r="DE153" s="399"/>
      <c r="DF153" s="399"/>
      <c r="DG153" s="399"/>
      <c r="DH153" s="399"/>
      <c r="DI153" s="399"/>
      <c r="DJ153" s="399"/>
      <c r="DK153" s="399"/>
      <c r="DL153" s="399"/>
      <c r="DM153" s="399"/>
      <c r="DN153" s="399"/>
      <c r="DO153" s="399"/>
      <c r="DP153" s="399"/>
      <c r="DQ153" s="399"/>
      <c r="DR153" s="399"/>
    </row>
    <row r="154" spans="2:122" s="480" customFormat="1" x14ac:dyDescent="0.2">
      <c r="B154" s="1617" t="str">
        <f t="shared" si="120"/>
        <v>Investitionsgut 6</v>
      </c>
      <c r="C154" s="1618"/>
      <c r="D154" s="1538">
        <f t="shared" si="122"/>
        <v>0</v>
      </c>
      <c r="E154" s="1539">
        <f t="shared" si="124"/>
        <v>0</v>
      </c>
      <c r="F154" s="1539">
        <f t="shared" si="123"/>
        <v>0</v>
      </c>
      <c r="G154" s="1539">
        <f t="shared" si="121"/>
        <v>0</v>
      </c>
      <c r="H154" s="1539">
        <f t="shared" si="125"/>
        <v>0</v>
      </c>
      <c r="I154" s="1539">
        <f t="shared" si="126"/>
        <v>0</v>
      </c>
      <c r="J154" s="1519">
        <f t="shared" si="127"/>
        <v>0</v>
      </c>
      <c r="K154" s="403"/>
      <c r="L154" s="201"/>
      <c r="M154" s="403"/>
      <c r="N154" s="201"/>
      <c r="O154" s="1522"/>
      <c r="P154" s="1299"/>
      <c r="Q154" s="1301"/>
      <c r="R154" s="1301"/>
      <c r="S154" s="1302"/>
      <c r="T154" s="481"/>
      <c r="U154" s="481"/>
      <c r="V154" s="481"/>
      <c r="W154" s="481"/>
      <c r="X154" s="481"/>
      <c r="Y154" s="481"/>
      <c r="Z154" s="481"/>
      <c r="AA154" s="481"/>
      <c r="AB154" s="481"/>
      <c r="CQ154" s="399"/>
      <c r="CR154" s="399"/>
      <c r="CS154" s="399"/>
      <c r="CT154" s="399"/>
      <c r="CU154" s="483"/>
      <c r="CV154" s="483"/>
      <c r="CW154" s="399"/>
      <c r="CX154" s="399"/>
      <c r="CY154" s="399"/>
      <c r="CZ154" s="399"/>
      <c r="DA154" s="399"/>
      <c r="DB154" s="399"/>
      <c r="DC154" s="399"/>
      <c r="DD154" s="399"/>
      <c r="DE154" s="399"/>
      <c r="DF154" s="399"/>
      <c r="DG154" s="399"/>
      <c r="DH154" s="399"/>
      <c r="DI154" s="399"/>
      <c r="DJ154" s="399"/>
      <c r="DK154" s="399"/>
      <c r="DL154" s="399"/>
      <c r="DM154" s="399"/>
      <c r="DN154" s="399"/>
      <c r="DO154" s="399"/>
      <c r="DP154" s="399"/>
      <c r="DQ154" s="399"/>
      <c r="DR154" s="399"/>
    </row>
    <row r="155" spans="2:122" s="480" customFormat="1" x14ac:dyDescent="0.2">
      <c r="B155" s="1617" t="str">
        <f t="shared" si="120"/>
        <v>Investitionsgut 7</v>
      </c>
      <c r="C155" s="1618"/>
      <c r="D155" s="1540">
        <f t="shared" si="122"/>
        <v>0</v>
      </c>
      <c r="E155" s="1541">
        <f t="shared" si="124"/>
        <v>0</v>
      </c>
      <c r="F155" s="1541">
        <f t="shared" si="123"/>
        <v>0</v>
      </c>
      <c r="G155" s="1541">
        <f t="shared" si="121"/>
        <v>0</v>
      </c>
      <c r="H155" s="1541">
        <f t="shared" si="125"/>
        <v>0</v>
      </c>
      <c r="I155" s="1541">
        <f t="shared" si="126"/>
        <v>0</v>
      </c>
      <c r="J155" s="1520">
        <f t="shared" si="127"/>
        <v>0</v>
      </c>
      <c r="K155" s="403"/>
      <c r="L155" s="201"/>
      <c r="M155" s="403"/>
      <c r="N155" s="201"/>
      <c r="O155" s="1522"/>
      <c r="P155" s="1299"/>
      <c r="Q155" s="1301"/>
      <c r="R155" s="1301"/>
      <c r="S155" s="1302"/>
      <c r="T155" s="481"/>
      <c r="U155" s="481"/>
      <c r="V155" s="481"/>
      <c r="W155" s="481"/>
      <c r="X155" s="481"/>
      <c r="Y155" s="481"/>
      <c r="Z155" s="481"/>
      <c r="AA155" s="481"/>
      <c r="AB155" s="481"/>
      <c r="CQ155" s="399"/>
      <c r="CR155" s="399"/>
      <c r="CS155" s="399"/>
      <c r="CT155" s="399"/>
      <c r="CU155" s="483"/>
      <c r="CV155" s="483"/>
      <c r="CW155" s="399"/>
      <c r="CX155" s="399"/>
      <c r="CY155" s="399"/>
      <c r="CZ155" s="399"/>
      <c r="DA155" s="399"/>
      <c r="DB155" s="399"/>
      <c r="DC155" s="399"/>
      <c r="DD155" s="399"/>
      <c r="DE155" s="399"/>
      <c r="DF155" s="399"/>
      <c r="DG155" s="399"/>
      <c r="DH155" s="399"/>
      <c r="DI155" s="399"/>
      <c r="DJ155" s="399"/>
      <c r="DK155" s="399"/>
      <c r="DL155" s="399"/>
      <c r="DM155" s="399"/>
      <c r="DN155" s="399"/>
      <c r="DO155" s="399"/>
      <c r="DP155" s="399"/>
      <c r="DQ155" s="399"/>
      <c r="DR155" s="399"/>
    </row>
    <row r="156" spans="2:122" s="480" customFormat="1" ht="15" thickBot="1" x14ac:dyDescent="0.25">
      <c r="B156" s="1621" t="str">
        <f t="shared" si="120"/>
        <v>Sammelposten</v>
      </c>
      <c r="C156" s="1622"/>
      <c r="D156" s="1542">
        <f>N27</f>
        <v>0</v>
      </c>
      <c r="E156" s="1544">
        <f ca="1">F156</f>
        <v>37</v>
      </c>
      <c r="F156" s="1544">
        <f ca="1">L13+($B$160-$B$82)*12</f>
        <v>37</v>
      </c>
      <c r="G156" s="1545">
        <v>5</v>
      </c>
      <c r="H156" s="1543">
        <f>D156/60</f>
        <v>0</v>
      </c>
      <c r="I156" s="1545" t="str">
        <f>IF(D156&gt;0,F156+G156*12-1,"")</f>
        <v/>
      </c>
      <c r="J156" s="1533"/>
      <c r="K156" s="403"/>
      <c r="L156" s="201"/>
      <c r="M156" s="403"/>
      <c r="N156" s="201"/>
      <c r="O156" s="1522"/>
      <c r="P156" s="1299"/>
      <c r="Q156" s="1301"/>
      <c r="R156" s="1301"/>
      <c r="S156" s="1302"/>
      <c r="T156" s="481"/>
      <c r="U156" s="481"/>
      <c r="V156" s="481"/>
      <c r="W156" s="481"/>
      <c r="X156" s="481"/>
      <c r="Y156" s="481"/>
      <c r="Z156" s="481"/>
      <c r="AA156" s="481"/>
      <c r="AB156" s="481"/>
      <c r="CQ156" s="399"/>
      <c r="CR156" s="399"/>
      <c r="CS156" s="399"/>
      <c r="CT156" s="399"/>
      <c r="CU156" s="483"/>
      <c r="CV156" s="483"/>
      <c r="CW156" s="399"/>
      <c r="CX156" s="399"/>
      <c r="CY156" s="399"/>
      <c r="CZ156" s="399"/>
      <c r="DA156" s="399"/>
      <c r="DB156" s="399"/>
      <c r="DC156" s="399"/>
      <c r="DD156" s="399"/>
      <c r="DE156" s="399"/>
      <c r="DF156" s="399"/>
      <c r="DG156" s="399"/>
      <c r="DH156" s="399"/>
      <c r="DI156" s="399"/>
      <c r="DJ156" s="399"/>
      <c r="DK156" s="399"/>
      <c r="DL156" s="399"/>
      <c r="DM156" s="399"/>
      <c r="DN156" s="399"/>
      <c r="DO156" s="399"/>
      <c r="DP156" s="399"/>
      <c r="DQ156" s="399"/>
      <c r="DR156" s="399"/>
    </row>
    <row r="157" spans="2:122" s="480" customFormat="1" ht="15.75" thickTop="1" thickBot="1" x14ac:dyDescent="0.25">
      <c r="B157" s="1521" t="str">
        <f t="shared" si="120"/>
        <v>Summe Anschaffungen</v>
      </c>
      <c r="C157" s="1534"/>
      <c r="D157" s="1535">
        <f>SUM(D149:D156)-J157</f>
        <v>0</v>
      </c>
      <c r="E157" s="176"/>
      <c r="F157" s="176"/>
      <c r="G157" s="176"/>
      <c r="H157" s="1535">
        <f>SUM(H149:H156)</f>
        <v>0</v>
      </c>
      <c r="I157" s="176"/>
      <c r="J157" s="1535">
        <f>SUM(J149:J156)</f>
        <v>0</v>
      </c>
      <c r="K157" s="403"/>
      <c r="L157" s="201"/>
      <c r="M157" s="403"/>
      <c r="N157" s="201"/>
      <c r="O157" s="1522"/>
      <c r="P157" s="1299"/>
      <c r="Q157" s="1301"/>
      <c r="R157" s="1301"/>
      <c r="S157" s="1302"/>
      <c r="T157" s="481"/>
      <c r="U157" s="481"/>
      <c r="V157" s="481"/>
      <c r="W157" s="481"/>
      <c r="X157" s="481"/>
      <c r="Y157" s="481"/>
      <c r="Z157" s="481"/>
      <c r="AA157" s="481"/>
      <c r="AB157" s="481"/>
      <c r="CQ157" s="399"/>
      <c r="CR157" s="399"/>
      <c r="CS157" s="399"/>
      <c r="CT157" s="399"/>
      <c r="CU157" s="483"/>
      <c r="CV157" s="483"/>
      <c r="CW157" s="399"/>
      <c r="CX157" s="399"/>
      <c r="CY157" s="399"/>
      <c r="CZ157" s="399"/>
      <c r="DA157" s="399"/>
      <c r="DB157" s="399"/>
      <c r="DC157" s="399"/>
      <c r="DD157" s="399"/>
      <c r="DE157" s="399"/>
      <c r="DF157" s="399"/>
      <c r="DG157" s="399"/>
      <c r="DH157" s="399"/>
      <c r="DI157" s="399"/>
      <c r="DJ157" s="399"/>
      <c r="DK157" s="399"/>
      <c r="DL157" s="399"/>
      <c r="DM157" s="399"/>
      <c r="DN157" s="399"/>
      <c r="DO157" s="399"/>
      <c r="DP157" s="399"/>
      <c r="DQ157" s="399"/>
      <c r="DR157" s="399"/>
    </row>
    <row r="158" spans="2:122" s="480" customFormat="1" ht="15" thickBot="1" x14ac:dyDescent="0.25">
      <c r="B158" s="176"/>
      <c r="C158" s="201"/>
      <c r="D158" s="176"/>
      <c r="E158" s="388"/>
      <c r="F158" s="176"/>
      <c r="G158" s="388"/>
      <c r="H158" s="176"/>
      <c r="I158" s="388"/>
      <c r="J158" s="176"/>
      <c r="K158" s="403"/>
      <c r="L158" s="201"/>
      <c r="M158" s="403"/>
      <c r="N158" s="201"/>
      <c r="O158" s="1522"/>
      <c r="P158" s="1299"/>
      <c r="Q158" s="1301"/>
      <c r="R158" s="1301"/>
      <c r="S158" s="1302"/>
      <c r="T158" s="481"/>
      <c r="U158" s="481"/>
      <c r="V158" s="481"/>
      <c r="W158" s="481"/>
      <c r="X158" s="481"/>
      <c r="Y158" s="481"/>
      <c r="Z158" s="481"/>
      <c r="AA158" s="481"/>
      <c r="AB158" s="481"/>
      <c r="CQ158" s="399"/>
      <c r="CR158" s="399"/>
      <c r="CS158" s="399"/>
      <c r="CT158" s="399"/>
      <c r="CU158" s="483"/>
      <c r="CV158" s="483"/>
      <c r="CW158" s="399"/>
      <c r="CX158" s="399"/>
      <c r="CY158" s="399"/>
      <c r="CZ158" s="399"/>
      <c r="DA158" s="399"/>
      <c r="DB158" s="399"/>
      <c r="DC158" s="399"/>
      <c r="DD158" s="399"/>
      <c r="DE158" s="399"/>
      <c r="DF158" s="399"/>
      <c r="DG158" s="399"/>
      <c r="DH158" s="399"/>
      <c r="DI158" s="399"/>
      <c r="DJ158" s="399"/>
      <c r="DK158" s="399"/>
      <c r="DL158" s="399"/>
      <c r="DM158" s="399"/>
      <c r="DN158" s="399"/>
      <c r="DO158" s="399"/>
      <c r="DP158" s="399"/>
      <c r="DQ158" s="399"/>
      <c r="DR158" s="399"/>
    </row>
    <row r="159" spans="2:122" s="480" customFormat="1" ht="14.45" customHeight="1" thickBot="1" x14ac:dyDescent="0.25">
      <c r="B159" s="1613" t="str">
        <f>B133</f>
        <v>laufender Monat</v>
      </c>
      <c r="C159" s="1614"/>
      <c r="D159" s="1508">
        <f ca="1">1+($B$160-$B$82)*12</f>
        <v>37</v>
      </c>
      <c r="E159" s="1509">
        <f ca="1">D159+1</f>
        <v>38</v>
      </c>
      <c r="F159" s="1509">
        <f t="shared" ref="F159:O159" ca="1" si="128">E159+1</f>
        <v>39</v>
      </c>
      <c r="G159" s="1509">
        <f t="shared" ca="1" si="128"/>
        <v>40</v>
      </c>
      <c r="H159" s="1509">
        <f t="shared" ca="1" si="128"/>
        <v>41</v>
      </c>
      <c r="I159" s="1509">
        <f t="shared" ca="1" si="128"/>
        <v>42</v>
      </c>
      <c r="J159" s="1509">
        <f t="shared" ca="1" si="128"/>
        <v>43</v>
      </c>
      <c r="K159" s="1509">
        <f t="shared" ca="1" si="128"/>
        <v>44</v>
      </c>
      <c r="L159" s="1509">
        <f t="shared" ca="1" si="128"/>
        <v>45</v>
      </c>
      <c r="M159" s="1509">
        <f t="shared" ca="1" si="128"/>
        <v>46</v>
      </c>
      <c r="N159" s="1509">
        <f t="shared" ca="1" si="128"/>
        <v>47</v>
      </c>
      <c r="O159" s="1509">
        <f t="shared" ca="1" si="128"/>
        <v>48</v>
      </c>
      <c r="P159" s="1510"/>
      <c r="Q159" s="1301"/>
      <c r="R159" s="1301"/>
      <c r="S159" s="1302"/>
      <c r="T159" s="481"/>
      <c r="U159" s="481"/>
      <c r="V159" s="481"/>
      <c r="W159" s="481"/>
      <c r="X159" s="481"/>
      <c r="Y159" s="481"/>
      <c r="Z159" s="481"/>
      <c r="AA159" s="481"/>
      <c r="AB159" s="481"/>
      <c r="CQ159" s="399"/>
      <c r="CR159" s="399"/>
      <c r="CS159" s="399"/>
      <c r="CT159" s="399"/>
      <c r="CU159" s="483"/>
      <c r="CV159" s="483"/>
      <c r="CW159" s="399"/>
      <c r="CX159" s="399"/>
      <c r="CY159" s="399"/>
      <c r="CZ159" s="399"/>
      <c r="DA159" s="399"/>
      <c r="DB159" s="399"/>
      <c r="DC159" s="399"/>
      <c r="DD159" s="399"/>
      <c r="DE159" s="399"/>
      <c r="DF159" s="399"/>
      <c r="DG159" s="399"/>
      <c r="DH159" s="399"/>
      <c r="DI159" s="399"/>
      <c r="DJ159" s="399"/>
      <c r="DK159" s="399"/>
      <c r="DL159" s="399"/>
      <c r="DM159" s="399"/>
      <c r="DN159" s="399"/>
      <c r="DO159" s="399"/>
      <c r="DP159" s="399"/>
      <c r="DQ159" s="399"/>
      <c r="DR159" s="399"/>
    </row>
    <row r="160" spans="2:122" s="480" customFormat="1" ht="15" thickBot="1" x14ac:dyDescent="0.25">
      <c r="B160" s="1613">
        <f ca="1">'1 Pers.Ausgaben|Pers Expenses'!C4+3</f>
        <v>2022</v>
      </c>
      <c r="C160" s="1614"/>
      <c r="D160" s="58" t="s">
        <v>1</v>
      </c>
      <c r="E160" s="53" t="s">
        <v>2</v>
      </c>
      <c r="F160" s="53" t="s">
        <v>3</v>
      </c>
      <c r="G160" s="53" t="s">
        <v>4</v>
      </c>
      <c r="H160" s="53" t="s">
        <v>5</v>
      </c>
      <c r="I160" s="53" t="s">
        <v>6</v>
      </c>
      <c r="J160" s="53" t="s">
        <v>7</v>
      </c>
      <c r="K160" s="53" t="s">
        <v>8</v>
      </c>
      <c r="L160" s="53" t="s">
        <v>9</v>
      </c>
      <c r="M160" s="53" t="s">
        <v>10</v>
      </c>
      <c r="N160" s="53" t="s">
        <v>11</v>
      </c>
      <c r="O160" s="53" t="s">
        <v>12</v>
      </c>
      <c r="P160" s="54" t="s">
        <v>782</v>
      </c>
      <c r="Q160" s="1301"/>
      <c r="R160" s="1301"/>
      <c r="S160" s="1302"/>
      <c r="T160" s="481"/>
      <c r="U160" s="481"/>
      <c r="V160" s="481"/>
      <c r="W160" s="481"/>
      <c r="X160" s="481"/>
      <c r="Y160" s="481"/>
      <c r="Z160" s="481"/>
      <c r="AA160" s="481"/>
      <c r="AB160" s="481"/>
      <c r="CQ160" s="399"/>
      <c r="CR160" s="399"/>
      <c r="CS160" s="399"/>
      <c r="CT160" s="399"/>
      <c r="CU160" s="483"/>
      <c r="CV160" s="483"/>
      <c r="CW160" s="399"/>
      <c r="CX160" s="399"/>
      <c r="CY160" s="399"/>
      <c r="CZ160" s="399"/>
      <c r="DA160" s="399"/>
      <c r="DB160" s="399"/>
      <c r="DC160" s="399"/>
      <c r="DD160" s="399"/>
      <c r="DE160" s="399"/>
      <c r="DF160" s="399"/>
      <c r="DG160" s="399"/>
      <c r="DH160" s="399"/>
      <c r="DI160" s="399"/>
      <c r="DJ160" s="399"/>
      <c r="DK160" s="399"/>
      <c r="DL160" s="399"/>
      <c r="DM160" s="399"/>
      <c r="DN160" s="399"/>
      <c r="DO160" s="399"/>
      <c r="DP160" s="399"/>
      <c r="DQ160" s="399"/>
      <c r="DR160" s="399"/>
    </row>
    <row r="161" spans="1:122" s="480" customFormat="1" x14ac:dyDescent="0.2">
      <c r="B161" s="1625" t="str">
        <f>B149</f>
        <v>Investitionsgut 1</v>
      </c>
      <c r="C161" s="1626"/>
      <c r="D161" s="1513">
        <f ca="1">IF($G149="x",0,IF(OR(D$159&lt;$E149,D$159&gt;$I149),0,$H149))</f>
        <v>0</v>
      </c>
      <c r="E161" s="1513">
        <f t="shared" ref="E161:O161" ca="1" si="129">IF($G149="x",0,IF(OR(E$159&lt;$E149,E$159&gt;$I149),0,$H149))</f>
        <v>0</v>
      </c>
      <c r="F161" s="1513">
        <f t="shared" ca="1" si="129"/>
        <v>0</v>
      </c>
      <c r="G161" s="1513">
        <f t="shared" ca="1" si="129"/>
        <v>0</v>
      </c>
      <c r="H161" s="1513">
        <f t="shared" ca="1" si="129"/>
        <v>0</v>
      </c>
      <c r="I161" s="1513">
        <f t="shared" ca="1" si="129"/>
        <v>0</v>
      </c>
      <c r="J161" s="1513">
        <f t="shared" ca="1" si="129"/>
        <v>0</v>
      </c>
      <c r="K161" s="1513">
        <f t="shared" ca="1" si="129"/>
        <v>0</v>
      </c>
      <c r="L161" s="1513">
        <f t="shared" ca="1" si="129"/>
        <v>0</v>
      </c>
      <c r="M161" s="1513">
        <f t="shared" ca="1" si="129"/>
        <v>0</v>
      </c>
      <c r="N161" s="1513">
        <f t="shared" ca="1" si="129"/>
        <v>0</v>
      </c>
      <c r="O161" s="1513">
        <f t="shared" ca="1" si="129"/>
        <v>0</v>
      </c>
      <c r="P161" s="1512">
        <f ca="1">SUM(D161:O161)</f>
        <v>0</v>
      </c>
      <c r="Q161" s="1301"/>
      <c r="R161" s="1301"/>
      <c r="S161" s="1302"/>
      <c r="T161" s="481"/>
      <c r="U161" s="481"/>
      <c r="V161" s="481"/>
      <c r="W161" s="481"/>
      <c r="X161" s="481"/>
      <c r="Y161" s="481"/>
      <c r="Z161" s="481"/>
      <c r="AA161" s="481"/>
      <c r="AB161" s="481"/>
      <c r="CQ161" s="399"/>
      <c r="CR161" s="399"/>
      <c r="CS161" s="399"/>
      <c r="CT161" s="399"/>
      <c r="CU161" s="483"/>
      <c r="CV161" s="483"/>
      <c r="CW161" s="399"/>
      <c r="CX161" s="399"/>
      <c r="CY161" s="399"/>
      <c r="CZ161" s="399"/>
      <c r="DA161" s="399"/>
      <c r="DB161" s="399"/>
      <c r="DC161" s="399"/>
      <c r="DD161" s="399"/>
      <c r="DE161" s="399"/>
      <c r="DF161" s="399"/>
      <c r="DG161" s="399"/>
      <c r="DH161" s="399"/>
      <c r="DI161" s="399"/>
      <c r="DJ161" s="399"/>
      <c r="DK161" s="399"/>
      <c r="DL161" s="399"/>
      <c r="DM161" s="399"/>
      <c r="DN161" s="399"/>
      <c r="DO161" s="399"/>
      <c r="DP161" s="399"/>
      <c r="DQ161" s="399"/>
      <c r="DR161" s="399"/>
    </row>
    <row r="162" spans="1:122" s="480" customFormat="1" x14ac:dyDescent="0.2">
      <c r="B162" s="1625" t="str">
        <f t="shared" ref="B162:B167" si="130">B150</f>
        <v>Investitionsgut 2</v>
      </c>
      <c r="C162" s="1626"/>
      <c r="D162" s="1513">
        <f t="shared" ref="D162:O162" ca="1" si="131">IF($G150="x",0,IF(OR(D$159&lt;$E150,D$159&gt;$I150),0,$H150))</f>
        <v>0</v>
      </c>
      <c r="E162" s="1513">
        <f t="shared" ca="1" si="131"/>
        <v>0</v>
      </c>
      <c r="F162" s="1513">
        <f t="shared" ca="1" si="131"/>
        <v>0</v>
      </c>
      <c r="G162" s="1513">
        <f t="shared" ca="1" si="131"/>
        <v>0</v>
      </c>
      <c r="H162" s="1513">
        <f t="shared" ca="1" si="131"/>
        <v>0</v>
      </c>
      <c r="I162" s="1513">
        <f t="shared" ca="1" si="131"/>
        <v>0</v>
      </c>
      <c r="J162" s="1513">
        <f t="shared" ca="1" si="131"/>
        <v>0</v>
      </c>
      <c r="K162" s="1513">
        <f t="shared" ca="1" si="131"/>
        <v>0</v>
      </c>
      <c r="L162" s="1513">
        <f t="shared" ca="1" si="131"/>
        <v>0</v>
      </c>
      <c r="M162" s="1513">
        <f t="shared" ca="1" si="131"/>
        <v>0</v>
      </c>
      <c r="N162" s="1513">
        <f t="shared" ca="1" si="131"/>
        <v>0</v>
      </c>
      <c r="O162" s="1513">
        <f t="shared" ca="1" si="131"/>
        <v>0</v>
      </c>
      <c r="P162" s="1514">
        <f t="shared" ref="P162:P167" ca="1" si="132">SUM(D162:O162)</f>
        <v>0</v>
      </c>
      <c r="Q162" s="1301"/>
      <c r="R162" s="1301"/>
      <c r="S162" s="1302"/>
      <c r="T162" s="481"/>
      <c r="U162" s="481"/>
      <c r="V162" s="481"/>
      <c r="W162" s="481"/>
      <c r="X162" s="481"/>
      <c r="Y162" s="481"/>
      <c r="Z162" s="481"/>
      <c r="AA162" s="481"/>
      <c r="AB162" s="481"/>
      <c r="CQ162" s="399"/>
      <c r="CR162" s="399"/>
      <c r="CS162" s="399"/>
      <c r="CT162" s="399"/>
      <c r="CU162" s="483"/>
      <c r="CV162" s="483"/>
      <c r="CW162" s="399"/>
      <c r="CX162" s="399"/>
      <c r="CY162" s="399"/>
      <c r="CZ162" s="399"/>
      <c r="DA162" s="399"/>
      <c r="DB162" s="399"/>
      <c r="DC162" s="399"/>
      <c r="DD162" s="399"/>
      <c r="DE162" s="399"/>
      <c r="DF162" s="399"/>
      <c r="DG162" s="399"/>
      <c r="DH162" s="399"/>
      <c r="DI162" s="399"/>
      <c r="DJ162" s="399"/>
      <c r="DK162" s="399"/>
      <c r="DL162" s="399"/>
      <c r="DM162" s="399"/>
      <c r="DN162" s="399"/>
      <c r="DO162" s="399"/>
      <c r="DP162" s="399"/>
      <c r="DQ162" s="399"/>
      <c r="DR162" s="399"/>
    </row>
    <row r="163" spans="1:122" s="480" customFormat="1" x14ac:dyDescent="0.2">
      <c r="B163" s="1625" t="str">
        <f t="shared" si="130"/>
        <v>Investitionsgut 3</v>
      </c>
      <c r="C163" s="1626"/>
      <c r="D163" s="1513">
        <f t="shared" ref="D163:O163" ca="1" si="133">IF($G151="x",0,IF(OR(D$159&lt;$E151,D$159&gt;$I151),0,$H151))</f>
        <v>0</v>
      </c>
      <c r="E163" s="1513">
        <f t="shared" ca="1" si="133"/>
        <v>0</v>
      </c>
      <c r="F163" s="1513">
        <f t="shared" ca="1" si="133"/>
        <v>0</v>
      </c>
      <c r="G163" s="1513">
        <f t="shared" ca="1" si="133"/>
        <v>0</v>
      </c>
      <c r="H163" s="1513">
        <f t="shared" ca="1" si="133"/>
        <v>0</v>
      </c>
      <c r="I163" s="1513">
        <f t="shared" ca="1" si="133"/>
        <v>0</v>
      </c>
      <c r="J163" s="1513">
        <f t="shared" ca="1" si="133"/>
        <v>0</v>
      </c>
      <c r="K163" s="1513">
        <f t="shared" ca="1" si="133"/>
        <v>0</v>
      </c>
      <c r="L163" s="1513">
        <f t="shared" ca="1" si="133"/>
        <v>0</v>
      </c>
      <c r="M163" s="1513">
        <f t="shared" ca="1" si="133"/>
        <v>0</v>
      </c>
      <c r="N163" s="1513">
        <f t="shared" ca="1" si="133"/>
        <v>0</v>
      </c>
      <c r="O163" s="1513">
        <f t="shared" ca="1" si="133"/>
        <v>0</v>
      </c>
      <c r="P163" s="1514">
        <f t="shared" ca="1" si="132"/>
        <v>0</v>
      </c>
      <c r="Q163" s="1301"/>
      <c r="R163" s="1301"/>
      <c r="S163" s="1302"/>
      <c r="T163" s="481"/>
      <c r="U163" s="481"/>
      <c r="V163" s="481"/>
      <c r="W163" s="481"/>
      <c r="X163" s="481"/>
      <c r="Y163" s="481"/>
      <c r="Z163" s="481"/>
      <c r="AA163" s="481"/>
      <c r="AB163" s="481"/>
      <c r="CQ163" s="399"/>
      <c r="CR163" s="399"/>
      <c r="CS163" s="399"/>
      <c r="CT163" s="399"/>
      <c r="CU163" s="483"/>
      <c r="CV163" s="483"/>
      <c r="CW163" s="399"/>
      <c r="CX163" s="399"/>
      <c r="CY163" s="399"/>
      <c r="CZ163" s="399"/>
      <c r="DA163" s="399"/>
      <c r="DB163" s="399"/>
      <c r="DC163" s="399"/>
      <c r="DD163" s="399"/>
      <c r="DE163" s="399"/>
      <c r="DF163" s="399"/>
      <c r="DG163" s="399"/>
      <c r="DH163" s="399"/>
      <c r="DI163" s="399"/>
      <c r="DJ163" s="399"/>
      <c r="DK163" s="399"/>
      <c r="DL163" s="399"/>
      <c r="DM163" s="399"/>
      <c r="DN163" s="399"/>
      <c r="DO163" s="399"/>
      <c r="DP163" s="399"/>
      <c r="DQ163" s="399"/>
      <c r="DR163" s="399"/>
    </row>
    <row r="164" spans="1:122" s="480" customFormat="1" x14ac:dyDescent="0.2">
      <c r="B164" s="1625" t="str">
        <f t="shared" si="130"/>
        <v>Investitionsgut 4</v>
      </c>
      <c r="C164" s="1626"/>
      <c r="D164" s="1513">
        <f t="shared" ref="D164:O164" ca="1" si="134">IF($G152="x",0,IF(OR(D$159&lt;$E152,D$159&gt;$I152),0,$H152))</f>
        <v>0</v>
      </c>
      <c r="E164" s="1513">
        <f t="shared" ca="1" si="134"/>
        <v>0</v>
      </c>
      <c r="F164" s="1513">
        <f t="shared" ca="1" si="134"/>
        <v>0</v>
      </c>
      <c r="G164" s="1513">
        <f t="shared" ca="1" si="134"/>
        <v>0</v>
      </c>
      <c r="H164" s="1513">
        <f t="shared" ca="1" si="134"/>
        <v>0</v>
      </c>
      <c r="I164" s="1513">
        <f t="shared" ca="1" si="134"/>
        <v>0</v>
      </c>
      <c r="J164" s="1513">
        <f t="shared" ca="1" si="134"/>
        <v>0</v>
      </c>
      <c r="K164" s="1513">
        <f t="shared" ca="1" si="134"/>
        <v>0</v>
      </c>
      <c r="L164" s="1513">
        <f t="shared" ca="1" si="134"/>
        <v>0</v>
      </c>
      <c r="M164" s="1513">
        <f t="shared" ca="1" si="134"/>
        <v>0</v>
      </c>
      <c r="N164" s="1513">
        <f t="shared" ca="1" si="134"/>
        <v>0</v>
      </c>
      <c r="O164" s="1513">
        <f t="shared" ca="1" si="134"/>
        <v>0</v>
      </c>
      <c r="P164" s="1514">
        <f t="shared" ca="1" si="132"/>
        <v>0</v>
      </c>
      <c r="Q164" s="1301"/>
      <c r="R164" s="1301"/>
      <c r="S164" s="1302"/>
      <c r="T164" s="481"/>
      <c r="U164" s="481"/>
      <c r="V164" s="481"/>
      <c r="W164" s="481"/>
      <c r="X164" s="481"/>
      <c r="Y164" s="481"/>
      <c r="Z164" s="481"/>
      <c r="AA164" s="481"/>
      <c r="AB164" s="481"/>
      <c r="CQ164" s="399"/>
      <c r="CR164" s="399"/>
      <c r="CS164" s="399"/>
      <c r="CT164" s="399"/>
      <c r="CU164" s="483"/>
      <c r="CV164" s="483"/>
      <c r="CW164" s="399"/>
      <c r="CX164" s="399"/>
      <c r="CY164" s="399"/>
      <c r="CZ164" s="399"/>
      <c r="DA164" s="399"/>
      <c r="DB164" s="399"/>
      <c r="DC164" s="399"/>
      <c r="DD164" s="399"/>
      <c r="DE164" s="399"/>
      <c r="DF164" s="399"/>
      <c r="DG164" s="399"/>
      <c r="DH164" s="399"/>
      <c r="DI164" s="399"/>
      <c r="DJ164" s="399"/>
      <c r="DK164" s="399"/>
      <c r="DL164" s="399"/>
      <c r="DM164" s="399"/>
      <c r="DN164" s="399"/>
      <c r="DO164" s="399"/>
      <c r="DP164" s="399"/>
      <c r="DQ164" s="399"/>
      <c r="DR164" s="399"/>
    </row>
    <row r="165" spans="1:122" s="480" customFormat="1" x14ac:dyDescent="0.2">
      <c r="B165" s="1625" t="str">
        <f t="shared" si="130"/>
        <v>Investitionsgut 5</v>
      </c>
      <c r="C165" s="1626"/>
      <c r="D165" s="1513">
        <f t="shared" ref="D165:O165" ca="1" si="135">IF($G153="x",0,IF(OR(D$159&lt;$E153,D$159&gt;$I153),0,$H153))</f>
        <v>0</v>
      </c>
      <c r="E165" s="1513">
        <f t="shared" ca="1" si="135"/>
        <v>0</v>
      </c>
      <c r="F165" s="1513">
        <f t="shared" ca="1" si="135"/>
        <v>0</v>
      </c>
      <c r="G165" s="1513">
        <f t="shared" ca="1" si="135"/>
        <v>0</v>
      </c>
      <c r="H165" s="1513">
        <f t="shared" ca="1" si="135"/>
        <v>0</v>
      </c>
      <c r="I165" s="1513">
        <f t="shared" ca="1" si="135"/>
        <v>0</v>
      </c>
      <c r="J165" s="1513">
        <f t="shared" ca="1" si="135"/>
        <v>0</v>
      </c>
      <c r="K165" s="1513">
        <f t="shared" ca="1" si="135"/>
        <v>0</v>
      </c>
      <c r="L165" s="1513">
        <f t="shared" ca="1" si="135"/>
        <v>0</v>
      </c>
      <c r="M165" s="1513">
        <f t="shared" ca="1" si="135"/>
        <v>0</v>
      </c>
      <c r="N165" s="1513">
        <f t="shared" ca="1" si="135"/>
        <v>0</v>
      </c>
      <c r="O165" s="1513">
        <f t="shared" ca="1" si="135"/>
        <v>0</v>
      </c>
      <c r="P165" s="1514">
        <f t="shared" ca="1" si="132"/>
        <v>0</v>
      </c>
      <c r="Q165" s="1301"/>
      <c r="R165" s="1301"/>
      <c r="S165" s="1302"/>
      <c r="T165" s="481"/>
      <c r="U165" s="481"/>
      <c r="V165" s="481"/>
      <c r="W165" s="481"/>
      <c r="X165" s="481"/>
      <c r="Y165" s="481"/>
      <c r="Z165" s="481"/>
      <c r="AA165" s="481"/>
      <c r="AB165" s="481"/>
      <c r="CQ165" s="399"/>
      <c r="CR165" s="399"/>
      <c r="CS165" s="399"/>
      <c r="CT165" s="399"/>
      <c r="CU165" s="483"/>
      <c r="CV165" s="483"/>
      <c r="CW165" s="399"/>
      <c r="CX165" s="399"/>
      <c r="CY165" s="399"/>
      <c r="CZ165" s="399"/>
      <c r="DA165" s="399"/>
      <c r="DB165" s="399"/>
      <c r="DC165" s="399"/>
      <c r="DD165" s="399"/>
      <c r="DE165" s="399"/>
      <c r="DF165" s="399"/>
      <c r="DG165" s="399"/>
      <c r="DH165" s="399"/>
      <c r="DI165" s="399"/>
      <c r="DJ165" s="399"/>
      <c r="DK165" s="399"/>
      <c r="DL165" s="399"/>
      <c r="DM165" s="399"/>
      <c r="DN165" s="399"/>
      <c r="DO165" s="399"/>
      <c r="DP165" s="399"/>
      <c r="DQ165" s="399"/>
      <c r="DR165" s="399"/>
    </row>
    <row r="166" spans="1:122" s="480" customFormat="1" x14ac:dyDescent="0.2">
      <c r="B166" s="1625" t="str">
        <f t="shared" si="130"/>
        <v>Investitionsgut 6</v>
      </c>
      <c r="C166" s="1626"/>
      <c r="D166" s="1513">
        <f t="shared" ref="D166:O166" ca="1" si="136">IF($G154="x",0,IF(OR(D$159&lt;$E154,D$159&gt;$I154),0,$H154))</f>
        <v>0</v>
      </c>
      <c r="E166" s="1513">
        <f t="shared" ca="1" si="136"/>
        <v>0</v>
      </c>
      <c r="F166" s="1513">
        <f t="shared" ca="1" si="136"/>
        <v>0</v>
      </c>
      <c r="G166" s="1513">
        <f t="shared" ca="1" si="136"/>
        <v>0</v>
      </c>
      <c r="H166" s="1513">
        <f t="shared" ca="1" si="136"/>
        <v>0</v>
      </c>
      <c r="I166" s="1513">
        <f t="shared" ca="1" si="136"/>
        <v>0</v>
      </c>
      <c r="J166" s="1513">
        <f t="shared" ca="1" si="136"/>
        <v>0</v>
      </c>
      <c r="K166" s="1513">
        <f t="shared" ca="1" si="136"/>
        <v>0</v>
      </c>
      <c r="L166" s="1513">
        <f t="shared" ca="1" si="136"/>
        <v>0</v>
      </c>
      <c r="M166" s="1513">
        <f t="shared" ca="1" si="136"/>
        <v>0</v>
      </c>
      <c r="N166" s="1513">
        <f t="shared" ca="1" si="136"/>
        <v>0</v>
      </c>
      <c r="O166" s="1513">
        <f t="shared" ca="1" si="136"/>
        <v>0</v>
      </c>
      <c r="P166" s="1514">
        <f t="shared" ca="1" si="132"/>
        <v>0</v>
      </c>
      <c r="Q166" s="1301"/>
      <c r="R166" s="1301"/>
      <c r="S166" s="1302"/>
      <c r="T166" s="481"/>
      <c r="U166" s="481"/>
      <c r="V166" s="481"/>
      <c r="W166" s="481"/>
      <c r="X166" s="481"/>
      <c r="Y166" s="481"/>
      <c r="Z166" s="481"/>
      <c r="AA166" s="481"/>
      <c r="AB166" s="481"/>
      <c r="CQ166" s="399"/>
      <c r="CR166" s="399"/>
      <c r="CS166" s="399"/>
      <c r="CT166" s="399"/>
      <c r="CU166" s="483"/>
      <c r="CV166" s="483"/>
      <c r="CW166" s="399"/>
      <c r="CX166" s="399"/>
      <c r="CY166" s="399"/>
      <c r="CZ166" s="399"/>
      <c r="DA166" s="399"/>
      <c r="DB166" s="399"/>
      <c r="DC166" s="399"/>
      <c r="DD166" s="399"/>
      <c r="DE166" s="399"/>
      <c r="DF166" s="399"/>
      <c r="DG166" s="399"/>
      <c r="DH166" s="399"/>
      <c r="DI166" s="399"/>
      <c r="DJ166" s="399"/>
      <c r="DK166" s="399"/>
      <c r="DL166" s="399"/>
      <c r="DM166" s="399"/>
      <c r="DN166" s="399"/>
      <c r="DO166" s="399"/>
      <c r="DP166" s="399"/>
      <c r="DQ166" s="399"/>
      <c r="DR166" s="399"/>
    </row>
    <row r="167" spans="1:122" s="480" customFormat="1" x14ac:dyDescent="0.2">
      <c r="B167" s="1627" t="str">
        <f t="shared" si="130"/>
        <v>Investitionsgut 7</v>
      </c>
      <c r="C167" s="1628"/>
      <c r="D167" s="1513">
        <f t="shared" ref="D167:O167" ca="1" si="137">IF($G155="x",0,IF(OR(D$159&lt;$E155,D$159&gt;$I155),0,$H155))</f>
        <v>0</v>
      </c>
      <c r="E167" s="1513">
        <f t="shared" ca="1" si="137"/>
        <v>0</v>
      </c>
      <c r="F167" s="1513">
        <f t="shared" ca="1" si="137"/>
        <v>0</v>
      </c>
      <c r="G167" s="1513">
        <f t="shared" ca="1" si="137"/>
        <v>0</v>
      </c>
      <c r="H167" s="1513">
        <f t="shared" ca="1" si="137"/>
        <v>0</v>
      </c>
      <c r="I167" s="1513">
        <f t="shared" ca="1" si="137"/>
        <v>0</v>
      </c>
      <c r="J167" s="1513">
        <f t="shared" ca="1" si="137"/>
        <v>0</v>
      </c>
      <c r="K167" s="1513">
        <f t="shared" ca="1" si="137"/>
        <v>0</v>
      </c>
      <c r="L167" s="1513">
        <f t="shared" ca="1" si="137"/>
        <v>0</v>
      </c>
      <c r="M167" s="1513">
        <f t="shared" ca="1" si="137"/>
        <v>0</v>
      </c>
      <c r="N167" s="1513">
        <f t="shared" ca="1" si="137"/>
        <v>0</v>
      </c>
      <c r="O167" s="1513">
        <f t="shared" ca="1" si="137"/>
        <v>0</v>
      </c>
      <c r="P167" s="1523">
        <f t="shared" ca="1" si="132"/>
        <v>0</v>
      </c>
      <c r="Q167" s="1301"/>
      <c r="R167" s="1301"/>
      <c r="S167" s="1302"/>
      <c r="T167" s="481"/>
      <c r="U167" s="481"/>
      <c r="V167" s="481"/>
      <c r="W167" s="481"/>
      <c r="X167" s="481"/>
      <c r="Y167" s="481"/>
      <c r="Z167" s="481"/>
      <c r="AA167" s="481"/>
      <c r="AB167" s="481"/>
      <c r="CQ167" s="399"/>
      <c r="CR167" s="399"/>
      <c r="CS167" s="399"/>
      <c r="CT167" s="399"/>
      <c r="CU167" s="483"/>
      <c r="CV167" s="483"/>
      <c r="CW167" s="399"/>
      <c r="CX167" s="399"/>
      <c r="CY167" s="399"/>
      <c r="CZ167" s="399"/>
      <c r="DA167" s="399"/>
      <c r="DB167" s="399"/>
      <c r="DC167" s="399"/>
      <c r="DD167" s="399"/>
      <c r="DE167" s="399"/>
      <c r="DF167" s="399"/>
      <c r="DG167" s="399"/>
      <c r="DH167" s="399"/>
      <c r="DI167" s="399"/>
      <c r="DJ167" s="399"/>
      <c r="DK167" s="399"/>
      <c r="DL167" s="399"/>
      <c r="DM167" s="399"/>
      <c r="DN167" s="399"/>
      <c r="DO167" s="399"/>
      <c r="DP167" s="399"/>
      <c r="DQ167" s="399"/>
      <c r="DR167" s="399"/>
    </row>
    <row r="168" spans="1:122" s="480" customFormat="1" x14ac:dyDescent="0.2">
      <c r="B168" s="1629" t="str">
        <f>B142</f>
        <v>Sammelposten</v>
      </c>
      <c r="C168" s="1630"/>
      <c r="D168" s="1526">
        <f ca="1">IF($F156&lt;=D$159,$H156,"")</f>
        <v>0</v>
      </c>
      <c r="E168" s="1526">
        <f t="shared" ref="E168:O168" ca="1" si="138">IF($F156&lt;=E$159,$H156,"")</f>
        <v>0</v>
      </c>
      <c r="F168" s="1526">
        <f t="shared" ca="1" si="138"/>
        <v>0</v>
      </c>
      <c r="G168" s="1526">
        <f t="shared" ca="1" si="138"/>
        <v>0</v>
      </c>
      <c r="H168" s="1526">
        <f t="shared" ca="1" si="138"/>
        <v>0</v>
      </c>
      <c r="I168" s="1526">
        <f t="shared" ca="1" si="138"/>
        <v>0</v>
      </c>
      <c r="J168" s="1526">
        <f t="shared" ca="1" si="138"/>
        <v>0</v>
      </c>
      <c r="K168" s="1526">
        <f t="shared" ca="1" si="138"/>
        <v>0</v>
      </c>
      <c r="L168" s="1526">
        <f t="shared" ca="1" si="138"/>
        <v>0</v>
      </c>
      <c r="M168" s="1526">
        <f t="shared" ca="1" si="138"/>
        <v>0</v>
      </c>
      <c r="N168" s="1526">
        <f t="shared" ca="1" si="138"/>
        <v>0</v>
      </c>
      <c r="O168" s="1526">
        <f t="shared" ca="1" si="138"/>
        <v>0</v>
      </c>
      <c r="P168" s="1527">
        <f ca="1">SUM(D168:O168)</f>
        <v>0</v>
      </c>
      <c r="Q168" s="1301"/>
      <c r="R168" s="1301"/>
      <c r="S168" s="1302"/>
      <c r="T168" s="481"/>
      <c r="U168" s="481"/>
      <c r="V168" s="481"/>
      <c r="W168" s="481"/>
      <c r="X168" s="481"/>
      <c r="Y168" s="481"/>
      <c r="Z168" s="481"/>
      <c r="AA168" s="481"/>
      <c r="AB168" s="481"/>
      <c r="CQ168" s="399"/>
      <c r="CR168" s="399"/>
      <c r="CS168" s="399"/>
      <c r="CT168" s="399"/>
      <c r="CU168" s="483"/>
      <c r="CV168" s="483"/>
      <c r="CW168" s="399"/>
      <c r="CX168" s="399"/>
      <c r="CY168" s="399"/>
      <c r="CZ168" s="399"/>
      <c r="DA168" s="399"/>
      <c r="DB168" s="399"/>
      <c r="DC168" s="399"/>
      <c r="DD168" s="399"/>
      <c r="DE168" s="399"/>
      <c r="DF168" s="399"/>
      <c r="DG168" s="399"/>
      <c r="DH168" s="399"/>
      <c r="DI168" s="399"/>
      <c r="DJ168" s="399"/>
      <c r="DK168" s="399"/>
      <c r="DL168" s="399"/>
      <c r="DM168" s="399"/>
      <c r="DN168" s="399"/>
      <c r="DO168" s="399"/>
      <c r="DP168" s="399"/>
      <c r="DQ168" s="399"/>
      <c r="DR168" s="399"/>
    </row>
    <row r="169" spans="1:122" s="176" customFormat="1" ht="15" thickBot="1" x14ac:dyDescent="0.25">
      <c r="B169" s="1528" t="str">
        <f>"Summe" &amp;" "&amp;B168</f>
        <v>Summe Sammelposten</v>
      </c>
      <c r="C169" s="1529"/>
      <c r="D169" s="1530">
        <f ca="1">D168+D143</f>
        <v>0</v>
      </c>
      <c r="E169" s="1530">
        <f t="shared" ref="E169" ca="1" si="139">E168+E143</f>
        <v>0</v>
      </c>
      <c r="F169" s="1530">
        <f t="shared" ref="F169" ca="1" si="140">F168+F143</f>
        <v>0</v>
      </c>
      <c r="G169" s="1530">
        <f t="shared" ref="G169" ca="1" si="141">G168+G143</f>
        <v>0</v>
      </c>
      <c r="H169" s="1530">
        <f t="shared" ref="H169" ca="1" si="142">H168+H143</f>
        <v>0</v>
      </c>
      <c r="I169" s="1530">
        <f t="shared" ref="I169" ca="1" si="143">I168+I143</f>
        <v>0</v>
      </c>
      <c r="J169" s="1530">
        <f t="shared" ref="J169" ca="1" si="144">J168+J143</f>
        <v>0</v>
      </c>
      <c r="K169" s="1530">
        <f t="shared" ref="K169" ca="1" si="145">K168+K143</f>
        <v>0</v>
      </c>
      <c r="L169" s="1530">
        <f t="shared" ref="L169" ca="1" si="146">L168+L143</f>
        <v>0</v>
      </c>
      <c r="M169" s="1530">
        <f t="shared" ref="M169" ca="1" si="147">M168+M143</f>
        <v>0</v>
      </c>
      <c r="N169" s="1530">
        <f t="shared" ref="N169" ca="1" si="148">N168+N143</f>
        <v>0</v>
      </c>
      <c r="O169" s="1530">
        <f t="shared" ref="O169" ca="1" si="149">O168+O143</f>
        <v>0</v>
      </c>
      <c r="P169" s="1532">
        <f ca="1">SUM(D169:O169)</f>
        <v>0</v>
      </c>
      <c r="S169" s="206"/>
      <c r="CQ169" s="179"/>
      <c r="CR169" s="179"/>
      <c r="CS169" s="179"/>
      <c r="CT169" s="179"/>
      <c r="CU169" s="228"/>
      <c r="CV169" s="189"/>
      <c r="CW169" s="180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80"/>
      <c r="DI169" s="180"/>
      <c r="DJ169" s="180"/>
      <c r="DK169" s="180"/>
      <c r="DL169" s="180"/>
      <c r="DM169" s="180"/>
      <c r="DN169" s="180"/>
      <c r="DO169" s="180"/>
      <c r="DP169" s="180"/>
      <c r="DQ169" s="180"/>
      <c r="DR169" s="180"/>
    </row>
    <row r="170" spans="1:122" s="480" customFormat="1" ht="15.75" thickTop="1" thickBot="1" x14ac:dyDescent="0.25">
      <c r="A170" s="1511"/>
      <c r="B170" s="1615" t="str">
        <f>B144</f>
        <v>Summe Abschreibungen</v>
      </c>
      <c r="C170" s="1616"/>
      <c r="D170" s="1524">
        <f ca="1">SUM(D161:D167)+D169</f>
        <v>0</v>
      </c>
      <c r="E170" s="1524">
        <f t="shared" ref="E170" ca="1" si="150">SUM(E161:E167)+E169</f>
        <v>0</v>
      </c>
      <c r="F170" s="1524">
        <f t="shared" ref="F170" ca="1" si="151">SUM(F161:F167)+F169</f>
        <v>0</v>
      </c>
      <c r="G170" s="1524">
        <f t="shared" ref="G170" ca="1" si="152">SUM(G161:G167)+G169</f>
        <v>0</v>
      </c>
      <c r="H170" s="1524">
        <f t="shared" ref="H170" ca="1" si="153">SUM(H161:H167)+H169</f>
        <v>0</v>
      </c>
      <c r="I170" s="1524">
        <f t="shared" ref="I170" ca="1" si="154">SUM(I161:I167)+I169</f>
        <v>0</v>
      </c>
      <c r="J170" s="1524">
        <f t="shared" ref="J170" ca="1" si="155">SUM(J161:J167)+J169</f>
        <v>0</v>
      </c>
      <c r="K170" s="1524">
        <f t="shared" ref="K170" ca="1" si="156">SUM(K161:K167)+K169</f>
        <v>0</v>
      </c>
      <c r="L170" s="1524">
        <f t="shared" ref="L170" ca="1" si="157">SUM(L161:L167)+L169</f>
        <v>0</v>
      </c>
      <c r="M170" s="1524">
        <f t="shared" ref="M170" ca="1" si="158">SUM(M161:M167)+M169</f>
        <v>0</v>
      </c>
      <c r="N170" s="1524">
        <f t="shared" ref="N170" ca="1" si="159">SUM(N161:N167)+N169</f>
        <v>0</v>
      </c>
      <c r="O170" s="1524">
        <f t="shared" ref="O170" ca="1" si="160">SUM(O161:O167)+O169</f>
        <v>0</v>
      </c>
      <c r="P170" s="1525">
        <f ca="1">SUM(D170:O170)</f>
        <v>0</v>
      </c>
      <c r="Q170" s="1301"/>
      <c r="R170" s="1301"/>
      <c r="S170" s="1302"/>
      <c r="T170" s="481"/>
      <c r="U170" s="481"/>
      <c r="V170" s="481"/>
      <c r="W170" s="481"/>
      <c r="X170" s="481"/>
      <c r="Y170" s="481"/>
      <c r="Z170" s="481"/>
      <c r="AA170" s="481"/>
      <c r="AB170" s="481"/>
      <c r="CQ170" s="399"/>
      <c r="CR170" s="399"/>
      <c r="CS170" s="399"/>
      <c r="CT170" s="399"/>
      <c r="CU170" s="483"/>
      <c r="CV170" s="483"/>
      <c r="CW170" s="399"/>
      <c r="CX170" s="399"/>
      <c r="CY170" s="399"/>
      <c r="CZ170" s="399"/>
      <c r="DA170" s="399"/>
      <c r="DB170" s="399"/>
      <c r="DC170" s="399"/>
      <c r="DD170" s="399"/>
      <c r="DE170" s="399"/>
      <c r="DF170" s="399"/>
      <c r="DG170" s="399"/>
      <c r="DH170" s="399"/>
      <c r="DI170" s="399"/>
      <c r="DJ170" s="399"/>
      <c r="DK170" s="399"/>
      <c r="DL170" s="399"/>
      <c r="DM170" s="399"/>
      <c r="DN170" s="399"/>
      <c r="DO170" s="399"/>
      <c r="DP170" s="399"/>
      <c r="DQ170" s="399"/>
      <c r="DR170" s="399"/>
    </row>
    <row r="171" spans="1:122" s="480" customFormat="1" x14ac:dyDescent="0.2">
      <c r="B171" s="186"/>
      <c r="C171" s="1511"/>
      <c r="D171" s="1511"/>
      <c r="E171" s="1511"/>
      <c r="F171" s="1511"/>
      <c r="G171" s="1511"/>
      <c r="H171" s="1511"/>
      <c r="I171" s="1511"/>
      <c r="J171" s="1511"/>
      <c r="K171" s="1511"/>
      <c r="L171" s="1511"/>
      <c r="M171" s="1511"/>
      <c r="N171" s="1511"/>
      <c r="O171" s="1522"/>
      <c r="P171" s="1299"/>
      <c r="Q171" s="1301"/>
      <c r="R171" s="1301"/>
      <c r="S171" s="1302"/>
      <c r="T171" s="481"/>
      <c r="U171" s="481"/>
      <c r="V171" s="481"/>
      <c r="W171" s="481"/>
      <c r="X171" s="481"/>
      <c r="Y171" s="481"/>
      <c r="Z171" s="481"/>
      <c r="AA171" s="481"/>
      <c r="AB171" s="481"/>
      <c r="CQ171" s="399"/>
      <c r="CR171" s="399"/>
      <c r="CS171" s="399"/>
      <c r="CT171" s="399"/>
      <c r="CU171" s="483"/>
      <c r="CV171" s="483"/>
      <c r="CW171" s="399"/>
      <c r="CX171" s="399"/>
      <c r="CY171" s="399"/>
      <c r="CZ171" s="399"/>
      <c r="DA171" s="399"/>
      <c r="DB171" s="399"/>
      <c r="DC171" s="399"/>
      <c r="DD171" s="399"/>
      <c r="DE171" s="399"/>
      <c r="DF171" s="399"/>
      <c r="DG171" s="399"/>
      <c r="DH171" s="399"/>
      <c r="DI171" s="399"/>
      <c r="DJ171" s="399"/>
      <c r="DK171" s="399"/>
      <c r="DL171" s="399"/>
      <c r="DM171" s="399"/>
      <c r="DN171" s="399"/>
      <c r="DO171" s="399"/>
      <c r="DP171" s="399"/>
      <c r="DQ171" s="399"/>
      <c r="DR171" s="399"/>
    </row>
    <row r="172" spans="1:122" s="480" customFormat="1" x14ac:dyDescent="0.2">
      <c r="B172" s="186"/>
      <c r="C172" s="1511"/>
      <c r="D172" s="1511"/>
      <c r="E172" s="1511"/>
      <c r="F172" s="1511"/>
      <c r="G172" s="1511"/>
      <c r="H172" s="1511"/>
      <c r="I172" s="1511"/>
      <c r="J172" s="1511"/>
      <c r="K172" s="1511"/>
      <c r="L172" s="1511"/>
      <c r="M172" s="1511"/>
      <c r="N172" s="1511"/>
      <c r="O172" s="1522"/>
      <c r="P172" s="1299"/>
      <c r="Q172" s="1301"/>
      <c r="R172" s="1301"/>
      <c r="S172" s="1302"/>
      <c r="T172" s="481"/>
      <c r="U172" s="481"/>
      <c r="V172" s="481"/>
      <c r="W172" s="481"/>
      <c r="X172" s="481"/>
      <c r="Y172" s="481"/>
      <c r="Z172" s="481"/>
      <c r="AA172" s="481"/>
      <c r="AB172" s="481"/>
      <c r="CQ172" s="399"/>
      <c r="CR172" s="399"/>
      <c r="CS172" s="399"/>
      <c r="CT172" s="399"/>
      <c r="CU172" s="483"/>
      <c r="CV172" s="483"/>
      <c r="CW172" s="399"/>
      <c r="CX172" s="399"/>
      <c r="CY172" s="399"/>
      <c r="CZ172" s="399"/>
      <c r="DA172" s="399"/>
      <c r="DB172" s="399"/>
      <c r="DC172" s="399"/>
      <c r="DD172" s="399"/>
      <c r="DE172" s="399"/>
      <c r="DF172" s="399"/>
      <c r="DG172" s="399"/>
      <c r="DH172" s="399"/>
      <c r="DI172" s="399"/>
      <c r="DJ172" s="399"/>
      <c r="DK172" s="399"/>
      <c r="DL172" s="399"/>
      <c r="DM172" s="399"/>
      <c r="DN172" s="399"/>
      <c r="DO172" s="399"/>
      <c r="DP172" s="399"/>
      <c r="DQ172" s="399"/>
      <c r="DR172" s="399"/>
    </row>
    <row r="173" spans="1:122" s="480" customFormat="1" ht="15" thickBot="1" x14ac:dyDescent="0.25">
      <c r="B173" s="186"/>
      <c r="C173" s="1511"/>
      <c r="D173" s="1511"/>
      <c r="E173" s="1511"/>
      <c r="F173" s="1511"/>
      <c r="G173" s="1511"/>
      <c r="H173" s="1511"/>
      <c r="I173" s="1511"/>
      <c r="J173" s="1511"/>
      <c r="K173" s="1511"/>
      <c r="L173" s="1511"/>
      <c r="M173" s="1511"/>
      <c r="N173" s="1511"/>
      <c r="O173" s="1522"/>
      <c r="P173" s="1299"/>
      <c r="Q173" s="1301"/>
      <c r="R173" s="1301"/>
      <c r="S173" s="1302"/>
      <c r="T173" s="481"/>
      <c r="U173" s="481"/>
      <c r="V173" s="481"/>
      <c r="W173" s="481"/>
      <c r="X173" s="481"/>
      <c r="Y173" s="481"/>
      <c r="Z173" s="481"/>
      <c r="AA173" s="481"/>
      <c r="AB173" s="481"/>
      <c r="CQ173" s="399"/>
      <c r="CR173" s="399"/>
      <c r="CS173" s="399"/>
      <c r="CT173" s="399"/>
      <c r="CU173" s="483"/>
      <c r="CV173" s="483"/>
      <c r="CW173" s="399"/>
      <c r="CX173" s="399"/>
      <c r="CY173" s="399"/>
      <c r="CZ173" s="399"/>
      <c r="DA173" s="399"/>
      <c r="DB173" s="399"/>
      <c r="DC173" s="399"/>
      <c r="DD173" s="399"/>
      <c r="DE173" s="399"/>
      <c r="DF173" s="399"/>
      <c r="DG173" s="399"/>
      <c r="DH173" s="399"/>
      <c r="DI173" s="399"/>
      <c r="DJ173" s="399"/>
      <c r="DK173" s="399"/>
      <c r="DL173" s="399"/>
      <c r="DM173" s="399"/>
      <c r="DN173" s="399"/>
      <c r="DO173" s="399"/>
      <c r="DP173" s="399"/>
      <c r="DQ173" s="399"/>
      <c r="DR173" s="399"/>
    </row>
    <row r="174" spans="1:122" s="480" customFormat="1" ht="28.15" customHeight="1" thickBot="1" x14ac:dyDescent="0.25">
      <c r="B174" s="1613" t="str">
        <f t="shared" ref="B174:B183" si="161">B148</f>
        <v>Anschaffungen</v>
      </c>
      <c r="C174" s="1614"/>
      <c r="D174" s="1515" t="str">
        <f ca="1">IF($C$2="English","Value      ","Betrag    ")&amp;'1 Pers.Ausgaben|Pers Expenses'!$C$4+4</f>
        <v>Betrag    2023</v>
      </c>
      <c r="E174" s="1516" t="str">
        <f>E148</f>
        <v>Investmonat</v>
      </c>
      <c r="F174" s="1517" t="str">
        <f ca="1">$E$70&amp;"   "&amp;B186</f>
        <v>Investmonat   2023</v>
      </c>
      <c r="G174" s="1517" t="str">
        <f>G148</f>
        <v>Jahre der
Abschreibung</v>
      </c>
      <c r="H174" s="1517" t="s">
        <v>781</v>
      </c>
      <c r="I174" s="1517" t="s">
        <v>783</v>
      </c>
      <c r="J174" s="1517" t="s">
        <v>787</v>
      </c>
      <c r="K174" s="403"/>
      <c r="L174" s="201"/>
      <c r="M174" s="403"/>
      <c r="N174" s="201"/>
      <c r="O174" s="1522"/>
      <c r="P174" s="1299"/>
      <c r="Q174" s="1301"/>
      <c r="R174" s="1301"/>
      <c r="S174" s="1302"/>
      <c r="T174" s="481"/>
      <c r="U174" s="481"/>
      <c r="V174" s="481"/>
      <c r="W174" s="481"/>
      <c r="X174" s="481"/>
      <c r="Y174" s="481"/>
      <c r="Z174" s="481"/>
      <c r="AA174" s="481"/>
      <c r="AB174" s="481"/>
      <c r="CQ174" s="399"/>
      <c r="CR174" s="399"/>
      <c r="CS174" s="399"/>
      <c r="CT174" s="399"/>
      <c r="CU174" s="483"/>
      <c r="CV174" s="483"/>
      <c r="CW174" s="399"/>
      <c r="CX174" s="399"/>
      <c r="CY174" s="399"/>
      <c r="CZ174" s="399"/>
      <c r="DA174" s="399"/>
      <c r="DB174" s="399"/>
      <c r="DC174" s="399"/>
      <c r="DD174" s="399"/>
      <c r="DE174" s="399"/>
      <c r="DF174" s="399"/>
      <c r="DG174" s="399"/>
      <c r="DH174" s="399"/>
      <c r="DI174" s="399"/>
      <c r="DJ174" s="399"/>
      <c r="DK174" s="399"/>
      <c r="DL174" s="399"/>
      <c r="DM174" s="399"/>
      <c r="DN174" s="399"/>
      <c r="DO174" s="399"/>
      <c r="DP174" s="399"/>
      <c r="DQ174" s="399"/>
      <c r="DR174" s="399"/>
    </row>
    <row r="175" spans="1:122" s="480" customFormat="1" x14ac:dyDescent="0.2">
      <c r="B175" s="1623" t="str">
        <f t="shared" si="161"/>
        <v>Investitionsgut 1</v>
      </c>
      <c r="C175" s="1624"/>
      <c r="D175" s="1536">
        <f t="shared" ref="D175:D181" si="162">M6</f>
        <v>0</v>
      </c>
      <c r="E175" s="1537">
        <f t="shared" ref="E175:E181" si="163">E149+F175</f>
        <v>0</v>
      </c>
      <c r="F175" s="1537">
        <f t="shared" ref="F175:F181" si="164">IF(D175&gt;0,N6+($B$186-$B$82)*12,0)</f>
        <v>0</v>
      </c>
      <c r="G175" s="1537">
        <f t="shared" ref="G175:G181" si="165">P6</f>
        <v>0</v>
      </c>
      <c r="H175" s="1537">
        <f>IF(G175="x",0,IF(AND(E175&gt;0,D175=0),H149,IF(D175&gt;0,D175/(12*G175),0)))</f>
        <v>0</v>
      </c>
      <c r="I175" s="1537">
        <f>IF(G175="x",0,IF(D175&gt;0,E175+G175*12-1,IF(E175&gt;0,I149,0)))</f>
        <v>0</v>
      </c>
      <c r="J175" s="1518">
        <f>IF(G175="x",IF(D175&gt;0,D175,0),0)</f>
        <v>0</v>
      </c>
      <c r="K175" s="403"/>
      <c r="L175" s="201"/>
      <c r="M175" s="403"/>
      <c r="N175" s="201"/>
      <c r="O175" s="1522"/>
      <c r="P175" s="1299"/>
      <c r="Q175" s="1301"/>
      <c r="R175" s="1301"/>
      <c r="S175" s="1302"/>
      <c r="T175" s="481"/>
      <c r="U175" s="481"/>
      <c r="V175" s="481"/>
      <c r="W175" s="481"/>
      <c r="X175" s="481"/>
      <c r="Y175" s="481"/>
      <c r="Z175" s="481"/>
      <c r="AA175" s="481"/>
      <c r="AB175" s="481"/>
      <c r="CQ175" s="399"/>
      <c r="CR175" s="399"/>
      <c r="CS175" s="399"/>
      <c r="CT175" s="399"/>
      <c r="CU175" s="483"/>
      <c r="CV175" s="483"/>
      <c r="CW175" s="399"/>
      <c r="CX175" s="399"/>
      <c r="CY175" s="399"/>
      <c r="CZ175" s="399"/>
      <c r="DA175" s="399"/>
      <c r="DB175" s="399"/>
      <c r="DC175" s="399"/>
      <c r="DD175" s="399"/>
      <c r="DE175" s="399"/>
      <c r="DF175" s="399"/>
      <c r="DG175" s="399"/>
      <c r="DH175" s="399"/>
      <c r="DI175" s="399"/>
      <c r="DJ175" s="399"/>
      <c r="DK175" s="399"/>
      <c r="DL175" s="399"/>
      <c r="DM175" s="399"/>
      <c r="DN175" s="399"/>
      <c r="DO175" s="399"/>
      <c r="DP175" s="399"/>
      <c r="DQ175" s="399"/>
      <c r="DR175" s="399"/>
    </row>
    <row r="176" spans="1:122" s="480" customFormat="1" x14ac:dyDescent="0.2">
      <c r="B176" s="1617" t="str">
        <f t="shared" si="161"/>
        <v>Investitionsgut 2</v>
      </c>
      <c r="C176" s="1618"/>
      <c r="D176" s="1538">
        <f t="shared" si="162"/>
        <v>0</v>
      </c>
      <c r="E176" s="1539">
        <f t="shared" si="163"/>
        <v>0</v>
      </c>
      <c r="F176" s="1539">
        <f t="shared" si="164"/>
        <v>0</v>
      </c>
      <c r="G176" s="1539">
        <f t="shared" si="165"/>
        <v>0</v>
      </c>
      <c r="H176" s="1539">
        <f t="shared" ref="H176:H181" si="166">IF(G176="x",0,IF(AND(E176&gt;0,D176=0),H150,IF(D176&gt;0,D176/(12*G176),0)))</f>
        <v>0</v>
      </c>
      <c r="I176" s="1539">
        <f t="shared" ref="I176:I181" si="167">IF(G176="x",0,IF(D176&gt;0,E176+G176*12-1,IF(E176&gt;0,I150,0)))</f>
        <v>0</v>
      </c>
      <c r="J176" s="1519">
        <f t="shared" ref="J176:J181" si="168">IF(G176="x",IF(D176&gt;0,D176,0),0)</f>
        <v>0</v>
      </c>
      <c r="K176" s="403"/>
      <c r="L176" s="201"/>
      <c r="M176" s="403"/>
      <c r="N176" s="201"/>
      <c r="O176" s="1522"/>
      <c r="P176" s="1299"/>
      <c r="Q176" s="1301"/>
      <c r="R176" s="1301"/>
      <c r="S176" s="1302"/>
      <c r="T176" s="481"/>
      <c r="U176" s="481"/>
      <c r="V176" s="481"/>
      <c r="W176" s="481"/>
      <c r="X176" s="481"/>
      <c r="Y176" s="481"/>
      <c r="Z176" s="481"/>
      <c r="AA176" s="481"/>
      <c r="AB176" s="481"/>
      <c r="CQ176" s="399"/>
      <c r="CR176" s="399"/>
      <c r="CS176" s="399"/>
      <c r="CT176" s="399"/>
      <c r="CU176" s="483"/>
      <c r="CV176" s="483"/>
      <c r="CW176" s="399"/>
      <c r="CX176" s="399"/>
      <c r="CY176" s="399"/>
      <c r="CZ176" s="399"/>
      <c r="DA176" s="399"/>
      <c r="DB176" s="399"/>
      <c r="DC176" s="399"/>
      <c r="DD176" s="399"/>
      <c r="DE176" s="399"/>
      <c r="DF176" s="399"/>
      <c r="DG176" s="399"/>
      <c r="DH176" s="399"/>
      <c r="DI176" s="399"/>
      <c r="DJ176" s="399"/>
      <c r="DK176" s="399"/>
      <c r="DL176" s="399"/>
      <c r="DM176" s="399"/>
      <c r="DN176" s="399"/>
      <c r="DO176" s="399"/>
      <c r="DP176" s="399"/>
      <c r="DQ176" s="399"/>
      <c r="DR176" s="399"/>
    </row>
    <row r="177" spans="2:122" s="480" customFormat="1" x14ac:dyDescent="0.2">
      <c r="B177" s="1617" t="str">
        <f t="shared" si="161"/>
        <v>Investitionsgut 3</v>
      </c>
      <c r="C177" s="1618"/>
      <c r="D177" s="1538">
        <f t="shared" si="162"/>
        <v>0</v>
      </c>
      <c r="E177" s="1539">
        <f t="shared" si="163"/>
        <v>0</v>
      </c>
      <c r="F177" s="1539">
        <f t="shared" si="164"/>
        <v>0</v>
      </c>
      <c r="G177" s="1539">
        <f t="shared" si="165"/>
        <v>0</v>
      </c>
      <c r="H177" s="1539">
        <f t="shared" si="166"/>
        <v>0</v>
      </c>
      <c r="I177" s="1539">
        <f t="shared" si="167"/>
        <v>0</v>
      </c>
      <c r="J177" s="1519">
        <f t="shared" si="168"/>
        <v>0</v>
      </c>
      <c r="K177" s="403"/>
      <c r="L177" s="201"/>
      <c r="M177" s="403"/>
      <c r="N177" s="201"/>
      <c r="O177" s="1522"/>
      <c r="P177" s="1299"/>
      <c r="Q177" s="1301"/>
      <c r="R177" s="1301"/>
      <c r="S177" s="1302"/>
      <c r="T177" s="481"/>
      <c r="U177" s="481"/>
      <c r="V177" s="481"/>
      <c r="W177" s="481"/>
      <c r="X177" s="481"/>
      <c r="Y177" s="481"/>
      <c r="Z177" s="481"/>
      <c r="AA177" s="481"/>
      <c r="AB177" s="481"/>
      <c r="CQ177" s="399"/>
      <c r="CR177" s="399"/>
      <c r="CS177" s="399"/>
      <c r="CT177" s="399"/>
      <c r="CU177" s="483"/>
      <c r="CV177" s="483"/>
      <c r="CW177" s="399"/>
      <c r="CX177" s="399"/>
      <c r="CY177" s="399"/>
      <c r="CZ177" s="399"/>
      <c r="DA177" s="399"/>
      <c r="DB177" s="399"/>
      <c r="DC177" s="399"/>
      <c r="DD177" s="399"/>
      <c r="DE177" s="399"/>
      <c r="DF177" s="399"/>
      <c r="DG177" s="399"/>
      <c r="DH177" s="399"/>
      <c r="DI177" s="399"/>
      <c r="DJ177" s="399"/>
      <c r="DK177" s="399"/>
      <c r="DL177" s="399"/>
      <c r="DM177" s="399"/>
      <c r="DN177" s="399"/>
      <c r="DO177" s="399"/>
      <c r="DP177" s="399"/>
      <c r="DQ177" s="399"/>
      <c r="DR177" s="399"/>
    </row>
    <row r="178" spans="2:122" s="480" customFormat="1" x14ac:dyDescent="0.2">
      <c r="B178" s="1617" t="str">
        <f t="shared" si="161"/>
        <v>Investitionsgut 4</v>
      </c>
      <c r="C178" s="1618"/>
      <c r="D178" s="1538">
        <f t="shared" si="162"/>
        <v>0</v>
      </c>
      <c r="E178" s="1539">
        <f t="shared" si="163"/>
        <v>0</v>
      </c>
      <c r="F178" s="1539">
        <f t="shared" si="164"/>
        <v>0</v>
      </c>
      <c r="G178" s="1539">
        <f t="shared" si="165"/>
        <v>0</v>
      </c>
      <c r="H178" s="1539">
        <f t="shared" si="166"/>
        <v>0</v>
      </c>
      <c r="I178" s="1539">
        <f t="shared" si="167"/>
        <v>0</v>
      </c>
      <c r="J178" s="1519">
        <f t="shared" si="168"/>
        <v>0</v>
      </c>
      <c r="K178" s="403"/>
      <c r="L178" s="201"/>
      <c r="M178" s="403"/>
      <c r="N178" s="201"/>
      <c r="O178" s="1522"/>
      <c r="P178" s="1299"/>
      <c r="Q178" s="1301"/>
      <c r="R178" s="1301"/>
      <c r="S178" s="1302"/>
      <c r="T178" s="481"/>
      <c r="U178" s="481"/>
      <c r="V178" s="481"/>
      <c r="W178" s="481"/>
      <c r="X178" s="481"/>
      <c r="Y178" s="481"/>
      <c r="Z178" s="481"/>
      <c r="AA178" s="481"/>
      <c r="AB178" s="481"/>
      <c r="CQ178" s="399"/>
      <c r="CR178" s="399"/>
      <c r="CS178" s="399"/>
      <c r="CT178" s="399"/>
      <c r="CU178" s="483"/>
      <c r="CV178" s="483"/>
      <c r="CW178" s="399"/>
      <c r="CX178" s="399"/>
      <c r="CY178" s="399"/>
      <c r="CZ178" s="399"/>
      <c r="DA178" s="399"/>
      <c r="DB178" s="399"/>
      <c r="DC178" s="399"/>
      <c r="DD178" s="399"/>
      <c r="DE178" s="399"/>
      <c r="DF178" s="399"/>
      <c r="DG178" s="399"/>
      <c r="DH178" s="399"/>
      <c r="DI178" s="399"/>
      <c r="DJ178" s="399"/>
      <c r="DK178" s="399"/>
      <c r="DL178" s="399"/>
      <c r="DM178" s="399"/>
      <c r="DN178" s="399"/>
      <c r="DO178" s="399"/>
      <c r="DP178" s="399"/>
      <c r="DQ178" s="399"/>
      <c r="DR178" s="399"/>
    </row>
    <row r="179" spans="2:122" s="480" customFormat="1" x14ac:dyDescent="0.2">
      <c r="B179" s="1617" t="str">
        <f t="shared" si="161"/>
        <v>Investitionsgut 5</v>
      </c>
      <c r="C179" s="1618"/>
      <c r="D179" s="1538">
        <f t="shared" si="162"/>
        <v>0</v>
      </c>
      <c r="E179" s="1539">
        <f t="shared" si="163"/>
        <v>0</v>
      </c>
      <c r="F179" s="1539">
        <f t="shared" si="164"/>
        <v>0</v>
      </c>
      <c r="G179" s="1539">
        <f t="shared" si="165"/>
        <v>0</v>
      </c>
      <c r="H179" s="1539">
        <f t="shared" si="166"/>
        <v>0</v>
      </c>
      <c r="I179" s="1539">
        <f t="shared" si="167"/>
        <v>0</v>
      </c>
      <c r="J179" s="1519">
        <f t="shared" si="168"/>
        <v>0</v>
      </c>
      <c r="K179" s="403"/>
      <c r="L179" s="201"/>
      <c r="M179" s="403"/>
      <c r="N179" s="201"/>
      <c r="O179" s="1522"/>
      <c r="P179" s="1299"/>
      <c r="Q179" s="1301"/>
      <c r="R179" s="1301"/>
      <c r="S179" s="1302"/>
      <c r="T179" s="481"/>
      <c r="U179" s="481"/>
      <c r="V179" s="481"/>
      <c r="W179" s="481"/>
      <c r="X179" s="481"/>
      <c r="Y179" s="481"/>
      <c r="Z179" s="481"/>
      <c r="AA179" s="481"/>
      <c r="AB179" s="481"/>
      <c r="CQ179" s="399"/>
      <c r="CR179" s="399"/>
      <c r="CS179" s="399"/>
      <c r="CT179" s="399"/>
      <c r="CU179" s="483"/>
      <c r="CV179" s="483"/>
      <c r="CW179" s="399"/>
      <c r="CX179" s="399"/>
      <c r="CY179" s="399"/>
      <c r="CZ179" s="399"/>
      <c r="DA179" s="399"/>
      <c r="DB179" s="399"/>
      <c r="DC179" s="399"/>
      <c r="DD179" s="399"/>
      <c r="DE179" s="399"/>
      <c r="DF179" s="399"/>
      <c r="DG179" s="399"/>
      <c r="DH179" s="399"/>
      <c r="DI179" s="399"/>
      <c r="DJ179" s="399"/>
      <c r="DK179" s="399"/>
      <c r="DL179" s="399"/>
      <c r="DM179" s="399"/>
      <c r="DN179" s="399"/>
      <c r="DO179" s="399"/>
      <c r="DP179" s="399"/>
      <c r="DQ179" s="399"/>
      <c r="DR179" s="399"/>
    </row>
    <row r="180" spans="2:122" s="480" customFormat="1" x14ac:dyDescent="0.2">
      <c r="B180" s="1617" t="str">
        <f t="shared" si="161"/>
        <v>Investitionsgut 6</v>
      </c>
      <c r="C180" s="1618"/>
      <c r="D180" s="1538">
        <f t="shared" si="162"/>
        <v>0</v>
      </c>
      <c r="E180" s="1539">
        <f t="shared" si="163"/>
        <v>0</v>
      </c>
      <c r="F180" s="1539">
        <f t="shared" si="164"/>
        <v>0</v>
      </c>
      <c r="G180" s="1539">
        <f t="shared" si="165"/>
        <v>0</v>
      </c>
      <c r="H180" s="1539">
        <f t="shared" si="166"/>
        <v>0</v>
      </c>
      <c r="I180" s="1539">
        <f t="shared" si="167"/>
        <v>0</v>
      </c>
      <c r="J180" s="1519">
        <f t="shared" si="168"/>
        <v>0</v>
      </c>
      <c r="K180" s="403"/>
      <c r="L180" s="201"/>
      <c r="M180" s="403"/>
      <c r="N180" s="201"/>
      <c r="O180" s="1522"/>
      <c r="P180" s="1299"/>
      <c r="Q180" s="1301"/>
      <c r="R180" s="1301"/>
      <c r="S180" s="1302"/>
      <c r="T180" s="481"/>
      <c r="U180" s="481"/>
      <c r="V180" s="481"/>
      <c r="W180" s="481"/>
      <c r="X180" s="481"/>
      <c r="Y180" s="481"/>
      <c r="Z180" s="481"/>
      <c r="AA180" s="481"/>
      <c r="AB180" s="481"/>
      <c r="CQ180" s="399"/>
      <c r="CR180" s="399"/>
      <c r="CS180" s="399"/>
      <c r="CT180" s="399"/>
      <c r="CU180" s="483"/>
      <c r="CV180" s="483"/>
      <c r="CW180" s="399"/>
      <c r="CX180" s="399"/>
      <c r="CY180" s="399"/>
      <c r="CZ180" s="399"/>
      <c r="DA180" s="399"/>
      <c r="DB180" s="399"/>
      <c r="DC180" s="399"/>
      <c r="DD180" s="399"/>
      <c r="DE180" s="399"/>
      <c r="DF180" s="399"/>
      <c r="DG180" s="399"/>
      <c r="DH180" s="399"/>
      <c r="DI180" s="399"/>
      <c r="DJ180" s="399"/>
      <c r="DK180" s="399"/>
      <c r="DL180" s="399"/>
      <c r="DM180" s="399"/>
      <c r="DN180" s="399"/>
      <c r="DO180" s="399"/>
      <c r="DP180" s="399"/>
      <c r="DQ180" s="399"/>
      <c r="DR180" s="399"/>
    </row>
    <row r="181" spans="2:122" s="480" customFormat="1" x14ac:dyDescent="0.2">
      <c r="B181" s="1617" t="str">
        <f t="shared" si="161"/>
        <v>Investitionsgut 7</v>
      </c>
      <c r="C181" s="1618"/>
      <c r="D181" s="1540">
        <f t="shared" si="162"/>
        <v>0</v>
      </c>
      <c r="E181" s="1541">
        <f t="shared" si="163"/>
        <v>0</v>
      </c>
      <c r="F181" s="1541">
        <f t="shared" si="164"/>
        <v>0</v>
      </c>
      <c r="G181" s="1541">
        <f t="shared" si="165"/>
        <v>0</v>
      </c>
      <c r="H181" s="1541">
        <f t="shared" si="166"/>
        <v>0</v>
      </c>
      <c r="I181" s="1541">
        <f t="shared" si="167"/>
        <v>0</v>
      </c>
      <c r="J181" s="1520">
        <f t="shared" si="168"/>
        <v>0</v>
      </c>
      <c r="K181" s="403"/>
      <c r="L181" s="201"/>
      <c r="M181" s="403"/>
      <c r="N181" s="201"/>
      <c r="O181" s="1522"/>
      <c r="P181" s="1299"/>
      <c r="Q181" s="1301"/>
      <c r="R181" s="1301"/>
      <c r="S181" s="1302"/>
      <c r="T181" s="481"/>
      <c r="U181" s="481"/>
      <c r="V181" s="481"/>
      <c r="W181" s="481"/>
      <c r="X181" s="481"/>
      <c r="Y181" s="481"/>
      <c r="Z181" s="481"/>
      <c r="AA181" s="481"/>
      <c r="AB181" s="481"/>
      <c r="CQ181" s="399"/>
      <c r="CR181" s="399"/>
      <c r="CS181" s="399"/>
      <c r="CT181" s="399"/>
      <c r="CU181" s="483"/>
      <c r="CV181" s="483"/>
      <c r="CW181" s="399"/>
      <c r="CX181" s="399"/>
      <c r="CY181" s="399"/>
      <c r="CZ181" s="399"/>
      <c r="DA181" s="399"/>
      <c r="DB181" s="399"/>
      <c r="DC181" s="399"/>
      <c r="DD181" s="399"/>
      <c r="DE181" s="399"/>
      <c r="DF181" s="399"/>
      <c r="DG181" s="399"/>
      <c r="DH181" s="399"/>
      <c r="DI181" s="399"/>
      <c r="DJ181" s="399"/>
      <c r="DK181" s="399"/>
      <c r="DL181" s="399"/>
      <c r="DM181" s="399"/>
      <c r="DN181" s="399"/>
      <c r="DO181" s="399"/>
      <c r="DP181" s="399"/>
      <c r="DQ181" s="399"/>
      <c r="DR181" s="399"/>
    </row>
    <row r="182" spans="2:122" s="480" customFormat="1" ht="15" thickBot="1" x14ac:dyDescent="0.25">
      <c r="B182" s="1619" t="str">
        <f t="shared" si="161"/>
        <v>Sammelposten</v>
      </c>
      <c r="C182" s="1620"/>
      <c r="D182" s="1546"/>
      <c r="E182" s="1547"/>
      <c r="F182" s="1547"/>
      <c r="G182" s="1547"/>
      <c r="H182" s="1543"/>
      <c r="I182" s="1547"/>
      <c r="J182" s="1533"/>
      <c r="K182" s="403"/>
      <c r="L182" s="201"/>
      <c r="M182" s="403"/>
      <c r="N182" s="201"/>
      <c r="O182" s="1522"/>
      <c r="P182" s="1299"/>
      <c r="Q182" s="1301"/>
      <c r="R182" s="1301"/>
      <c r="S182" s="1302"/>
      <c r="T182" s="481"/>
      <c r="U182" s="481"/>
      <c r="V182" s="481"/>
      <c r="W182" s="481"/>
      <c r="X182" s="481"/>
      <c r="Y182" s="481"/>
      <c r="Z182" s="481"/>
      <c r="AA182" s="481"/>
      <c r="AB182" s="481"/>
      <c r="CQ182" s="399"/>
      <c r="CR182" s="399"/>
      <c r="CS182" s="399"/>
      <c r="CT182" s="399"/>
      <c r="CU182" s="483"/>
      <c r="CV182" s="483"/>
      <c r="CW182" s="399"/>
      <c r="CX182" s="399"/>
      <c r="CY182" s="399"/>
      <c r="CZ182" s="399"/>
      <c r="DA182" s="399"/>
      <c r="DB182" s="399"/>
      <c r="DC182" s="399"/>
      <c r="DD182" s="399"/>
      <c r="DE182" s="399"/>
      <c r="DF182" s="399"/>
      <c r="DG182" s="399"/>
      <c r="DH182" s="399"/>
      <c r="DI182" s="399"/>
      <c r="DJ182" s="399"/>
      <c r="DK182" s="399"/>
      <c r="DL182" s="399"/>
      <c r="DM182" s="399"/>
      <c r="DN182" s="399"/>
      <c r="DO182" s="399"/>
      <c r="DP182" s="399"/>
      <c r="DQ182" s="399"/>
      <c r="DR182" s="399"/>
    </row>
    <row r="183" spans="2:122" s="480" customFormat="1" ht="15.75" thickTop="1" thickBot="1" x14ac:dyDescent="0.25">
      <c r="B183" s="1521" t="str">
        <f t="shared" si="161"/>
        <v>Summe Anschaffungen</v>
      </c>
      <c r="C183" s="1534"/>
      <c r="D183" s="1535">
        <f>SUM(D175:D182)-J183</f>
        <v>0</v>
      </c>
      <c r="E183" s="176"/>
      <c r="F183" s="176"/>
      <c r="G183" s="176"/>
      <c r="H183" s="1535">
        <f>SUM(H175:H182)</f>
        <v>0</v>
      </c>
      <c r="I183" s="176"/>
      <c r="J183" s="1535">
        <f>SUM(J175:J182)</f>
        <v>0</v>
      </c>
      <c r="K183" s="403"/>
      <c r="L183" s="201"/>
      <c r="M183" s="403"/>
      <c r="N183" s="201"/>
      <c r="O183" s="1522"/>
      <c r="P183" s="1299"/>
      <c r="Q183" s="1301"/>
      <c r="R183" s="1301"/>
      <c r="S183" s="1302"/>
      <c r="T183" s="481"/>
      <c r="U183" s="481"/>
      <c r="V183" s="481"/>
      <c r="W183" s="481"/>
      <c r="X183" s="481"/>
      <c r="Y183" s="481"/>
      <c r="Z183" s="481"/>
      <c r="AA183" s="481"/>
      <c r="AB183" s="481"/>
      <c r="CQ183" s="399"/>
      <c r="CR183" s="399"/>
      <c r="CS183" s="399"/>
      <c r="CT183" s="399"/>
      <c r="CU183" s="483"/>
      <c r="CV183" s="483"/>
      <c r="CW183" s="399"/>
      <c r="CX183" s="399"/>
      <c r="CY183" s="399"/>
      <c r="CZ183" s="399"/>
      <c r="DA183" s="399"/>
      <c r="DB183" s="399"/>
      <c r="DC183" s="399"/>
      <c r="DD183" s="399"/>
      <c r="DE183" s="399"/>
      <c r="DF183" s="399"/>
      <c r="DG183" s="399"/>
      <c r="DH183" s="399"/>
      <c r="DI183" s="399"/>
      <c r="DJ183" s="399"/>
      <c r="DK183" s="399"/>
      <c r="DL183" s="399"/>
      <c r="DM183" s="399"/>
      <c r="DN183" s="399"/>
      <c r="DO183" s="399"/>
      <c r="DP183" s="399"/>
      <c r="DQ183" s="399"/>
      <c r="DR183" s="399"/>
    </row>
    <row r="184" spans="2:122" s="480" customFormat="1" ht="15" thickBot="1" x14ac:dyDescent="0.25">
      <c r="B184" s="176"/>
      <c r="C184" s="201"/>
      <c r="D184" s="176"/>
      <c r="E184" s="388"/>
      <c r="F184" s="176"/>
      <c r="G184" s="388"/>
      <c r="H184" s="176"/>
      <c r="I184" s="388"/>
      <c r="J184" s="176"/>
      <c r="K184" s="403"/>
      <c r="L184" s="201"/>
      <c r="M184" s="403"/>
      <c r="N184" s="201"/>
      <c r="O184" s="1522"/>
      <c r="P184" s="1299"/>
      <c r="Q184" s="1301"/>
      <c r="R184" s="1301"/>
      <c r="S184" s="1302"/>
      <c r="T184" s="481"/>
      <c r="U184" s="481"/>
      <c r="V184" s="481"/>
      <c r="W184" s="481"/>
      <c r="X184" s="481"/>
      <c r="Y184" s="481"/>
      <c r="Z184" s="481"/>
      <c r="AA184" s="481"/>
      <c r="AB184" s="481"/>
      <c r="CQ184" s="399"/>
      <c r="CR184" s="399"/>
      <c r="CS184" s="399"/>
      <c r="CT184" s="399"/>
      <c r="CU184" s="483"/>
      <c r="CV184" s="483"/>
      <c r="CW184" s="399"/>
      <c r="CX184" s="399"/>
      <c r="CY184" s="399"/>
      <c r="CZ184" s="399"/>
      <c r="DA184" s="399"/>
      <c r="DB184" s="399"/>
      <c r="DC184" s="399"/>
      <c r="DD184" s="399"/>
      <c r="DE184" s="399"/>
      <c r="DF184" s="399"/>
      <c r="DG184" s="399"/>
      <c r="DH184" s="399"/>
      <c r="DI184" s="399"/>
      <c r="DJ184" s="399"/>
      <c r="DK184" s="399"/>
      <c r="DL184" s="399"/>
      <c r="DM184" s="399"/>
      <c r="DN184" s="399"/>
      <c r="DO184" s="399"/>
      <c r="DP184" s="399"/>
      <c r="DQ184" s="399"/>
      <c r="DR184" s="399"/>
    </row>
    <row r="185" spans="2:122" s="480" customFormat="1" ht="15" thickBot="1" x14ac:dyDescent="0.25">
      <c r="B185" s="1613" t="str">
        <f>B159</f>
        <v>laufender Monat</v>
      </c>
      <c r="C185" s="1614"/>
      <c r="D185" s="1508">
        <f ca="1">1+($B$186-$B$82)*12</f>
        <v>49</v>
      </c>
      <c r="E185" s="1509">
        <f ca="1">D185+1</f>
        <v>50</v>
      </c>
      <c r="F185" s="1509">
        <f t="shared" ref="F185:O185" ca="1" si="169">E185+1</f>
        <v>51</v>
      </c>
      <c r="G185" s="1509">
        <f t="shared" ca="1" si="169"/>
        <v>52</v>
      </c>
      <c r="H185" s="1509">
        <f t="shared" ca="1" si="169"/>
        <v>53</v>
      </c>
      <c r="I185" s="1509">
        <f t="shared" ca="1" si="169"/>
        <v>54</v>
      </c>
      <c r="J185" s="1509">
        <f t="shared" ca="1" si="169"/>
        <v>55</v>
      </c>
      <c r="K185" s="1509">
        <f t="shared" ca="1" si="169"/>
        <v>56</v>
      </c>
      <c r="L185" s="1509">
        <f t="shared" ca="1" si="169"/>
        <v>57</v>
      </c>
      <c r="M185" s="1509">
        <f t="shared" ca="1" si="169"/>
        <v>58</v>
      </c>
      <c r="N185" s="1509">
        <f t="shared" ca="1" si="169"/>
        <v>59</v>
      </c>
      <c r="O185" s="1509">
        <f t="shared" ca="1" si="169"/>
        <v>60</v>
      </c>
      <c r="P185" s="1510"/>
      <c r="Q185" s="1301"/>
      <c r="R185" s="1301"/>
      <c r="S185" s="1302"/>
      <c r="T185" s="481"/>
      <c r="U185" s="481"/>
      <c r="V185" s="481"/>
      <c r="W185" s="481"/>
      <c r="X185" s="481"/>
      <c r="Y185" s="481"/>
      <c r="Z185" s="481"/>
      <c r="AA185" s="481"/>
      <c r="AB185" s="481"/>
      <c r="CQ185" s="399"/>
      <c r="CR185" s="399"/>
      <c r="CS185" s="399"/>
      <c r="CT185" s="399"/>
      <c r="CU185" s="483"/>
      <c r="CV185" s="483"/>
      <c r="CW185" s="399"/>
      <c r="CX185" s="399"/>
      <c r="CY185" s="399"/>
      <c r="CZ185" s="399"/>
      <c r="DA185" s="399"/>
      <c r="DB185" s="399"/>
      <c r="DC185" s="399"/>
      <c r="DD185" s="399"/>
      <c r="DE185" s="399"/>
      <c r="DF185" s="399"/>
      <c r="DG185" s="399"/>
      <c r="DH185" s="399"/>
      <c r="DI185" s="399"/>
      <c r="DJ185" s="399"/>
      <c r="DK185" s="399"/>
      <c r="DL185" s="399"/>
      <c r="DM185" s="399"/>
      <c r="DN185" s="399"/>
      <c r="DO185" s="399"/>
      <c r="DP185" s="399"/>
      <c r="DQ185" s="399"/>
      <c r="DR185" s="399"/>
    </row>
    <row r="186" spans="2:122" s="480" customFormat="1" ht="15" thickBot="1" x14ac:dyDescent="0.25">
      <c r="B186" s="1613">
        <f ca="1">'1 Pers.Ausgaben|Pers Expenses'!C4+4</f>
        <v>2023</v>
      </c>
      <c r="C186" s="1614"/>
      <c r="D186" s="58" t="s">
        <v>1</v>
      </c>
      <c r="E186" s="53" t="s">
        <v>2</v>
      </c>
      <c r="F186" s="53" t="s">
        <v>3</v>
      </c>
      <c r="G186" s="53" t="s">
        <v>4</v>
      </c>
      <c r="H186" s="53" t="s">
        <v>5</v>
      </c>
      <c r="I186" s="53" t="s">
        <v>6</v>
      </c>
      <c r="J186" s="53" t="s">
        <v>7</v>
      </c>
      <c r="K186" s="53" t="s">
        <v>8</v>
      </c>
      <c r="L186" s="53" t="s">
        <v>9</v>
      </c>
      <c r="M186" s="53" t="s">
        <v>10</v>
      </c>
      <c r="N186" s="53" t="s">
        <v>11</v>
      </c>
      <c r="O186" s="53" t="s">
        <v>12</v>
      </c>
      <c r="P186" s="54" t="s">
        <v>782</v>
      </c>
      <c r="Q186" s="1301"/>
      <c r="R186" s="1301"/>
      <c r="S186" s="1302"/>
      <c r="T186" s="481"/>
      <c r="U186" s="481"/>
      <c r="V186" s="481"/>
      <c r="W186" s="481"/>
      <c r="X186" s="481"/>
      <c r="Y186" s="481"/>
      <c r="Z186" s="481"/>
      <c r="AA186" s="481"/>
      <c r="AB186" s="481"/>
      <c r="CQ186" s="399"/>
      <c r="CR186" s="399"/>
      <c r="CS186" s="399"/>
      <c r="CT186" s="399"/>
      <c r="CU186" s="483"/>
      <c r="CV186" s="483"/>
      <c r="CW186" s="399"/>
      <c r="CX186" s="399"/>
      <c r="CY186" s="399"/>
      <c r="CZ186" s="399"/>
      <c r="DA186" s="399"/>
      <c r="DB186" s="399"/>
      <c r="DC186" s="399"/>
      <c r="DD186" s="399"/>
      <c r="DE186" s="399"/>
      <c r="DF186" s="399"/>
      <c r="DG186" s="399"/>
      <c r="DH186" s="399"/>
      <c r="DI186" s="399"/>
      <c r="DJ186" s="399"/>
      <c r="DK186" s="399"/>
      <c r="DL186" s="399"/>
      <c r="DM186" s="399"/>
      <c r="DN186" s="399"/>
      <c r="DO186" s="399"/>
      <c r="DP186" s="399"/>
      <c r="DQ186" s="399"/>
      <c r="DR186" s="399"/>
    </row>
    <row r="187" spans="2:122" s="480" customFormat="1" x14ac:dyDescent="0.2">
      <c r="B187" s="1625" t="str">
        <f>B175</f>
        <v>Investitionsgut 1</v>
      </c>
      <c r="C187" s="1626"/>
      <c r="D187" s="1513">
        <f ca="1">IF($G175="x",0,IF(OR(D$185&lt;$E175,D$185&gt;$I175),0,$H175))</f>
        <v>0</v>
      </c>
      <c r="E187" s="1513">
        <f t="shared" ref="E187:O187" ca="1" si="170">IF($G175="x",0,IF(OR(E$185&lt;$E175,E$185&gt;$I175),0,$H175))</f>
        <v>0</v>
      </c>
      <c r="F187" s="1513">
        <f t="shared" ca="1" si="170"/>
        <v>0</v>
      </c>
      <c r="G187" s="1513">
        <f t="shared" ca="1" si="170"/>
        <v>0</v>
      </c>
      <c r="H187" s="1513">
        <f t="shared" ca="1" si="170"/>
        <v>0</v>
      </c>
      <c r="I187" s="1513">
        <f t="shared" ca="1" si="170"/>
        <v>0</v>
      </c>
      <c r="J187" s="1513">
        <f t="shared" ca="1" si="170"/>
        <v>0</v>
      </c>
      <c r="K187" s="1513">
        <f t="shared" ca="1" si="170"/>
        <v>0</v>
      </c>
      <c r="L187" s="1513">
        <f t="shared" ca="1" si="170"/>
        <v>0</v>
      </c>
      <c r="M187" s="1513">
        <f t="shared" ca="1" si="170"/>
        <v>0</v>
      </c>
      <c r="N187" s="1513">
        <f t="shared" ca="1" si="170"/>
        <v>0</v>
      </c>
      <c r="O187" s="1513">
        <f t="shared" ca="1" si="170"/>
        <v>0</v>
      </c>
      <c r="P187" s="1512">
        <f ca="1">SUM(D187:O187)</f>
        <v>0</v>
      </c>
      <c r="Q187" s="1301"/>
      <c r="R187" s="1301"/>
      <c r="S187" s="1302"/>
      <c r="T187" s="481"/>
      <c r="U187" s="481"/>
      <c r="V187" s="481"/>
      <c r="W187" s="481"/>
      <c r="X187" s="481"/>
      <c r="Y187" s="481"/>
      <c r="Z187" s="481"/>
      <c r="AA187" s="481"/>
      <c r="AB187" s="481"/>
      <c r="CQ187" s="399"/>
      <c r="CR187" s="399"/>
      <c r="CS187" s="399"/>
      <c r="CT187" s="399"/>
      <c r="CU187" s="483"/>
      <c r="CV187" s="483"/>
      <c r="CW187" s="399"/>
      <c r="CX187" s="399"/>
      <c r="CY187" s="399"/>
      <c r="CZ187" s="399"/>
      <c r="DA187" s="399"/>
      <c r="DB187" s="399"/>
      <c r="DC187" s="399"/>
      <c r="DD187" s="399"/>
      <c r="DE187" s="399"/>
      <c r="DF187" s="399"/>
      <c r="DG187" s="399"/>
      <c r="DH187" s="399"/>
      <c r="DI187" s="399"/>
      <c r="DJ187" s="399"/>
      <c r="DK187" s="399"/>
      <c r="DL187" s="399"/>
      <c r="DM187" s="399"/>
      <c r="DN187" s="399"/>
      <c r="DO187" s="399"/>
      <c r="DP187" s="399"/>
      <c r="DQ187" s="399"/>
      <c r="DR187" s="399"/>
    </row>
    <row r="188" spans="2:122" s="480" customFormat="1" x14ac:dyDescent="0.2">
      <c r="B188" s="1625" t="str">
        <f t="shared" ref="B188:B193" si="171">B176</f>
        <v>Investitionsgut 2</v>
      </c>
      <c r="C188" s="1626"/>
      <c r="D188" s="1513">
        <f t="shared" ref="D188:O188" ca="1" si="172">IF($G176="x",0,IF(OR(D$185&lt;$E176,D$185&gt;$I176),0,$H176))</f>
        <v>0</v>
      </c>
      <c r="E188" s="1513">
        <f t="shared" ca="1" si="172"/>
        <v>0</v>
      </c>
      <c r="F188" s="1513">
        <f t="shared" ca="1" si="172"/>
        <v>0</v>
      </c>
      <c r="G188" s="1513">
        <f t="shared" ca="1" si="172"/>
        <v>0</v>
      </c>
      <c r="H188" s="1513">
        <f t="shared" ca="1" si="172"/>
        <v>0</v>
      </c>
      <c r="I188" s="1513">
        <f t="shared" ca="1" si="172"/>
        <v>0</v>
      </c>
      <c r="J188" s="1513">
        <f t="shared" ca="1" si="172"/>
        <v>0</v>
      </c>
      <c r="K188" s="1513">
        <f t="shared" ca="1" si="172"/>
        <v>0</v>
      </c>
      <c r="L188" s="1513">
        <f t="shared" ca="1" si="172"/>
        <v>0</v>
      </c>
      <c r="M188" s="1513">
        <f t="shared" ca="1" si="172"/>
        <v>0</v>
      </c>
      <c r="N188" s="1513">
        <f t="shared" ca="1" si="172"/>
        <v>0</v>
      </c>
      <c r="O188" s="1513">
        <f t="shared" ca="1" si="172"/>
        <v>0</v>
      </c>
      <c r="P188" s="1514">
        <f t="shared" ref="P188:P193" ca="1" si="173">SUM(D188:O188)</f>
        <v>0</v>
      </c>
      <c r="Q188" s="1301"/>
      <c r="R188" s="1301"/>
      <c r="S188" s="1302"/>
      <c r="T188" s="481"/>
      <c r="U188" s="481"/>
      <c r="V188" s="481"/>
      <c r="W188" s="481"/>
      <c r="X188" s="481"/>
      <c r="Y188" s="481"/>
      <c r="Z188" s="481"/>
      <c r="AA188" s="481"/>
      <c r="AB188" s="481"/>
      <c r="CQ188" s="399"/>
      <c r="CR188" s="399"/>
      <c r="CS188" s="399"/>
      <c r="CT188" s="399"/>
      <c r="CU188" s="483"/>
      <c r="CV188" s="483"/>
      <c r="CW188" s="399"/>
      <c r="CX188" s="399"/>
      <c r="CY188" s="399"/>
      <c r="CZ188" s="399"/>
      <c r="DA188" s="399"/>
      <c r="DB188" s="399"/>
      <c r="DC188" s="399"/>
      <c r="DD188" s="399"/>
      <c r="DE188" s="399"/>
      <c r="DF188" s="399"/>
      <c r="DG188" s="399"/>
      <c r="DH188" s="399"/>
      <c r="DI188" s="399"/>
      <c r="DJ188" s="399"/>
      <c r="DK188" s="399"/>
      <c r="DL188" s="399"/>
      <c r="DM188" s="399"/>
      <c r="DN188" s="399"/>
      <c r="DO188" s="399"/>
      <c r="DP188" s="399"/>
      <c r="DQ188" s="399"/>
      <c r="DR188" s="399"/>
    </row>
    <row r="189" spans="2:122" s="480" customFormat="1" x14ac:dyDescent="0.2">
      <c r="B189" s="1625" t="str">
        <f t="shared" si="171"/>
        <v>Investitionsgut 3</v>
      </c>
      <c r="C189" s="1626"/>
      <c r="D189" s="1513">
        <f t="shared" ref="D189:O189" ca="1" si="174">IF($G177="x",0,IF(OR(D$185&lt;$E177,D$185&gt;$I177),0,$H177))</f>
        <v>0</v>
      </c>
      <c r="E189" s="1513">
        <f t="shared" ca="1" si="174"/>
        <v>0</v>
      </c>
      <c r="F189" s="1513">
        <f t="shared" ca="1" si="174"/>
        <v>0</v>
      </c>
      <c r="G189" s="1513">
        <f t="shared" ca="1" si="174"/>
        <v>0</v>
      </c>
      <c r="H189" s="1513">
        <f t="shared" ca="1" si="174"/>
        <v>0</v>
      </c>
      <c r="I189" s="1513">
        <f t="shared" ca="1" si="174"/>
        <v>0</v>
      </c>
      <c r="J189" s="1513">
        <f t="shared" ca="1" si="174"/>
        <v>0</v>
      </c>
      <c r="K189" s="1513">
        <f t="shared" ca="1" si="174"/>
        <v>0</v>
      </c>
      <c r="L189" s="1513">
        <f t="shared" ca="1" si="174"/>
        <v>0</v>
      </c>
      <c r="M189" s="1513">
        <f t="shared" ca="1" si="174"/>
        <v>0</v>
      </c>
      <c r="N189" s="1513">
        <f t="shared" ca="1" si="174"/>
        <v>0</v>
      </c>
      <c r="O189" s="1513">
        <f t="shared" ca="1" si="174"/>
        <v>0</v>
      </c>
      <c r="P189" s="1514">
        <f t="shared" ca="1" si="173"/>
        <v>0</v>
      </c>
      <c r="Q189" s="1301"/>
      <c r="R189" s="1301"/>
      <c r="S189" s="1302"/>
      <c r="T189" s="481"/>
      <c r="U189" s="481"/>
      <c r="V189" s="481"/>
      <c r="W189" s="481"/>
      <c r="X189" s="481"/>
      <c r="Y189" s="481"/>
      <c r="Z189" s="481"/>
      <c r="AA189" s="481"/>
      <c r="AB189" s="481"/>
      <c r="CQ189" s="399"/>
      <c r="CR189" s="399"/>
      <c r="CS189" s="399"/>
      <c r="CT189" s="399"/>
      <c r="CU189" s="483"/>
      <c r="CV189" s="483"/>
      <c r="CW189" s="399"/>
      <c r="CX189" s="399"/>
      <c r="CY189" s="399"/>
      <c r="CZ189" s="399"/>
      <c r="DA189" s="399"/>
      <c r="DB189" s="399"/>
      <c r="DC189" s="399"/>
      <c r="DD189" s="399"/>
      <c r="DE189" s="399"/>
      <c r="DF189" s="399"/>
      <c r="DG189" s="399"/>
      <c r="DH189" s="399"/>
      <c r="DI189" s="399"/>
      <c r="DJ189" s="399"/>
      <c r="DK189" s="399"/>
      <c r="DL189" s="399"/>
      <c r="DM189" s="399"/>
      <c r="DN189" s="399"/>
      <c r="DO189" s="399"/>
      <c r="DP189" s="399"/>
      <c r="DQ189" s="399"/>
      <c r="DR189" s="399"/>
    </row>
    <row r="190" spans="2:122" s="480" customFormat="1" x14ac:dyDescent="0.2">
      <c r="B190" s="1625" t="str">
        <f t="shared" si="171"/>
        <v>Investitionsgut 4</v>
      </c>
      <c r="C190" s="1626"/>
      <c r="D190" s="1513">
        <f t="shared" ref="D190:O190" ca="1" si="175">IF($G178="x",0,IF(OR(D$185&lt;$E178,D$185&gt;$I178),0,$H178))</f>
        <v>0</v>
      </c>
      <c r="E190" s="1513">
        <f t="shared" ca="1" si="175"/>
        <v>0</v>
      </c>
      <c r="F190" s="1513">
        <f t="shared" ca="1" si="175"/>
        <v>0</v>
      </c>
      <c r="G190" s="1513">
        <f t="shared" ca="1" si="175"/>
        <v>0</v>
      </c>
      <c r="H190" s="1513">
        <f t="shared" ca="1" si="175"/>
        <v>0</v>
      </c>
      <c r="I190" s="1513">
        <f t="shared" ca="1" si="175"/>
        <v>0</v>
      </c>
      <c r="J190" s="1513">
        <f t="shared" ca="1" si="175"/>
        <v>0</v>
      </c>
      <c r="K190" s="1513">
        <f t="shared" ca="1" si="175"/>
        <v>0</v>
      </c>
      <c r="L190" s="1513">
        <f t="shared" ca="1" si="175"/>
        <v>0</v>
      </c>
      <c r="M190" s="1513">
        <f t="shared" ca="1" si="175"/>
        <v>0</v>
      </c>
      <c r="N190" s="1513">
        <f t="shared" ca="1" si="175"/>
        <v>0</v>
      </c>
      <c r="O190" s="1513">
        <f t="shared" ca="1" si="175"/>
        <v>0</v>
      </c>
      <c r="P190" s="1514">
        <f t="shared" ca="1" si="173"/>
        <v>0</v>
      </c>
      <c r="Q190" s="1301"/>
      <c r="R190" s="1301"/>
      <c r="S190" s="1302"/>
      <c r="T190" s="481"/>
      <c r="U190" s="481"/>
      <c r="V190" s="481"/>
      <c r="W190" s="481"/>
      <c r="X190" s="481"/>
      <c r="Y190" s="481"/>
      <c r="Z190" s="481"/>
      <c r="AA190" s="481"/>
      <c r="AB190" s="481"/>
      <c r="CQ190" s="399"/>
      <c r="CR190" s="399"/>
      <c r="CS190" s="399"/>
      <c r="CT190" s="399"/>
      <c r="CU190" s="483"/>
      <c r="CV190" s="483"/>
      <c r="CW190" s="399"/>
      <c r="CX190" s="399"/>
      <c r="CY190" s="399"/>
      <c r="CZ190" s="399"/>
      <c r="DA190" s="399"/>
      <c r="DB190" s="399"/>
      <c r="DC190" s="399"/>
      <c r="DD190" s="399"/>
      <c r="DE190" s="399"/>
      <c r="DF190" s="399"/>
      <c r="DG190" s="399"/>
      <c r="DH190" s="399"/>
      <c r="DI190" s="399"/>
      <c r="DJ190" s="399"/>
      <c r="DK190" s="399"/>
      <c r="DL190" s="399"/>
      <c r="DM190" s="399"/>
      <c r="DN190" s="399"/>
      <c r="DO190" s="399"/>
      <c r="DP190" s="399"/>
      <c r="DQ190" s="399"/>
      <c r="DR190" s="399"/>
    </row>
    <row r="191" spans="2:122" s="480" customFormat="1" x14ac:dyDescent="0.2">
      <c r="B191" s="1625" t="str">
        <f t="shared" si="171"/>
        <v>Investitionsgut 5</v>
      </c>
      <c r="C191" s="1626"/>
      <c r="D191" s="1513">
        <f t="shared" ref="D191:O191" ca="1" si="176">IF($G179="x",0,IF(OR(D$185&lt;$E179,D$185&gt;$I179),0,$H179))</f>
        <v>0</v>
      </c>
      <c r="E191" s="1513">
        <f t="shared" ca="1" si="176"/>
        <v>0</v>
      </c>
      <c r="F191" s="1513">
        <f t="shared" ca="1" si="176"/>
        <v>0</v>
      </c>
      <c r="G191" s="1513">
        <f t="shared" ca="1" si="176"/>
        <v>0</v>
      </c>
      <c r="H191" s="1513">
        <f t="shared" ca="1" si="176"/>
        <v>0</v>
      </c>
      <c r="I191" s="1513">
        <f t="shared" ca="1" si="176"/>
        <v>0</v>
      </c>
      <c r="J191" s="1513">
        <f t="shared" ca="1" si="176"/>
        <v>0</v>
      </c>
      <c r="K191" s="1513">
        <f t="shared" ca="1" si="176"/>
        <v>0</v>
      </c>
      <c r="L191" s="1513">
        <f t="shared" ca="1" si="176"/>
        <v>0</v>
      </c>
      <c r="M191" s="1513">
        <f t="shared" ca="1" si="176"/>
        <v>0</v>
      </c>
      <c r="N191" s="1513">
        <f t="shared" ca="1" si="176"/>
        <v>0</v>
      </c>
      <c r="O191" s="1513">
        <f t="shared" ca="1" si="176"/>
        <v>0</v>
      </c>
      <c r="P191" s="1514">
        <f t="shared" ca="1" si="173"/>
        <v>0</v>
      </c>
      <c r="Q191" s="1301"/>
      <c r="R191" s="1301"/>
      <c r="S191" s="1302"/>
      <c r="T191" s="481"/>
      <c r="U191" s="481"/>
      <c r="V191" s="481"/>
      <c r="W191" s="481"/>
      <c r="X191" s="481"/>
      <c r="Y191" s="481"/>
      <c r="Z191" s="481"/>
      <c r="AA191" s="481"/>
      <c r="AB191" s="481"/>
      <c r="CQ191" s="399"/>
      <c r="CR191" s="399"/>
      <c r="CS191" s="399"/>
      <c r="CT191" s="399"/>
      <c r="CU191" s="483"/>
      <c r="CV191" s="483"/>
      <c r="CW191" s="399"/>
      <c r="CX191" s="399"/>
      <c r="CY191" s="399"/>
      <c r="CZ191" s="399"/>
      <c r="DA191" s="399"/>
      <c r="DB191" s="399"/>
      <c r="DC191" s="399"/>
      <c r="DD191" s="399"/>
      <c r="DE191" s="399"/>
      <c r="DF191" s="399"/>
      <c r="DG191" s="399"/>
      <c r="DH191" s="399"/>
      <c r="DI191" s="399"/>
      <c r="DJ191" s="399"/>
      <c r="DK191" s="399"/>
      <c r="DL191" s="399"/>
      <c r="DM191" s="399"/>
      <c r="DN191" s="399"/>
      <c r="DO191" s="399"/>
      <c r="DP191" s="399"/>
      <c r="DQ191" s="399"/>
      <c r="DR191" s="399"/>
    </row>
    <row r="192" spans="2:122" s="480" customFormat="1" x14ac:dyDescent="0.2">
      <c r="B192" s="1625" t="str">
        <f t="shared" si="171"/>
        <v>Investitionsgut 6</v>
      </c>
      <c r="C192" s="1626"/>
      <c r="D192" s="1513">
        <f t="shared" ref="D192:O192" ca="1" si="177">IF($G180="x",0,IF(OR(D$185&lt;$E180,D$185&gt;$I180),0,$H180))</f>
        <v>0</v>
      </c>
      <c r="E192" s="1513">
        <f t="shared" ca="1" si="177"/>
        <v>0</v>
      </c>
      <c r="F192" s="1513">
        <f t="shared" ca="1" si="177"/>
        <v>0</v>
      </c>
      <c r="G192" s="1513">
        <f t="shared" ca="1" si="177"/>
        <v>0</v>
      </c>
      <c r="H192" s="1513">
        <f t="shared" ca="1" si="177"/>
        <v>0</v>
      </c>
      <c r="I192" s="1513">
        <f t="shared" ca="1" si="177"/>
        <v>0</v>
      </c>
      <c r="J192" s="1513">
        <f t="shared" ca="1" si="177"/>
        <v>0</v>
      </c>
      <c r="K192" s="1513">
        <f t="shared" ca="1" si="177"/>
        <v>0</v>
      </c>
      <c r="L192" s="1513">
        <f t="shared" ca="1" si="177"/>
        <v>0</v>
      </c>
      <c r="M192" s="1513">
        <f t="shared" ca="1" si="177"/>
        <v>0</v>
      </c>
      <c r="N192" s="1513">
        <f t="shared" ca="1" si="177"/>
        <v>0</v>
      </c>
      <c r="O192" s="1513">
        <f t="shared" ca="1" si="177"/>
        <v>0</v>
      </c>
      <c r="P192" s="1514">
        <f t="shared" ca="1" si="173"/>
        <v>0</v>
      </c>
      <c r="Q192" s="1301"/>
      <c r="R192" s="1301"/>
      <c r="S192" s="1302"/>
      <c r="T192" s="481"/>
      <c r="U192" s="481"/>
      <c r="V192" s="481"/>
      <c r="W192" s="481"/>
      <c r="X192" s="481"/>
      <c r="Y192" s="481"/>
      <c r="Z192" s="481"/>
      <c r="AA192" s="481"/>
      <c r="AB192" s="481"/>
      <c r="CQ192" s="399"/>
      <c r="CR192" s="399"/>
      <c r="CS192" s="399"/>
      <c r="CT192" s="399"/>
      <c r="CU192" s="483"/>
      <c r="CV192" s="483"/>
      <c r="CW192" s="399"/>
      <c r="CX192" s="399"/>
      <c r="CY192" s="399"/>
      <c r="CZ192" s="399"/>
      <c r="DA192" s="399"/>
      <c r="DB192" s="399"/>
      <c r="DC192" s="399"/>
      <c r="DD192" s="399"/>
      <c r="DE192" s="399"/>
      <c r="DF192" s="399"/>
      <c r="DG192" s="399"/>
      <c r="DH192" s="399"/>
      <c r="DI192" s="399"/>
      <c r="DJ192" s="399"/>
      <c r="DK192" s="399"/>
      <c r="DL192" s="399"/>
      <c r="DM192" s="399"/>
      <c r="DN192" s="399"/>
      <c r="DO192" s="399"/>
      <c r="DP192" s="399"/>
      <c r="DQ192" s="399"/>
      <c r="DR192" s="399"/>
    </row>
    <row r="193" spans="1:122" s="480" customFormat="1" x14ac:dyDescent="0.2">
      <c r="B193" s="1627" t="str">
        <f t="shared" si="171"/>
        <v>Investitionsgut 7</v>
      </c>
      <c r="C193" s="1628"/>
      <c r="D193" s="1513">
        <f t="shared" ref="D193:O193" ca="1" si="178">IF($G181="x",0,IF(OR(D$185&lt;$E181,D$185&gt;$I181),0,$H181))</f>
        <v>0</v>
      </c>
      <c r="E193" s="1513">
        <f t="shared" ca="1" si="178"/>
        <v>0</v>
      </c>
      <c r="F193" s="1513">
        <f t="shared" ca="1" si="178"/>
        <v>0</v>
      </c>
      <c r="G193" s="1513">
        <f t="shared" ca="1" si="178"/>
        <v>0</v>
      </c>
      <c r="H193" s="1513">
        <f t="shared" ca="1" si="178"/>
        <v>0</v>
      </c>
      <c r="I193" s="1513">
        <f t="shared" ca="1" si="178"/>
        <v>0</v>
      </c>
      <c r="J193" s="1513">
        <f t="shared" ca="1" si="178"/>
        <v>0</v>
      </c>
      <c r="K193" s="1513">
        <f t="shared" ca="1" si="178"/>
        <v>0</v>
      </c>
      <c r="L193" s="1513">
        <f t="shared" ca="1" si="178"/>
        <v>0</v>
      </c>
      <c r="M193" s="1513">
        <f t="shared" ca="1" si="178"/>
        <v>0</v>
      </c>
      <c r="N193" s="1513">
        <f t="shared" ca="1" si="178"/>
        <v>0</v>
      </c>
      <c r="O193" s="1513">
        <f t="shared" ca="1" si="178"/>
        <v>0</v>
      </c>
      <c r="P193" s="1523">
        <f t="shared" ca="1" si="173"/>
        <v>0</v>
      </c>
      <c r="Q193" s="1301"/>
      <c r="R193" s="1301"/>
      <c r="S193" s="1302"/>
      <c r="T193" s="481"/>
      <c r="U193" s="481"/>
      <c r="V193" s="481"/>
      <c r="W193" s="481"/>
      <c r="X193" s="481"/>
      <c r="Y193" s="481"/>
      <c r="Z193" s="481"/>
      <c r="AA193" s="481"/>
      <c r="AB193" s="481"/>
      <c r="CQ193" s="399"/>
      <c r="CR193" s="399"/>
      <c r="CS193" s="399"/>
      <c r="CT193" s="399"/>
      <c r="CU193" s="483"/>
      <c r="CV193" s="483"/>
      <c r="CW193" s="399"/>
      <c r="CX193" s="399"/>
      <c r="CY193" s="399"/>
      <c r="CZ193" s="399"/>
      <c r="DA193" s="399"/>
      <c r="DB193" s="399"/>
      <c r="DC193" s="399"/>
      <c r="DD193" s="399"/>
      <c r="DE193" s="399"/>
      <c r="DF193" s="399"/>
      <c r="DG193" s="399"/>
      <c r="DH193" s="399"/>
      <c r="DI193" s="399"/>
      <c r="DJ193" s="399"/>
      <c r="DK193" s="399"/>
      <c r="DL193" s="399"/>
      <c r="DM193" s="399"/>
      <c r="DN193" s="399"/>
      <c r="DO193" s="399"/>
      <c r="DP193" s="399"/>
      <c r="DQ193" s="399"/>
      <c r="DR193" s="399"/>
    </row>
    <row r="194" spans="1:122" s="480" customFormat="1" x14ac:dyDescent="0.2">
      <c r="B194" s="1629" t="str">
        <f>B168</f>
        <v>Sammelposten</v>
      </c>
      <c r="C194" s="1630"/>
      <c r="D194" s="1526">
        <v>0</v>
      </c>
      <c r="E194" s="1526">
        <v>0</v>
      </c>
      <c r="F194" s="1526">
        <v>0</v>
      </c>
      <c r="G194" s="1526">
        <v>0</v>
      </c>
      <c r="H194" s="1526">
        <v>0</v>
      </c>
      <c r="I194" s="1526">
        <v>0</v>
      </c>
      <c r="J194" s="1526">
        <v>0</v>
      </c>
      <c r="K194" s="1526">
        <v>0</v>
      </c>
      <c r="L194" s="1526">
        <v>0</v>
      </c>
      <c r="M194" s="1526">
        <v>0</v>
      </c>
      <c r="N194" s="1526">
        <v>0</v>
      </c>
      <c r="O194" s="1526">
        <v>0</v>
      </c>
      <c r="P194" s="1527">
        <f>SUM(D194:O194)</f>
        <v>0</v>
      </c>
      <c r="Q194" s="1301"/>
      <c r="R194" s="1301"/>
      <c r="S194" s="1302"/>
      <c r="T194" s="481"/>
      <c r="U194" s="481"/>
      <c r="V194" s="481"/>
      <c r="W194" s="481"/>
      <c r="X194" s="481"/>
      <c r="Y194" s="481"/>
      <c r="Z194" s="481"/>
      <c r="AA194" s="481"/>
      <c r="AB194" s="481"/>
      <c r="CQ194" s="399"/>
      <c r="CR194" s="399"/>
      <c r="CS194" s="399"/>
      <c r="CT194" s="399"/>
      <c r="CU194" s="483"/>
      <c r="CV194" s="483"/>
      <c r="CW194" s="399"/>
      <c r="CX194" s="399"/>
      <c r="CY194" s="399"/>
      <c r="CZ194" s="399"/>
      <c r="DA194" s="399"/>
      <c r="DB194" s="399"/>
      <c r="DC194" s="399"/>
      <c r="DD194" s="399"/>
      <c r="DE194" s="399"/>
      <c r="DF194" s="399"/>
      <c r="DG194" s="399"/>
      <c r="DH194" s="399"/>
      <c r="DI194" s="399"/>
      <c r="DJ194" s="399"/>
      <c r="DK194" s="399"/>
      <c r="DL194" s="399"/>
      <c r="DM194" s="399"/>
      <c r="DN194" s="399"/>
      <c r="DO194" s="399"/>
      <c r="DP194" s="399"/>
      <c r="DQ194" s="399"/>
      <c r="DR194" s="399"/>
    </row>
    <row r="195" spans="1:122" s="176" customFormat="1" ht="15" thickBot="1" x14ac:dyDescent="0.25">
      <c r="B195" s="1528" t="str">
        <f>"Summe" &amp;" "&amp;B194</f>
        <v>Summe Sammelposten</v>
      </c>
      <c r="C195" s="1529"/>
      <c r="D195" s="1530">
        <f ca="1">D194+D169</f>
        <v>0</v>
      </c>
      <c r="E195" s="1530">
        <f t="shared" ref="E195" ca="1" si="179">E194+E169</f>
        <v>0</v>
      </c>
      <c r="F195" s="1530">
        <f t="shared" ref="F195" ca="1" si="180">F194+F169</f>
        <v>0</v>
      </c>
      <c r="G195" s="1530">
        <f t="shared" ref="G195" ca="1" si="181">G194+G169</f>
        <v>0</v>
      </c>
      <c r="H195" s="1530">
        <f t="shared" ref="H195" ca="1" si="182">H194+H169</f>
        <v>0</v>
      </c>
      <c r="I195" s="1530">
        <f t="shared" ref="I195" ca="1" si="183">I194+I169</f>
        <v>0</v>
      </c>
      <c r="J195" s="1530">
        <f t="shared" ref="J195" ca="1" si="184">J194+J169</f>
        <v>0</v>
      </c>
      <c r="K195" s="1530">
        <f t="shared" ref="K195" ca="1" si="185">K194+K169</f>
        <v>0</v>
      </c>
      <c r="L195" s="1530">
        <f t="shared" ref="L195" ca="1" si="186">L194+L169</f>
        <v>0</v>
      </c>
      <c r="M195" s="1530">
        <f t="shared" ref="M195" ca="1" si="187">M194+M169</f>
        <v>0</v>
      </c>
      <c r="N195" s="1530">
        <f t="shared" ref="N195" ca="1" si="188">N194+N169</f>
        <v>0</v>
      </c>
      <c r="O195" s="1530">
        <f t="shared" ref="O195" ca="1" si="189">O194+O169</f>
        <v>0</v>
      </c>
      <c r="P195" s="1532">
        <f ca="1">SUM(D195:O195)</f>
        <v>0</v>
      </c>
      <c r="S195" s="206"/>
      <c r="CQ195" s="179"/>
      <c r="CR195" s="179"/>
      <c r="CS195" s="179"/>
      <c r="CT195" s="179"/>
      <c r="CU195" s="228"/>
      <c r="CV195" s="189"/>
      <c r="CW195" s="180"/>
      <c r="CX195" s="179"/>
      <c r="CY195" s="179"/>
      <c r="CZ195" s="179"/>
      <c r="DA195" s="179"/>
      <c r="DB195" s="179"/>
      <c r="DC195" s="179"/>
      <c r="DD195" s="179"/>
      <c r="DE195" s="179"/>
      <c r="DF195" s="179"/>
      <c r="DG195" s="179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</row>
    <row r="196" spans="1:122" s="480" customFormat="1" ht="15.75" thickTop="1" thickBot="1" x14ac:dyDescent="0.25">
      <c r="A196" s="1511"/>
      <c r="B196" s="1611" t="str">
        <f>B170</f>
        <v>Summe Abschreibungen</v>
      </c>
      <c r="C196" s="1612"/>
      <c r="D196" s="1524">
        <f ca="1">SUM(D187:D193)+D195</f>
        <v>0</v>
      </c>
      <c r="E196" s="1524">
        <f t="shared" ref="E196" ca="1" si="190">SUM(E187:E193)+E195</f>
        <v>0</v>
      </c>
      <c r="F196" s="1524">
        <f t="shared" ref="F196" ca="1" si="191">SUM(F187:F193)+F195</f>
        <v>0</v>
      </c>
      <c r="G196" s="1524">
        <f t="shared" ref="G196" ca="1" si="192">SUM(G187:G193)+G195</f>
        <v>0</v>
      </c>
      <c r="H196" s="1524">
        <f t="shared" ref="H196" ca="1" si="193">SUM(H187:H193)+H195</f>
        <v>0</v>
      </c>
      <c r="I196" s="1524">
        <f t="shared" ref="I196" ca="1" si="194">SUM(I187:I193)+I195</f>
        <v>0</v>
      </c>
      <c r="J196" s="1524">
        <f t="shared" ref="J196" ca="1" si="195">SUM(J187:J193)+J195</f>
        <v>0</v>
      </c>
      <c r="K196" s="1524">
        <f t="shared" ref="K196" ca="1" si="196">SUM(K187:K193)+K195</f>
        <v>0</v>
      </c>
      <c r="L196" s="1524">
        <f t="shared" ref="L196" ca="1" si="197">SUM(L187:L193)+L195</f>
        <v>0</v>
      </c>
      <c r="M196" s="1524">
        <f t="shared" ref="M196" ca="1" si="198">SUM(M187:M193)+M195</f>
        <v>0</v>
      </c>
      <c r="N196" s="1524">
        <f t="shared" ref="N196" ca="1" si="199">SUM(N187:N193)+N195</f>
        <v>0</v>
      </c>
      <c r="O196" s="1524">
        <f t="shared" ref="O196" ca="1" si="200">SUM(O187:O193)+O195</f>
        <v>0</v>
      </c>
      <c r="P196" s="1525">
        <f ca="1">SUM(D196:O196)</f>
        <v>0</v>
      </c>
      <c r="Q196" s="1301"/>
      <c r="R196" s="1301"/>
      <c r="S196" s="1302"/>
      <c r="T196" s="481"/>
      <c r="U196" s="481"/>
      <c r="V196" s="481"/>
      <c r="W196" s="481"/>
      <c r="X196" s="481"/>
      <c r="Y196" s="481"/>
      <c r="Z196" s="481"/>
      <c r="AA196" s="481"/>
      <c r="AB196" s="481"/>
      <c r="CQ196" s="399"/>
      <c r="CR196" s="399"/>
      <c r="CS196" s="399"/>
      <c r="CT196" s="399"/>
      <c r="CU196" s="483"/>
      <c r="CV196" s="483"/>
      <c r="CW196" s="399"/>
      <c r="CX196" s="399"/>
      <c r="CY196" s="399"/>
      <c r="CZ196" s="399"/>
      <c r="DA196" s="399"/>
      <c r="DB196" s="399"/>
      <c r="DC196" s="399"/>
      <c r="DD196" s="399"/>
      <c r="DE196" s="399"/>
      <c r="DF196" s="399"/>
      <c r="DG196" s="399"/>
      <c r="DH196" s="399"/>
      <c r="DI196" s="399"/>
      <c r="DJ196" s="399"/>
      <c r="DK196" s="399"/>
      <c r="DL196" s="399"/>
      <c r="DM196" s="399"/>
      <c r="DN196" s="399"/>
      <c r="DO196" s="399"/>
      <c r="DP196" s="399"/>
      <c r="DQ196" s="399"/>
      <c r="DR196" s="399"/>
    </row>
    <row r="197" spans="1:122" s="480" customFormat="1" x14ac:dyDescent="0.2">
      <c r="B197" s="741"/>
      <c r="C197" s="1511"/>
      <c r="D197" s="1511"/>
      <c r="E197" s="1511"/>
      <c r="F197" s="1511"/>
      <c r="G197" s="1511"/>
      <c r="H197" s="1511"/>
      <c r="I197" s="1511"/>
      <c r="J197" s="1511"/>
      <c r="K197" s="1511"/>
      <c r="L197" s="1511"/>
      <c r="M197" s="1511"/>
      <c r="N197" s="1511"/>
      <c r="O197" s="1506"/>
      <c r="P197" s="1301"/>
      <c r="Q197" s="1301"/>
      <c r="R197" s="1301"/>
      <c r="S197" s="1302"/>
      <c r="T197" s="481"/>
      <c r="U197" s="481"/>
      <c r="V197" s="481"/>
      <c r="W197" s="481"/>
      <c r="X197" s="481"/>
      <c r="Y197" s="481"/>
      <c r="Z197" s="481"/>
      <c r="AA197" s="481"/>
      <c r="AB197" s="481"/>
      <c r="CQ197" s="399"/>
      <c r="CR197" s="399"/>
      <c r="CS197" s="399"/>
      <c r="CT197" s="399"/>
      <c r="CU197" s="483"/>
      <c r="CV197" s="483"/>
      <c r="CW197" s="399"/>
      <c r="CX197" s="399"/>
      <c r="CY197" s="399"/>
      <c r="CZ197" s="399"/>
      <c r="DA197" s="399"/>
      <c r="DB197" s="399"/>
      <c r="DC197" s="399"/>
      <c r="DD197" s="399"/>
      <c r="DE197" s="399"/>
      <c r="DF197" s="399"/>
      <c r="DG197" s="399"/>
      <c r="DH197" s="399"/>
      <c r="DI197" s="399"/>
      <c r="DJ197" s="399"/>
      <c r="DK197" s="399"/>
      <c r="DL197" s="399"/>
      <c r="DM197" s="399"/>
      <c r="DN197" s="399"/>
      <c r="DO197" s="399"/>
      <c r="DP197" s="399"/>
      <c r="DQ197" s="399"/>
      <c r="DR197" s="399"/>
    </row>
    <row r="198" spans="1:122" s="480" customFormat="1" x14ac:dyDescent="0.2">
      <c r="B198" s="741"/>
      <c r="C198" s="1511"/>
      <c r="D198" s="1511"/>
      <c r="E198" s="1511"/>
      <c r="F198" s="1511"/>
      <c r="G198" s="1511"/>
      <c r="H198" s="1511"/>
      <c r="I198" s="1511"/>
      <c r="J198" s="1511"/>
      <c r="K198" s="1511"/>
      <c r="L198" s="1511"/>
      <c r="M198" s="1511"/>
      <c r="N198" s="1511"/>
      <c r="O198" s="1506"/>
      <c r="P198" s="1301"/>
      <c r="Q198" s="1301"/>
      <c r="R198" s="1301"/>
      <c r="S198" s="1302"/>
      <c r="T198" s="481"/>
      <c r="U198" s="481"/>
      <c r="V198" s="481"/>
      <c r="W198" s="481"/>
      <c r="X198" s="481"/>
      <c r="Y198" s="481"/>
      <c r="Z198" s="481"/>
      <c r="AA198" s="481"/>
      <c r="AB198" s="481"/>
      <c r="CQ198" s="399"/>
      <c r="CR198" s="399"/>
      <c r="CS198" s="399"/>
      <c r="CT198" s="399"/>
      <c r="CU198" s="483"/>
      <c r="CV198" s="483"/>
      <c r="CW198" s="399"/>
      <c r="CX198" s="399"/>
      <c r="CY198" s="399"/>
      <c r="CZ198" s="399"/>
      <c r="DA198" s="399"/>
      <c r="DB198" s="399"/>
      <c r="DC198" s="399"/>
      <c r="DD198" s="399"/>
      <c r="DE198" s="399"/>
      <c r="DF198" s="399"/>
      <c r="DG198" s="399"/>
      <c r="DH198" s="399"/>
      <c r="DI198" s="399"/>
      <c r="DJ198" s="399"/>
      <c r="DK198" s="399"/>
      <c r="DL198" s="399"/>
      <c r="DM198" s="399"/>
      <c r="DN198" s="399"/>
      <c r="DO198" s="399"/>
      <c r="DP198" s="399"/>
      <c r="DQ198" s="399"/>
      <c r="DR198" s="399"/>
    </row>
    <row r="199" spans="1:122" s="480" customFormat="1" x14ac:dyDescent="0.2">
      <c r="B199" s="741"/>
      <c r="C199" s="1511"/>
      <c r="D199" s="1511"/>
      <c r="E199" s="1511"/>
      <c r="F199" s="1511"/>
      <c r="G199" s="1511"/>
      <c r="H199" s="1511"/>
      <c r="I199" s="1511"/>
      <c r="J199" s="1511"/>
      <c r="K199" s="1511"/>
      <c r="L199" s="1511"/>
      <c r="M199" s="1511"/>
      <c r="N199" s="1511"/>
      <c r="O199" s="1506"/>
      <c r="P199" s="1301"/>
      <c r="Q199" s="1301"/>
      <c r="R199" s="1301"/>
      <c r="S199" s="1302"/>
      <c r="T199" s="481"/>
      <c r="U199" s="481"/>
      <c r="V199" s="481"/>
      <c r="W199" s="481"/>
      <c r="X199" s="481"/>
      <c r="Y199" s="481"/>
      <c r="Z199" s="481"/>
      <c r="AA199" s="481"/>
      <c r="AB199" s="481"/>
      <c r="CQ199" s="399"/>
      <c r="CR199" s="399"/>
      <c r="CS199" s="399"/>
      <c r="CT199" s="399"/>
      <c r="CU199" s="483"/>
      <c r="CV199" s="483"/>
      <c r="CW199" s="382"/>
      <c r="CX199" s="399"/>
      <c r="CY199" s="399"/>
      <c r="CZ199" s="399"/>
      <c r="DA199" s="399"/>
      <c r="DB199" s="399"/>
      <c r="DC199" s="399"/>
      <c r="DD199" s="399"/>
      <c r="DE199" s="399"/>
      <c r="DF199" s="399"/>
      <c r="DG199" s="399"/>
      <c r="DH199" s="399"/>
      <c r="DI199" s="399"/>
      <c r="DJ199" s="399"/>
      <c r="DK199" s="399"/>
      <c r="DL199" s="399"/>
      <c r="DM199" s="399"/>
      <c r="DN199" s="399"/>
      <c r="DO199" s="399"/>
      <c r="DP199" s="399"/>
      <c r="DQ199" s="399"/>
      <c r="DR199" s="399"/>
    </row>
    <row r="200" spans="1:122" s="480" customFormat="1" x14ac:dyDescent="0.2">
      <c r="B200" s="741"/>
      <c r="C200" s="1511" t="str">
        <f>IF($C$2="English",CW200,CV200)</f>
        <v>Anschaffungen/Investitionen</v>
      </c>
      <c r="D200" s="1511">
        <f ca="1">'1 Pers.Ausgaben|Pers Expenses'!$C$4</f>
        <v>2019</v>
      </c>
      <c r="E200" s="1511"/>
      <c r="F200" s="1511">
        <f ca="1">D200+1</f>
        <v>2020</v>
      </c>
      <c r="G200" s="1511"/>
      <c r="H200" s="1511">
        <f ca="1">F200+1</f>
        <v>2021</v>
      </c>
      <c r="I200" s="1511"/>
      <c r="J200" s="1511">
        <f ca="1">H200+1</f>
        <v>2022</v>
      </c>
      <c r="K200" s="1511"/>
      <c r="L200" s="1511">
        <f ca="1">J200+1</f>
        <v>2023</v>
      </c>
      <c r="M200" s="1511"/>
      <c r="N200" s="1511"/>
      <c r="O200" s="1506"/>
      <c r="P200" s="1301"/>
      <c r="Q200" s="1301"/>
      <c r="R200" s="1301"/>
      <c r="S200" s="1302"/>
      <c r="T200" s="481"/>
      <c r="U200" s="481"/>
      <c r="V200" s="481"/>
      <c r="W200" s="481"/>
      <c r="X200" s="481"/>
      <c r="Y200" s="481"/>
      <c r="Z200" s="481"/>
      <c r="AA200" s="481"/>
      <c r="AB200" s="481"/>
      <c r="CQ200" s="399"/>
      <c r="CR200" s="399"/>
      <c r="CS200" s="399"/>
      <c r="CT200" s="399"/>
      <c r="CU200" s="483"/>
      <c r="CV200" s="1511" t="s">
        <v>786</v>
      </c>
      <c r="CW200" s="40" t="s">
        <v>792</v>
      </c>
      <c r="CX200" s="399"/>
      <c r="CY200" s="399"/>
      <c r="CZ200" s="399"/>
      <c r="DA200" s="399"/>
      <c r="DB200" s="399"/>
      <c r="DC200" s="399"/>
      <c r="DD200" s="399"/>
      <c r="DE200" s="399"/>
      <c r="DF200" s="399"/>
      <c r="DG200" s="399"/>
      <c r="DH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R200" s="399"/>
    </row>
    <row r="201" spans="1:122" s="480" customFormat="1" x14ac:dyDescent="0.2">
      <c r="B201" s="741"/>
      <c r="C201" s="1511" t="str">
        <f t="shared" ref="C201:C203" si="201">IF($C$2="English",CW201,CV201)</f>
        <v>Lageraufbau</v>
      </c>
      <c r="D201" s="1511">
        <f>J79</f>
        <v>0</v>
      </c>
      <c r="E201" s="1511"/>
      <c r="F201" s="1511">
        <f>J105</f>
        <v>0</v>
      </c>
      <c r="H201" s="1511">
        <f>J131</f>
        <v>0</v>
      </c>
      <c r="I201" s="1511"/>
      <c r="J201" s="1511">
        <f>J157</f>
        <v>0</v>
      </c>
      <c r="K201" s="1511"/>
      <c r="L201" s="1511">
        <f>J183</f>
        <v>0</v>
      </c>
      <c r="M201" s="1511"/>
      <c r="N201" s="1511"/>
      <c r="O201" s="1506"/>
      <c r="P201" s="1301"/>
      <c r="Q201" s="1301"/>
      <c r="R201" s="1301"/>
      <c r="S201" s="1302"/>
      <c r="T201" s="481"/>
      <c r="U201" s="481"/>
      <c r="V201" s="481"/>
      <c r="W201" s="481"/>
      <c r="X201" s="481"/>
      <c r="Y201" s="481"/>
      <c r="Z201" s="481"/>
      <c r="AA201" s="481"/>
      <c r="AB201" s="481"/>
      <c r="CQ201" s="399"/>
      <c r="CR201" s="399"/>
      <c r="CS201" s="399"/>
      <c r="CT201" s="399"/>
      <c r="CU201" s="483"/>
      <c r="CV201" s="1511" t="s">
        <v>789</v>
      </c>
      <c r="CW201" s="382" t="s">
        <v>791</v>
      </c>
      <c r="CX201" s="399"/>
      <c r="CY201" s="399"/>
      <c r="CZ201" s="399"/>
      <c r="DA201" s="399"/>
      <c r="DB201" s="399"/>
      <c r="DC201" s="399"/>
      <c r="DD201" s="399"/>
      <c r="DE201" s="399"/>
      <c r="DF201" s="399"/>
      <c r="DG201" s="399"/>
      <c r="DH201" s="399"/>
      <c r="DI201" s="399"/>
      <c r="DJ201" s="399"/>
      <c r="DK201" s="399"/>
      <c r="DL201" s="399"/>
      <c r="DM201" s="399"/>
      <c r="DN201" s="399"/>
      <c r="DO201" s="399"/>
      <c r="DP201" s="399"/>
      <c r="DQ201" s="399"/>
      <c r="DR201" s="399"/>
    </row>
    <row r="202" spans="1:122" s="480" customFormat="1" x14ac:dyDescent="0.2">
      <c r="B202" s="741"/>
      <c r="C202" s="1511" t="str">
        <f t="shared" si="201"/>
        <v>Investitionen</v>
      </c>
      <c r="D202" s="1511">
        <f>D79</f>
        <v>0</v>
      </c>
      <c r="F202" s="1511">
        <f>D105</f>
        <v>0</v>
      </c>
      <c r="H202" s="1511">
        <f>D131</f>
        <v>0</v>
      </c>
      <c r="I202" s="1511"/>
      <c r="J202" s="1511">
        <f>D157</f>
        <v>0</v>
      </c>
      <c r="K202" s="1511"/>
      <c r="L202" s="1511">
        <f>D183</f>
        <v>0</v>
      </c>
      <c r="M202" s="1511"/>
      <c r="N202" s="1511"/>
      <c r="O202" s="1506"/>
      <c r="P202" s="1301"/>
      <c r="Q202" s="1301"/>
      <c r="R202" s="1301"/>
      <c r="S202" s="1302"/>
      <c r="T202" s="481"/>
      <c r="U202" s="481"/>
      <c r="V202" s="481"/>
      <c r="W202" s="481"/>
      <c r="X202" s="481"/>
      <c r="Y202" s="481"/>
      <c r="Z202" s="481"/>
      <c r="AA202" s="481"/>
      <c r="AB202" s="481"/>
      <c r="CQ202" s="399"/>
      <c r="CR202" s="399"/>
      <c r="CS202" s="399"/>
      <c r="CT202" s="399"/>
      <c r="CU202" s="483"/>
      <c r="CV202" s="1511" t="s">
        <v>687</v>
      </c>
      <c r="CW202" s="382" t="s">
        <v>793</v>
      </c>
      <c r="CX202" s="399"/>
      <c r="CY202" s="399"/>
      <c r="CZ202" s="399"/>
      <c r="DA202" s="399"/>
      <c r="DB202" s="399"/>
      <c r="DC202" s="399"/>
      <c r="DD202" s="399"/>
      <c r="DE202" s="399"/>
      <c r="DF202" s="399"/>
      <c r="DG202" s="399"/>
      <c r="DH202" s="399"/>
      <c r="DI202" s="399"/>
      <c r="DJ202" s="399"/>
      <c r="DK202" s="399"/>
      <c r="DL202" s="399"/>
      <c r="DM202" s="399"/>
      <c r="DN202" s="399"/>
      <c r="DO202" s="399"/>
      <c r="DP202" s="399"/>
      <c r="DQ202" s="399"/>
      <c r="DR202" s="399"/>
    </row>
    <row r="203" spans="1:122" s="480" customFormat="1" x14ac:dyDescent="0.2">
      <c r="B203" s="741"/>
      <c r="C203" s="1511" t="str">
        <f t="shared" si="201"/>
        <v>Abschreibungen</v>
      </c>
      <c r="E203" s="1511">
        <f>P92</f>
        <v>0</v>
      </c>
      <c r="F203" s="1511"/>
      <c r="G203" s="1511">
        <f ca="1">P118</f>
        <v>0</v>
      </c>
      <c r="I203" s="1511">
        <f ca="1">P144</f>
        <v>0</v>
      </c>
      <c r="J203" s="1511"/>
      <c r="K203" s="1511">
        <f ca="1">P170</f>
        <v>0</v>
      </c>
      <c r="L203" s="1511"/>
      <c r="M203" s="1511">
        <f ca="1">P196</f>
        <v>0</v>
      </c>
      <c r="N203" s="1511"/>
      <c r="O203" s="1506"/>
      <c r="P203" s="1301"/>
      <c r="Q203" s="1301"/>
      <c r="R203" s="1301"/>
      <c r="S203" s="1302"/>
      <c r="T203" s="481"/>
      <c r="U203" s="481"/>
      <c r="V203" s="481"/>
      <c r="W203" s="481"/>
      <c r="X203" s="481"/>
      <c r="Y203" s="481"/>
      <c r="Z203" s="481"/>
      <c r="AA203" s="481"/>
      <c r="AB203" s="481"/>
      <c r="CQ203" s="399"/>
      <c r="CR203" s="399"/>
      <c r="CS203" s="399"/>
      <c r="CT203" s="399"/>
      <c r="CU203" s="483"/>
      <c r="CV203" s="1511" t="s">
        <v>155</v>
      </c>
      <c r="CW203" s="382" t="s">
        <v>790</v>
      </c>
      <c r="CX203" s="399"/>
      <c r="CY203" s="399"/>
      <c r="CZ203" s="399"/>
      <c r="DA203" s="399"/>
      <c r="DB203" s="399"/>
      <c r="DC203" s="399"/>
      <c r="DD203" s="399"/>
      <c r="DE203" s="399"/>
      <c r="DF203" s="399"/>
      <c r="DG203" s="399"/>
      <c r="DH203" s="399"/>
      <c r="DI203" s="399"/>
      <c r="DJ203" s="399"/>
      <c r="DK203" s="399"/>
      <c r="DL203" s="399"/>
      <c r="DM203" s="399"/>
      <c r="DN203" s="399"/>
      <c r="DO203" s="399"/>
      <c r="DP203" s="399"/>
      <c r="DQ203" s="399"/>
      <c r="DR203" s="399"/>
    </row>
    <row r="204" spans="1:122" s="480" customFormat="1" x14ac:dyDescent="0.2">
      <c r="B204" s="741"/>
      <c r="C204" s="1511"/>
      <c r="D204" s="1511"/>
      <c r="E204" s="1511"/>
      <c r="F204" s="1511"/>
      <c r="G204" s="1511"/>
      <c r="H204" s="1511"/>
      <c r="I204" s="1511"/>
      <c r="J204" s="1511"/>
      <c r="K204" s="1511"/>
      <c r="L204" s="1511"/>
      <c r="M204" s="1511"/>
      <c r="N204" s="1511"/>
      <c r="O204" s="1506"/>
      <c r="P204" s="1301"/>
      <c r="Q204" s="1301"/>
      <c r="R204" s="1301"/>
      <c r="S204" s="1302"/>
      <c r="T204" s="481"/>
      <c r="U204" s="481"/>
      <c r="V204" s="481"/>
      <c r="W204" s="481"/>
      <c r="X204" s="481"/>
      <c r="Y204" s="481"/>
      <c r="Z204" s="481"/>
      <c r="AA204" s="481"/>
      <c r="AB204" s="481"/>
      <c r="CQ204" s="399"/>
      <c r="CR204" s="399"/>
      <c r="CS204" s="399"/>
      <c r="CT204" s="399"/>
      <c r="CU204" s="483"/>
      <c r="CV204" s="483"/>
      <c r="CW204" s="382"/>
      <c r="CX204" s="399"/>
      <c r="CY204" s="399"/>
      <c r="CZ204" s="399"/>
      <c r="DA204" s="399"/>
      <c r="DB204" s="399"/>
      <c r="DC204" s="399"/>
      <c r="DD204" s="399"/>
      <c r="DE204" s="399"/>
      <c r="DF204" s="399"/>
      <c r="DG204" s="399"/>
      <c r="DH204" s="399"/>
      <c r="DI204" s="399"/>
      <c r="DJ204" s="399"/>
      <c r="DK204" s="399"/>
      <c r="DL204" s="399"/>
      <c r="DM204" s="399"/>
      <c r="DN204" s="399"/>
      <c r="DO204" s="399"/>
      <c r="DP204" s="399"/>
      <c r="DQ204" s="399"/>
      <c r="DR204" s="399"/>
    </row>
    <row r="205" spans="1:122" s="480" customFormat="1" x14ac:dyDescent="0.2">
      <c r="B205" s="741"/>
      <c r="C205" s="1511"/>
      <c r="D205" s="1511"/>
      <c r="E205" s="1511"/>
      <c r="F205" s="1511"/>
      <c r="G205" s="1511"/>
      <c r="H205" s="1511"/>
      <c r="I205" s="1511"/>
      <c r="J205" s="1511"/>
      <c r="K205" s="1511"/>
      <c r="L205" s="1511"/>
      <c r="M205" s="1511"/>
      <c r="N205" s="1511"/>
      <c r="O205" s="1506"/>
      <c r="P205" s="1301"/>
      <c r="Q205" s="1301"/>
      <c r="R205" s="1301"/>
      <c r="S205" s="1302"/>
      <c r="T205" s="481"/>
      <c r="U205" s="481"/>
      <c r="V205" s="481"/>
      <c r="W205" s="481"/>
      <c r="X205" s="481"/>
      <c r="Y205" s="481"/>
      <c r="Z205" s="481"/>
      <c r="AA205" s="481"/>
      <c r="AB205" s="481"/>
      <c r="CQ205" s="399"/>
      <c r="CR205" s="399"/>
      <c r="CS205" s="399"/>
      <c r="CT205" s="399"/>
      <c r="CU205" s="483"/>
      <c r="CV205" s="483"/>
      <c r="CW205" s="399"/>
      <c r="CX205" s="399"/>
      <c r="CY205" s="399"/>
      <c r="CZ205" s="399"/>
      <c r="DA205" s="399"/>
      <c r="DB205" s="399"/>
      <c r="DC205" s="399"/>
      <c r="DD205" s="399"/>
      <c r="DE205" s="399"/>
      <c r="DF205" s="399"/>
      <c r="DG205" s="399"/>
      <c r="DH205" s="399"/>
      <c r="DI205" s="399"/>
      <c r="DJ205" s="399"/>
      <c r="DK205" s="399"/>
      <c r="DL205" s="399"/>
      <c r="DM205" s="399"/>
      <c r="DN205" s="399"/>
      <c r="DO205" s="399"/>
      <c r="DP205" s="399"/>
      <c r="DQ205" s="399"/>
      <c r="DR205" s="399"/>
    </row>
    <row r="206" spans="1:122" s="480" customFormat="1" x14ac:dyDescent="0.2">
      <c r="B206" s="741"/>
      <c r="C206" s="1511"/>
      <c r="D206" s="1511"/>
      <c r="E206" s="1511"/>
      <c r="F206" s="1511"/>
      <c r="G206" s="1511"/>
      <c r="H206" s="1511"/>
      <c r="I206" s="1511"/>
      <c r="J206" s="1511"/>
      <c r="K206" s="1511"/>
      <c r="L206" s="1511"/>
      <c r="M206" s="1511"/>
      <c r="N206" s="1511"/>
      <c r="O206" s="1506"/>
      <c r="P206" s="1301"/>
      <c r="Q206" s="1301"/>
      <c r="R206" s="1301"/>
      <c r="S206" s="1302"/>
      <c r="T206" s="481"/>
      <c r="U206" s="481"/>
      <c r="V206" s="481"/>
      <c r="W206" s="481"/>
      <c r="X206" s="481"/>
      <c r="Y206" s="481"/>
      <c r="Z206" s="481"/>
      <c r="AA206" s="481"/>
      <c r="AB206" s="481"/>
      <c r="CQ206" s="399"/>
      <c r="CR206" s="399"/>
      <c r="CS206" s="399"/>
      <c r="CT206" s="399"/>
      <c r="CU206" s="483"/>
      <c r="CV206" s="483"/>
      <c r="CW206" s="399"/>
      <c r="CX206" s="399"/>
      <c r="CY206" s="399"/>
      <c r="CZ206" s="399"/>
      <c r="DA206" s="399"/>
      <c r="DB206" s="399"/>
      <c r="DC206" s="399"/>
      <c r="DD206" s="399"/>
      <c r="DE206" s="399"/>
      <c r="DF206" s="399"/>
      <c r="DG206" s="399"/>
      <c r="DH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R206" s="399"/>
    </row>
    <row r="207" spans="1:122" s="480" customFormat="1" x14ac:dyDescent="0.2">
      <c r="B207" s="741"/>
      <c r="C207" s="1511"/>
      <c r="D207" s="1511"/>
      <c r="E207" s="1511"/>
      <c r="F207" s="1511"/>
      <c r="G207" s="1511"/>
      <c r="H207" s="1511"/>
      <c r="I207" s="1511"/>
      <c r="J207" s="1511"/>
      <c r="K207" s="1511"/>
      <c r="L207" s="1511"/>
      <c r="M207" s="1511"/>
      <c r="N207" s="1511"/>
      <c r="O207" s="1506"/>
      <c r="P207" s="1301"/>
      <c r="Q207" s="1301"/>
      <c r="R207" s="1301"/>
      <c r="S207" s="1302"/>
      <c r="T207" s="481"/>
      <c r="U207" s="481"/>
      <c r="V207" s="481"/>
      <c r="W207" s="481"/>
      <c r="X207" s="481"/>
      <c r="Y207" s="481"/>
      <c r="Z207" s="481"/>
      <c r="AA207" s="481"/>
      <c r="AB207" s="481"/>
      <c r="CQ207" s="399"/>
      <c r="CR207" s="399"/>
      <c r="CS207" s="399"/>
      <c r="CT207" s="399"/>
      <c r="CU207" s="483"/>
      <c r="CV207" s="483"/>
      <c r="CW207" s="399"/>
      <c r="CX207" s="399"/>
      <c r="CY207" s="399"/>
      <c r="CZ207" s="399"/>
      <c r="DA207" s="399"/>
      <c r="DB207" s="399"/>
      <c r="DC207" s="399"/>
      <c r="DD207" s="399"/>
      <c r="DE207" s="399"/>
      <c r="DF207" s="399"/>
      <c r="DG207" s="399"/>
      <c r="DH207" s="399"/>
      <c r="DI207" s="399"/>
      <c r="DJ207" s="399"/>
      <c r="DK207" s="399"/>
      <c r="DL207" s="399"/>
      <c r="DM207" s="399"/>
      <c r="DN207" s="399"/>
      <c r="DO207" s="399"/>
      <c r="DP207" s="399"/>
      <c r="DQ207" s="399"/>
      <c r="DR207" s="399"/>
    </row>
    <row r="208" spans="1:122" s="480" customFormat="1" x14ac:dyDescent="0.2">
      <c r="B208" s="741"/>
      <c r="C208" s="1511"/>
      <c r="D208" s="1511"/>
      <c r="E208" s="1511"/>
      <c r="F208" s="1511"/>
      <c r="G208" s="1511"/>
      <c r="H208" s="1511"/>
      <c r="I208" s="1511"/>
      <c r="J208" s="1511"/>
      <c r="K208" s="1511"/>
      <c r="L208" s="1511"/>
      <c r="M208" s="1511"/>
      <c r="N208" s="1511"/>
      <c r="O208" s="1506"/>
      <c r="P208" s="1301"/>
      <c r="Q208" s="1301"/>
      <c r="R208" s="1301"/>
      <c r="S208" s="1302"/>
      <c r="T208" s="481"/>
      <c r="U208" s="481"/>
      <c r="V208" s="481"/>
      <c r="W208" s="481"/>
      <c r="X208" s="481"/>
      <c r="Y208" s="481"/>
      <c r="Z208" s="481"/>
      <c r="AA208" s="481"/>
      <c r="AB208" s="481"/>
      <c r="CQ208" s="399"/>
      <c r="CR208" s="399"/>
      <c r="CS208" s="399"/>
      <c r="CT208" s="399"/>
      <c r="CU208" s="483"/>
      <c r="CV208" s="483"/>
      <c r="CW208" s="399"/>
      <c r="CX208" s="399"/>
      <c r="CY208" s="399"/>
      <c r="CZ208" s="399"/>
      <c r="DA208" s="399"/>
      <c r="DB208" s="399"/>
      <c r="DC208" s="399"/>
      <c r="DD208" s="399"/>
      <c r="DE208" s="399"/>
      <c r="DF208" s="399"/>
      <c r="DG208" s="399"/>
      <c r="DH208" s="399"/>
      <c r="DI208" s="399"/>
      <c r="DJ208" s="399"/>
      <c r="DK208" s="399"/>
      <c r="DL208" s="399"/>
      <c r="DM208" s="399"/>
      <c r="DN208" s="399"/>
      <c r="DO208" s="399"/>
      <c r="DP208" s="399"/>
      <c r="DQ208" s="399"/>
      <c r="DR208" s="399"/>
    </row>
    <row r="209" spans="2:122" s="480" customFormat="1" x14ac:dyDescent="0.2">
      <c r="B209" s="741"/>
      <c r="C209" s="1511"/>
      <c r="D209" s="1511"/>
      <c r="E209" s="1511"/>
      <c r="F209" s="1511"/>
      <c r="G209" s="1511"/>
      <c r="H209" s="1511"/>
      <c r="I209" s="1511"/>
      <c r="J209" s="1511"/>
      <c r="K209" s="1511"/>
      <c r="L209" s="1511"/>
      <c r="M209" s="1511"/>
      <c r="N209" s="1511"/>
      <c r="O209" s="1506"/>
      <c r="P209" s="1301"/>
      <c r="Q209" s="1301"/>
      <c r="R209" s="1301"/>
      <c r="S209" s="1302"/>
      <c r="T209" s="481"/>
      <c r="U209" s="481"/>
      <c r="V209" s="481"/>
      <c r="W209" s="481"/>
      <c r="X209" s="481"/>
      <c r="Y209" s="481"/>
      <c r="Z209" s="481"/>
      <c r="AA209" s="481"/>
      <c r="AB209" s="481"/>
      <c r="CQ209" s="399"/>
      <c r="CR209" s="399"/>
      <c r="CS209" s="399"/>
      <c r="CT209" s="399"/>
      <c r="CU209" s="483"/>
      <c r="CV209" s="483"/>
      <c r="CW209" s="399"/>
      <c r="CX209" s="399"/>
      <c r="CY209" s="399"/>
      <c r="CZ209" s="399"/>
      <c r="DA209" s="399"/>
      <c r="DB209" s="399"/>
      <c r="DC209" s="399"/>
      <c r="DD209" s="399"/>
      <c r="DE209" s="399"/>
      <c r="DF209" s="399"/>
      <c r="DG209" s="399"/>
      <c r="DH209" s="399"/>
      <c r="DI209" s="399"/>
      <c r="DJ209" s="399"/>
      <c r="DK209" s="399"/>
      <c r="DL209" s="399"/>
      <c r="DM209" s="399"/>
      <c r="DN209" s="399"/>
      <c r="DO209" s="399"/>
      <c r="DP209" s="399"/>
      <c r="DQ209" s="399"/>
      <c r="DR209" s="399"/>
    </row>
    <row r="210" spans="2:122" s="480" customFormat="1" x14ac:dyDescent="0.2">
      <c r="B210" s="741"/>
      <c r="C210" s="1511"/>
      <c r="D210" s="1511"/>
      <c r="E210" s="1511"/>
      <c r="F210" s="1511"/>
      <c r="G210" s="1511"/>
      <c r="H210" s="1511"/>
      <c r="I210" s="1511"/>
      <c r="J210" s="1511"/>
      <c r="K210" s="1511"/>
      <c r="L210" s="1511"/>
      <c r="M210" s="1511"/>
      <c r="N210" s="1511"/>
      <c r="O210" s="1506"/>
      <c r="P210" s="1301"/>
      <c r="Q210" s="1301"/>
      <c r="R210" s="1301"/>
      <c r="S210" s="1302"/>
      <c r="T210" s="481"/>
      <c r="U210" s="481"/>
      <c r="V210" s="481"/>
      <c r="W210" s="481"/>
      <c r="X210" s="481"/>
      <c r="Y210" s="481"/>
      <c r="Z210" s="481"/>
      <c r="AA210" s="481"/>
      <c r="AB210" s="481"/>
      <c r="CQ210" s="399"/>
      <c r="CR210" s="399"/>
      <c r="CS210" s="399"/>
      <c r="CT210" s="399"/>
      <c r="CU210" s="483"/>
      <c r="CV210" s="483"/>
      <c r="CW210" s="399"/>
      <c r="CX210" s="399"/>
      <c r="CY210" s="399"/>
      <c r="CZ210" s="399"/>
      <c r="DA210" s="399"/>
      <c r="DB210" s="399"/>
      <c r="DC210" s="399"/>
      <c r="DD210" s="399"/>
      <c r="DE210" s="399"/>
      <c r="DF210" s="399"/>
      <c r="DG210" s="399"/>
      <c r="DH210" s="399"/>
      <c r="DI210" s="399"/>
      <c r="DJ210" s="399"/>
      <c r="DK210" s="399"/>
      <c r="DL210" s="399"/>
      <c r="DM210" s="399"/>
      <c r="DN210" s="399"/>
      <c r="DO210" s="399"/>
      <c r="DP210" s="399"/>
      <c r="DQ210" s="399"/>
      <c r="DR210" s="399"/>
    </row>
    <row r="211" spans="2:122" s="480" customFormat="1" x14ac:dyDescent="0.2">
      <c r="B211" s="741"/>
      <c r="C211" s="1511"/>
      <c r="D211" s="1511"/>
      <c r="E211" s="1511"/>
      <c r="F211" s="1511"/>
      <c r="G211" s="1511"/>
      <c r="H211" s="1511"/>
      <c r="I211" s="1511"/>
      <c r="J211" s="1511"/>
      <c r="K211" s="1511"/>
      <c r="L211" s="1511"/>
      <c r="M211" s="1511"/>
      <c r="N211" s="1511"/>
      <c r="O211" s="1506"/>
      <c r="P211" s="1301"/>
      <c r="Q211" s="1301"/>
      <c r="R211" s="1301"/>
      <c r="S211" s="1302"/>
      <c r="T211" s="481"/>
      <c r="U211" s="481"/>
      <c r="V211" s="481"/>
      <c r="W211" s="481"/>
      <c r="X211" s="481"/>
      <c r="Y211" s="481"/>
      <c r="Z211" s="481"/>
      <c r="AA211" s="481"/>
      <c r="AB211" s="481"/>
      <c r="CQ211" s="399"/>
      <c r="CR211" s="399"/>
      <c r="CS211" s="399"/>
      <c r="CT211" s="399"/>
      <c r="CU211" s="483"/>
      <c r="CV211" s="483"/>
      <c r="CW211" s="399"/>
      <c r="CX211" s="399"/>
      <c r="CY211" s="399"/>
      <c r="CZ211" s="399"/>
      <c r="DA211" s="399"/>
      <c r="DB211" s="399"/>
      <c r="DC211" s="399"/>
      <c r="DD211" s="399"/>
      <c r="DE211" s="399"/>
      <c r="DF211" s="399"/>
      <c r="DG211" s="399"/>
      <c r="DH211" s="399"/>
      <c r="DI211" s="399"/>
      <c r="DJ211" s="399"/>
      <c r="DK211" s="399"/>
      <c r="DL211" s="399"/>
      <c r="DM211" s="399"/>
      <c r="DN211" s="399"/>
      <c r="DO211" s="399"/>
      <c r="DP211" s="399"/>
      <c r="DQ211" s="399"/>
      <c r="DR211" s="399"/>
    </row>
    <row r="212" spans="2:122" s="480" customFormat="1" x14ac:dyDescent="0.2">
      <c r="B212" s="741"/>
      <c r="C212" s="1511"/>
      <c r="D212" s="1511"/>
      <c r="E212" s="1511"/>
      <c r="F212" s="1511"/>
      <c r="G212" s="1511"/>
      <c r="H212" s="1511"/>
      <c r="I212" s="1511"/>
      <c r="J212" s="1511"/>
      <c r="K212" s="1511"/>
      <c r="L212" s="1511"/>
      <c r="M212" s="1511"/>
      <c r="N212" s="1511"/>
      <c r="O212" s="1506"/>
      <c r="P212" s="1301"/>
      <c r="Q212" s="1301"/>
      <c r="R212" s="1301"/>
      <c r="S212" s="1302"/>
      <c r="T212" s="481"/>
      <c r="U212" s="481"/>
      <c r="V212" s="481"/>
      <c r="W212" s="481"/>
      <c r="X212" s="481"/>
      <c r="Y212" s="481"/>
      <c r="Z212" s="481"/>
      <c r="AA212" s="481"/>
      <c r="AB212" s="481"/>
      <c r="CQ212" s="399"/>
      <c r="CR212" s="399"/>
      <c r="CS212" s="399"/>
      <c r="CT212" s="399"/>
      <c r="CU212" s="483"/>
      <c r="CV212" s="483"/>
      <c r="CW212" s="399"/>
      <c r="CX212" s="399"/>
      <c r="CY212" s="399"/>
      <c r="CZ212" s="399"/>
      <c r="DA212" s="399"/>
      <c r="DB212" s="399"/>
      <c r="DC212" s="399"/>
      <c r="DD212" s="399"/>
      <c r="DE212" s="399"/>
      <c r="DF212" s="399"/>
      <c r="DG212" s="399"/>
      <c r="DH212" s="399"/>
      <c r="DI212" s="399"/>
      <c r="DJ212" s="399"/>
      <c r="DK212" s="399"/>
      <c r="DL212" s="399"/>
      <c r="DM212" s="399"/>
      <c r="DN212" s="399"/>
      <c r="DO212" s="399"/>
      <c r="DP212" s="399"/>
      <c r="DQ212" s="399"/>
      <c r="DR212" s="399"/>
    </row>
    <row r="213" spans="2:122" s="480" customFormat="1" x14ac:dyDescent="0.2">
      <c r="B213" s="741"/>
      <c r="C213" s="1511"/>
      <c r="D213" s="1511"/>
      <c r="E213" s="1511"/>
      <c r="F213" s="1511"/>
      <c r="G213" s="1511"/>
      <c r="H213" s="1511"/>
      <c r="I213" s="1511"/>
      <c r="J213" s="1511"/>
      <c r="K213" s="1511"/>
      <c r="L213" s="1511"/>
      <c r="M213" s="1511"/>
      <c r="N213" s="1511"/>
      <c r="O213" s="1506"/>
      <c r="P213" s="1301"/>
      <c r="Q213" s="1301"/>
      <c r="R213" s="1301"/>
      <c r="S213" s="1302"/>
      <c r="T213" s="481"/>
      <c r="U213" s="481"/>
      <c r="V213" s="481"/>
      <c r="W213" s="481"/>
      <c r="X213" s="481"/>
      <c r="Y213" s="481"/>
      <c r="Z213" s="481"/>
      <c r="AA213" s="481"/>
      <c r="AB213" s="481"/>
      <c r="CQ213" s="399"/>
      <c r="CR213" s="399"/>
      <c r="CS213" s="399"/>
      <c r="CT213" s="399"/>
      <c r="CU213" s="483"/>
      <c r="CV213" s="483"/>
      <c r="CW213" s="399"/>
      <c r="CX213" s="399"/>
      <c r="CY213" s="399"/>
      <c r="CZ213" s="399"/>
      <c r="DA213" s="399"/>
      <c r="DB213" s="399"/>
      <c r="DC213" s="399"/>
      <c r="DD213" s="399"/>
      <c r="DE213" s="399"/>
      <c r="DF213" s="399"/>
      <c r="DG213" s="399"/>
      <c r="DH213" s="399"/>
      <c r="DI213" s="399"/>
      <c r="DJ213" s="399"/>
      <c r="DK213" s="399"/>
      <c r="DL213" s="399"/>
      <c r="DM213" s="399"/>
      <c r="DN213" s="399"/>
      <c r="DO213" s="399"/>
      <c r="DP213" s="399"/>
      <c r="DQ213" s="399"/>
      <c r="DR213" s="399"/>
    </row>
    <row r="214" spans="2:122" s="480" customFormat="1" x14ac:dyDescent="0.2">
      <c r="B214" s="741"/>
      <c r="C214" s="1511"/>
      <c r="D214" s="1511"/>
      <c r="E214" s="1511"/>
      <c r="F214" s="1511"/>
      <c r="G214" s="1511"/>
      <c r="H214" s="1511"/>
      <c r="I214" s="1511"/>
      <c r="J214" s="1511"/>
      <c r="K214" s="1511"/>
      <c r="L214" s="1511"/>
      <c r="M214" s="1511"/>
      <c r="N214" s="1511"/>
      <c r="O214" s="1506"/>
      <c r="P214" s="1301"/>
      <c r="Q214" s="1301"/>
      <c r="R214" s="1301"/>
      <c r="S214" s="1302"/>
      <c r="T214" s="481"/>
      <c r="U214" s="481"/>
      <c r="V214" s="481"/>
      <c r="W214" s="481"/>
      <c r="X214" s="481"/>
      <c r="Y214" s="481"/>
      <c r="Z214" s="481"/>
      <c r="AA214" s="481"/>
      <c r="AB214" s="481"/>
      <c r="CQ214" s="399"/>
      <c r="CR214" s="399"/>
      <c r="CS214" s="399"/>
      <c r="CT214" s="399"/>
      <c r="CU214" s="483"/>
      <c r="CV214" s="483"/>
      <c r="CW214" s="399"/>
      <c r="CX214" s="399"/>
      <c r="CY214" s="399"/>
      <c r="CZ214" s="399"/>
      <c r="DA214" s="399"/>
      <c r="DB214" s="399"/>
      <c r="DC214" s="399"/>
      <c r="DD214" s="399"/>
      <c r="DE214" s="399"/>
      <c r="DF214" s="399"/>
      <c r="DG214" s="399"/>
      <c r="DH214" s="399"/>
      <c r="DI214" s="399"/>
      <c r="DJ214" s="399"/>
      <c r="DK214" s="399"/>
      <c r="DL214" s="399"/>
      <c r="DM214" s="399"/>
      <c r="DN214" s="399"/>
      <c r="DO214" s="399"/>
      <c r="DP214" s="399"/>
      <c r="DQ214" s="399"/>
      <c r="DR214" s="399"/>
    </row>
    <row r="215" spans="2:122" s="480" customFormat="1" x14ac:dyDescent="0.2">
      <c r="B215" s="741"/>
      <c r="C215" s="1511"/>
      <c r="D215" s="1511"/>
      <c r="E215" s="1511"/>
      <c r="F215" s="1511"/>
      <c r="G215" s="1511"/>
      <c r="H215" s="1511"/>
      <c r="I215" s="1511"/>
      <c r="J215" s="1511"/>
      <c r="K215" s="1511"/>
      <c r="L215" s="1511"/>
      <c r="M215" s="1511"/>
      <c r="N215" s="1511"/>
      <c r="O215" s="1506"/>
      <c r="P215" s="1301"/>
      <c r="Q215" s="1301"/>
      <c r="R215" s="1301"/>
      <c r="S215" s="1302"/>
      <c r="T215" s="481"/>
      <c r="U215" s="481"/>
      <c r="V215" s="481"/>
      <c r="W215" s="481"/>
      <c r="X215" s="481"/>
      <c r="Y215" s="481"/>
      <c r="Z215" s="481"/>
      <c r="AA215" s="481"/>
      <c r="AB215" s="481"/>
      <c r="CQ215" s="399"/>
      <c r="CR215" s="399"/>
      <c r="CS215" s="399"/>
      <c r="CT215" s="399"/>
      <c r="CU215" s="483"/>
      <c r="CV215" s="483"/>
      <c r="CW215" s="399"/>
      <c r="CX215" s="399"/>
      <c r="CY215" s="399"/>
      <c r="CZ215" s="399"/>
      <c r="DA215" s="399"/>
      <c r="DB215" s="399"/>
      <c r="DC215" s="399"/>
      <c r="DD215" s="399"/>
      <c r="DE215" s="399"/>
      <c r="DF215" s="399"/>
      <c r="DG215" s="399"/>
      <c r="DH215" s="399"/>
      <c r="DI215" s="399"/>
      <c r="DJ215" s="399"/>
      <c r="DK215" s="399"/>
      <c r="DL215" s="399"/>
      <c r="DM215" s="399"/>
      <c r="DN215" s="399"/>
      <c r="DO215" s="399"/>
      <c r="DP215" s="399"/>
      <c r="DQ215" s="399"/>
      <c r="DR215" s="399"/>
    </row>
    <row r="216" spans="2:122" s="480" customFormat="1" x14ac:dyDescent="0.2">
      <c r="B216" s="741"/>
      <c r="C216" s="1511"/>
      <c r="D216" s="1511"/>
      <c r="E216" s="1511"/>
      <c r="F216" s="1511"/>
      <c r="G216" s="1511"/>
      <c r="H216" s="1511"/>
      <c r="I216" s="1511"/>
      <c r="J216" s="1511"/>
      <c r="K216" s="1511"/>
      <c r="L216" s="1511"/>
      <c r="M216" s="1511"/>
      <c r="N216" s="1511"/>
      <c r="O216" s="1506"/>
      <c r="P216" s="1301"/>
      <c r="Q216" s="1301"/>
      <c r="R216" s="1301"/>
      <c r="S216" s="1302"/>
      <c r="T216" s="481"/>
      <c r="U216" s="481"/>
      <c r="V216" s="481"/>
      <c r="W216" s="481"/>
      <c r="X216" s="481"/>
      <c r="Y216" s="481"/>
      <c r="Z216" s="481"/>
      <c r="AA216" s="481"/>
      <c r="AB216" s="481"/>
      <c r="CQ216" s="399"/>
      <c r="CR216" s="399"/>
      <c r="CS216" s="399"/>
      <c r="CT216" s="399"/>
      <c r="CU216" s="483"/>
      <c r="CV216" s="483"/>
      <c r="CW216" s="399"/>
      <c r="CX216" s="399"/>
      <c r="CY216" s="399"/>
      <c r="CZ216" s="399"/>
      <c r="DA216" s="399"/>
      <c r="DB216" s="399"/>
      <c r="DC216" s="399"/>
      <c r="DD216" s="399"/>
      <c r="DE216" s="399"/>
      <c r="DF216" s="399"/>
      <c r="DG216" s="399"/>
      <c r="DH216" s="399"/>
      <c r="DI216" s="399"/>
      <c r="DJ216" s="399"/>
      <c r="DK216" s="399"/>
      <c r="DL216" s="399"/>
      <c r="DM216" s="399"/>
      <c r="DN216" s="399"/>
      <c r="DO216" s="399"/>
      <c r="DP216" s="399"/>
      <c r="DQ216" s="399"/>
      <c r="DR216" s="399"/>
    </row>
    <row r="217" spans="2:122" s="480" customFormat="1" x14ac:dyDescent="0.2">
      <c r="B217" s="741"/>
      <c r="C217" s="1511"/>
      <c r="D217" s="1511"/>
      <c r="E217" s="1511"/>
      <c r="F217" s="1511"/>
      <c r="G217" s="1511"/>
      <c r="H217" s="1511"/>
      <c r="I217" s="1511"/>
      <c r="J217" s="1511"/>
      <c r="K217" s="1511"/>
      <c r="L217" s="1511"/>
      <c r="M217" s="1511"/>
      <c r="N217" s="1511"/>
      <c r="O217" s="1506"/>
      <c r="P217" s="1301"/>
      <c r="Q217" s="1301"/>
      <c r="R217" s="1301"/>
      <c r="S217" s="1302"/>
      <c r="T217" s="481"/>
      <c r="U217" s="481"/>
      <c r="V217" s="481"/>
      <c r="W217" s="481"/>
      <c r="X217" s="481"/>
      <c r="Y217" s="481"/>
      <c r="Z217" s="481"/>
      <c r="AA217" s="481"/>
      <c r="AB217" s="481"/>
      <c r="CQ217" s="399"/>
      <c r="CR217" s="399"/>
      <c r="CS217" s="399"/>
      <c r="CT217" s="399"/>
      <c r="CU217" s="483"/>
      <c r="CV217" s="483"/>
      <c r="CW217" s="399"/>
      <c r="CX217" s="399"/>
      <c r="CY217" s="399"/>
      <c r="CZ217" s="399"/>
      <c r="DA217" s="399"/>
      <c r="DB217" s="399"/>
      <c r="DC217" s="399"/>
      <c r="DD217" s="399"/>
      <c r="DE217" s="399"/>
      <c r="DF217" s="399"/>
      <c r="DG217" s="399"/>
      <c r="DH217" s="399"/>
      <c r="DI217" s="399"/>
      <c r="DJ217" s="399"/>
      <c r="DK217" s="399"/>
      <c r="DL217" s="399"/>
      <c r="DM217" s="399"/>
      <c r="DN217" s="399"/>
      <c r="DO217" s="399"/>
      <c r="DP217" s="399"/>
      <c r="DQ217" s="399"/>
      <c r="DR217" s="399"/>
    </row>
    <row r="218" spans="2:122" s="480" customFormat="1" x14ac:dyDescent="0.2">
      <c r="B218" s="741"/>
      <c r="C218" s="1511"/>
      <c r="D218" s="1511"/>
      <c r="E218" s="1511"/>
      <c r="F218" s="1511"/>
      <c r="G218" s="1511"/>
      <c r="H218" s="1511"/>
      <c r="I218" s="1511"/>
      <c r="J218" s="1511"/>
      <c r="K218" s="1511"/>
      <c r="L218" s="1511"/>
      <c r="M218" s="1511"/>
      <c r="N218" s="1511"/>
      <c r="O218" s="1506"/>
      <c r="P218" s="1301"/>
      <c r="Q218" s="1301"/>
      <c r="R218" s="1301"/>
      <c r="S218" s="1302"/>
      <c r="T218" s="481"/>
      <c r="U218" s="481"/>
      <c r="V218" s="481"/>
      <c r="W218" s="481"/>
      <c r="X218" s="481"/>
      <c r="Y218" s="481"/>
      <c r="Z218" s="481"/>
      <c r="AA218" s="481"/>
      <c r="AB218" s="481"/>
      <c r="CQ218" s="399"/>
      <c r="CR218" s="399"/>
      <c r="CS218" s="399"/>
      <c r="CT218" s="399"/>
      <c r="CU218" s="483"/>
      <c r="CV218" s="483"/>
      <c r="CW218" s="399"/>
      <c r="CX218" s="399"/>
      <c r="CY218" s="399"/>
      <c r="CZ218" s="399"/>
      <c r="DA218" s="399"/>
      <c r="DB218" s="399"/>
      <c r="DC218" s="399"/>
      <c r="DD218" s="399"/>
      <c r="DE218" s="399"/>
      <c r="DF218" s="399"/>
      <c r="DG218" s="399"/>
      <c r="DH218" s="399"/>
      <c r="DI218" s="399"/>
      <c r="DJ218" s="399"/>
      <c r="DK218" s="399"/>
      <c r="DL218" s="399"/>
      <c r="DM218" s="399"/>
      <c r="DN218" s="399"/>
      <c r="DO218" s="399"/>
      <c r="DP218" s="399"/>
      <c r="DQ218" s="399"/>
      <c r="DR218" s="399"/>
    </row>
    <row r="219" spans="2:122" s="480" customFormat="1" x14ac:dyDescent="0.2">
      <c r="B219" s="741"/>
      <c r="C219" s="1511"/>
      <c r="D219" s="1511"/>
      <c r="E219" s="1511"/>
      <c r="F219" s="1511"/>
      <c r="G219" s="1511"/>
      <c r="H219" s="1511"/>
      <c r="I219" s="1511"/>
      <c r="J219" s="1511"/>
      <c r="K219" s="1511"/>
      <c r="L219" s="1511"/>
      <c r="M219" s="1511"/>
      <c r="N219" s="1511"/>
      <c r="O219" s="1506"/>
      <c r="P219" s="1301"/>
      <c r="Q219" s="1301"/>
      <c r="R219" s="1301"/>
      <c r="S219" s="1302"/>
      <c r="T219" s="481"/>
      <c r="U219" s="481"/>
      <c r="V219" s="481"/>
      <c r="W219" s="481"/>
      <c r="X219" s="481"/>
      <c r="Y219" s="481"/>
      <c r="Z219" s="481"/>
      <c r="AA219" s="481"/>
      <c r="AB219" s="481"/>
      <c r="CQ219" s="399"/>
      <c r="CR219" s="399"/>
      <c r="CS219" s="399"/>
      <c r="CT219" s="399"/>
      <c r="CU219" s="483"/>
      <c r="CV219" s="483"/>
      <c r="CW219" s="399"/>
      <c r="CX219" s="399"/>
      <c r="CY219" s="399"/>
      <c r="CZ219" s="399"/>
      <c r="DA219" s="399"/>
      <c r="DB219" s="399"/>
      <c r="DC219" s="399"/>
      <c r="DD219" s="399"/>
      <c r="DE219" s="399"/>
      <c r="DF219" s="399"/>
      <c r="DG219" s="399"/>
      <c r="DH219" s="399"/>
      <c r="DI219" s="399"/>
      <c r="DJ219" s="399"/>
      <c r="DK219" s="399"/>
      <c r="DL219" s="399"/>
      <c r="DM219" s="399"/>
      <c r="DN219" s="399"/>
      <c r="DO219" s="399"/>
      <c r="DP219" s="399"/>
      <c r="DQ219" s="399"/>
      <c r="DR219" s="399"/>
    </row>
    <row r="220" spans="2:122" s="480" customFormat="1" x14ac:dyDescent="0.2">
      <c r="B220" s="741"/>
      <c r="C220" s="1511"/>
      <c r="D220" s="1511"/>
      <c r="E220" s="1511"/>
      <c r="F220" s="1511"/>
      <c r="G220" s="1511"/>
      <c r="H220" s="1511"/>
      <c r="I220" s="1511"/>
      <c r="J220" s="1511"/>
      <c r="K220" s="1511"/>
      <c r="L220" s="1511"/>
      <c r="M220" s="1511"/>
      <c r="N220" s="1511"/>
      <c r="O220" s="1506"/>
      <c r="P220" s="1301"/>
      <c r="Q220" s="1301"/>
      <c r="R220" s="1301"/>
      <c r="S220" s="1302"/>
      <c r="T220" s="481"/>
      <c r="U220" s="481"/>
      <c r="V220" s="481"/>
      <c r="W220" s="481"/>
      <c r="X220" s="481"/>
      <c r="Y220" s="481"/>
      <c r="Z220" s="481"/>
      <c r="AA220" s="481"/>
      <c r="AB220" s="481"/>
      <c r="CQ220" s="399"/>
      <c r="CR220" s="399"/>
      <c r="CS220" s="399"/>
      <c r="CT220" s="399"/>
      <c r="CU220" s="483"/>
      <c r="CV220" s="483"/>
      <c r="CW220" s="399"/>
      <c r="CX220" s="399"/>
      <c r="CY220" s="399"/>
      <c r="CZ220" s="399"/>
      <c r="DA220" s="399"/>
      <c r="DB220" s="399"/>
      <c r="DC220" s="399"/>
      <c r="DD220" s="399"/>
      <c r="DE220" s="399"/>
      <c r="DF220" s="399"/>
      <c r="DG220" s="399"/>
      <c r="DH220" s="399"/>
      <c r="DI220" s="399"/>
      <c r="DJ220" s="399"/>
      <c r="DK220" s="399"/>
      <c r="DL220" s="399"/>
      <c r="DM220" s="399"/>
      <c r="DN220" s="399"/>
      <c r="DO220" s="399"/>
      <c r="DP220" s="399"/>
      <c r="DQ220" s="399"/>
      <c r="DR220" s="399"/>
    </row>
    <row r="221" spans="2:122" s="480" customFormat="1" x14ac:dyDescent="0.2">
      <c r="B221" s="741"/>
      <c r="C221" s="1511"/>
      <c r="D221" s="1511"/>
      <c r="E221" s="1511"/>
      <c r="F221" s="1511"/>
      <c r="G221" s="1511"/>
      <c r="H221" s="1511"/>
      <c r="I221" s="1511"/>
      <c r="J221" s="1511"/>
      <c r="K221" s="1511"/>
      <c r="L221" s="1511"/>
      <c r="M221" s="1511"/>
      <c r="N221" s="1511"/>
      <c r="O221" s="1506"/>
      <c r="P221" s="1301"/>
      <c r="Q221" s="1301"/>
      <c r="R221" s="1301"/>
      <c r="S221" s="1302"/>
      <c r="T221" s="481"/>
      <c r="U221" s="481"/>
      <c r="V221" s="481"/>
      <c r="W221" s="481"/>
      <c r="X221" s="481"/>
      <c r="Y221" s="481"/>
      <c r="Z221" s="481"/>
      <c r="AA221" s="481"/>
      <c r="AB221" s="481"/>
      <c r="CQ221" s="399"/>
      <c r="CR221" s="399"/>
      <c r="CS221" s="399"/>
      <c r="CT221" s="399"/>
      <c r="CU221" s="483"/>
      <c r="CV221" s="483"/>
      <c r="CW221" s="399"/>
      <c r="CX221" s="399"/>
      <c r="CY221" s="399"/>
      <c r="CZ221" s="399"/>
      <c r="DA221" s="399"/>
      <c r="DB221" s="399"/>
      <c r="DC221" s="399"/>
      <c r="DD221" s="399"/>
      <c r="DE221" s="399"/>
      <c r="DF221" s="399"/>
      <c r="DG221" s="399"/>
      <c r="DH221" s="399"/>
      <c r="DI221" s="399"/>
      <c r="DJ221" s="399"/>
      <c r="DK221" s="399"/>
      <c r="DL221" s="399"/>
      <c r="DM221" s="399"/>
      <c r="DN221" s="399"/>
      <c r="DO221" s="399"/>
      <c r="DP221" s="399"/>
      <c r="DQ221" s="399"/>
      <c r="DR221" s="399"/>
    </row>
    <row r="222" spans="2:122" s="480" customFormat="1" x14ac:dyDescent="0.2">
      <c r="B222" s="741"/>
      <c r="C222" s="1511"/>
      <c r="D222" s="1511"/>
      <c r="E222" s="1511"/>
      <c r="F222" s="1511"/>
      <c r="G222" s="1511"/>
      <c r="H222" s="1511"/>
      <c r="I222" s="1511"/>
      <c r="J222" s="1511"/>
      <c r="K222" s="1511"/>
      <c r="L222" s="1511"/>
      <c r="M222" s="1511"/>
      <c r="N222" s="1511"/>
      <c r="O222" s="1506"/>
      <c r="P222" s="1301"/>
      <c r="Q222" s="1301"/>
      <c r="R222" s="1301"/>
      <c r="S222" s="1302"/>
      <c r="T222" s="481"/>
      <c r="U222" s="481"/>
      <c r="V222" s="481"/>
      <c r="W222" s="481"/>
      <c r="X222" s="481"/>
      <c r="Y222" s="481"/>
      <c r="Z222" s="481"/>
      <c r="AA222" s="481"/>
      <c r="AB222" s="481"/>
      <c r="CQ222" s="399"/>
      <c r="CR222" s="399"/>
      <c r="CS222" s="399"/>
      <c r="CT222" s="399"/>
      <c r="CU222" s="483"/>
      <c r="CV222" s="483"/>
      <c r="CW222" s="399"/>
      <c r="CX222" s="399"/>
      <c r="CY222" s="399"/>
      <c r="CZ222" s="399"/>
      <c r="DA222" s="399"/>
      <c r="DB222" s="399"/>
      <c r="DC222" s="399"/>
      <c r="DD222" s="399"/>
      <c r="DE222" s="399"/>
      <c r="DF222" s="399"/>
      <c r="DG222" s="399"/>
      <c r="DH222" s="399"/>
      <c r="DI222" s="399"/>
      <c r="DJ222" s="399"/>
      <c r="DK222" s="399"/>
      <c r="DL222" s="399"/>
      <c r="DM222" s="399"/>
      <c r="DN222" s="399"/>
      <c r="DO222" s="399"/>
      <c r="DP222" s="399"/>
      <c r="DQ222" s="399"/>
      <c r="DR222" s="399"/>
    </row>
    <row r="223" spans="2:122" s="480" customFormat="1" x14ac:dyDescent="0.2">
      <c r="B223" s="741"/>
      <c r="C223" s="1511"/>
      <c r="D223" s="1511"/>
      <c r="E223" s="1511"/>
      <c r="F223" s="1511"/>
      <c r="G223" s="1511"/>
      <c r="H223" s="1511"/>
      <c r="I223" s="1511"/>
      <c r="J223" s="1511"/>
      <c r="K223" s="1511"/>
      <c r="L223" s="1511"/>
      <c r="M223" s="1511"/>
      <c r="N223" s="1511"/>
      <c r="O223" s="1506"/>
      <c r="P223" s="1301"/>
      <c r="Q223" s="1301"/>
      <c r="R223" s="1301"/>
      <c r="S223" s="1302"/>
      <c r="T223" s="481"/>
      <c r="U223" s="481"/>
      <c r="V223" s="481"/>
      <c r="W223" s="481"/>
      <c r="X223" s="481"/>
      <c r="Y223" s="481"/>
      <c r="Z223" s="481"/>
      <c r="AA223" s="481"/>
      <c r="AB223" s="481"/>
      <c r="CQ223" s="399"/>
      <c r="CR223" s="399"/>
      <c r="CS223" s="399"/>
      <c r="CT223" s="399"/>
      <c r="CU223" s="483"/>
      <c r="CV223" s="483"/>
      <c r="CW223" s="399"/>
      <c r="CX223" s="399"/>
      <c r="CY223" s="399"/>
      <c r="CZ223" s="399"/>
      <c r="DA223" s="399"/>
      <c r="DB223" s="399"/>
      <c r="DC223" s="399"/>
      <c r="DD223" s="399"/>
      <c r="DE223" s="399"/>
      <c r="DF223" s="399"/>
      <c r="DG223" s="399"/>
      <c r="DH223" s="399"/>
      <c r="DI223" s="399"/>
      <c r="DJ223" s="399"/>
      <c r="DK223" s="399"/>
      <c r="DL223" s="399"/>
      <c r="DM223" s="399"/>
      <c r="DN223" s="399"/>
      <c r="DO223" s="399"/>
      <c r="DP223" s="399"/>
      <c r="DQ223" s="399"/>
      <c r="DR223" s="399"/>
    </row>
    <row r="224" spans="2:122" s="480" customFormat="1" x14ac:dyDescent="0.2">
      <c r="B224" s="741"/>
      <c r="C224" s="1511"/>
      <c r="D224" s="1511"/>
      <c r="E224" s="1511"/>
      <c r="F224" s="1511"/>
      <c r="G224" s="1511"/>
      <c r="H224" s="1511"/>
      <c r="I224" s="1511"/>
      <c r="J224" s="1511"/>
      <c r="K224" s="1511"/>
      <c r="L224" s="1511"/>
      <c r="M224" s="1511"/>
      <c r="N224" s="1511"/>
      <c r="O224" s="1506"/>
      <c r="P224" s="1301"/>
      <c r="Q224" s="1301"/>
      <c r="R224" s="1301"/>
      <c r="S224" s="1302"/>
      <c r="T224" s="481"/>
      <c r="U224" s="481"/>
      <c r="V224" s="481"/>
      <c r="W224" s="481"/>
      <c r="X224" s="481"/>
      <c r="Y224" s="481"/>
      <c r="Z224" s="481"/>
      <c r="AA224" s="481"/>
      <c r="AB224" s="481"/>
      <c r="CQ224" s="399"/>
      <c r="CR224" s="399"/>
      <c r="CS224" s="399"/>
      <c r="CT224" s="399"/>
      <c r="CU224" s="483"/>
      <c r="CV224" s="483"/>
      <c r="CW224" s="399"/>
      <c r="CX224" s="399"/>
      <c r="CY224" s="399"/>
      <c r="CZ224" s="399"/>
      <c r="DA224" s="399"/>
      <c r="DB224" s="399"/>
      <c r="DC224" s="399"/>
      <c r="DD224" s="399"/>
      <c r="DE224" s="399"/>
      <c r="DF224" s="399"/>
      <c r="DG224" s="399"/>
      <c r="DH224" s="399"/>
      <c r="DI224" s="399"/>
      <c r="DJ224" s="399"/>
      <c r="DK224" s="399"/>
      <c r="DL224" s="399"/>
      <c r="DM224" s="399"/>
      <c r="DN224" s="399"/>
      <c r="DO224" s="399"/>
      <c r="DP224" s="399"/>
      <c r="DQ224" s="399"/>
      <c r="DR224" s="399"/>
    </row>
    <row r="225" spans="2:122" s="480" customFormat="1" x14ac:dyDescent="0.2">
      <c r="B225" s="741"/>
      <c r="C225" s="1511"/>
      <c r="D225" s="1511"/>
      <c r="E225" s="1511"/>
      <c r="F225" s="1511"/>
      <c r="G225" s="1511"/>
      <c r="H225" s="1511"/>
      <c r="I225" s="1511"/>
      <c r="J225" s="1511"/>
      <c r="K225" s="1511"/>
      <c r="L225" s="1511"/>
      <c r="M225" s="1511"/>
      <c r="N225" s="1511"/>
      <c r="O225" s="1506"/>
      <c r="P225" s="1301"/>
      <c r="Q225" s="1301"/>
      <c r="R225" s="1301"/>
      <c r="S225" s="1302"/>
      <c r="T225" s="481"/>
      <c r="U225" s="481"/>
      <c r="V225" s="481"/>
      <c r="W225" s="481"/>
      <c r="X225" s="481"/>
      <c r="Y225" s="481"/>
      <c r="Z225" s="481"/>
      <c r="AA225" s="481"/>
      <c r="AB225" s="481"/>
      <c r="CQ225" s="399"/>
      <c r="CR225" s="399"/>
      <c r="CS225" s="399"/>
      <c r="CT225" s="399"/>
      <c r="CU225" s="483"/>
      <c r="CV225" s="483"/>
      <c r="CW225" s="399"/>
      <c r="CX225" s="399"/>
      <c r="CY225" s="399"/>
      <c r="CZ225" s="399"/>
      <c r="DA225" s="399"/>
      <c r="DB225" s="399"/>
      <c r="DC225" s="399"/>
      <c r="DD225" s="399"/>
      <c r="DE225" s="399"/>
      <c r="DF225" s="399"/>
      <c r="DG225" s="399"/>
      <c r="DH225" s="399"/>
      <c r="DI225" s="399"/>
      <c r="DJ225" s="399"/>
      <c r="DK225" s="399"/>
      <c r="DL225" s="399"/>
      <c r="DM225" s="399"/>
      <c r="DN225" s="399"/>
      <c r="DO225" s="399"/>
      <c r="DP225" s="399"/>
      <c r="DQ225" s="399"/>
      <c r="DR225" s="399"/>
    </row>
    <row r="226" spans="2:122" s="480" customFormat="1" x14ac:dyDescent="0.2">
      <c r="B226" s="741"/>
      <c r="C226" s="1511"/>
      <c r="D226" s="1511"/>
      <c r="E226" s="1511"/>
      <c r="F226" s="1511"/>
      <c r="G226" s="1511"/>
      <c r="H226" s="1511"/>
      <c r="I226" s="1511"/>
      <c r="J226" s="1511"/>
      <c r="K226" s="1511"/>
      <c r="L226" s="1511"/>
      <c r="M226" s="1511"/>
      <c r="N226" s="1511"/>
      <c r="O226" s="1506"/>
      <c r="P226" s="1301"/>
      <c r="Q226" s="1301"/>
      <c r="R226" s="1301"/>
      <c r="S226" s="1302"/>
      <c r="T226" s="481"/>
      <c r="U226" s="481"/>
      <c r="V226" s="481"/>
      <c r="W226" s="481"/>
      <c r="X226" s="481"/>
      <c r="Y226" s="481"/>
      <c r="Z226" s="481"/>
      <c r="AA226" s="481"/>
      <c r="AB226" s="481"/>
      <c r="CQ226" s="399"/>
      <c r="CR226" s="399"/>
      <c r="CS226" s="399"/>
      <c r="CT226" s="399"/>
      <c r="CU226" s="483"/>
      <c r="CV226" s="483"/>
      <c r="CW226" s="399"/>
      <c r="CX226" s="399"/>
      <c r="CY226" s="399"/>
      <c r="CZ226" s="399"/>
      <c r="DA226" s="399"/>
      <c r="DB226" s="399"/>
      <c r="DC226" s="399"/>
      <c r="DD226" s="399"/>
      <c r="DE226" s="399"/>
      <c r="DF226" s="399"/>
      <c r="DG226" s="399"/>
      <c r="DH226" s="399"/>
      <c r="DI226" s="399"/>
      <c r="DJ226" s="399"/>
      <c r="DK226" s="399"/>
      <c r="DL226" s="399"/>
      <c r="DM226" s="399"/>
      <c r="DN226" s="399"/>
      <c r="DO226" s="399"/>
      <c r="DP226" s="399"/>
      <c r="DQ226" s="399"/>
      <c r="DR226" s="399"/>
    </row>
    <row r="227" spans="2:122" s="480" customFormat="1" x14ac:dyDescent="0.2">
      <c r="B227" s="741"/>
      <c r="C227" s="1511"/>
      <c r="D227" s="1511"/>
      <c r="E227" s="1511"/>
      <c r="F227" s="1511"/>
      <c r="G227" s="1511"/>
      <c r="H227" s="1511"/>
      <c r="I227" s="1511"/>
      <c r="J227" s="1511"/>
      <c r="K227" s="1511"/>
      <c r="L227" s="1511"/>
      <c r="M227" s="1511"/>
      <c r="N227" s="1511"/>
      <c r="O227" s="1506"/>
      <c r="P227" s="1301"/>
      <c r="Q227" s="1301"/>
      <c r="R227" s="1301"/>
      <c r="S227" s="1302"/>
      <c r="T227" s="481"/>
      <c r="U227" s="481"/>
      <c r="V227" s="481"/>
      <c r="W227" s="481"/>
      <c r="X227" s="481"/>
      <c r="Y227" s="481"/>
      <c r="Z227" s="481"/>
      <c r="AA227" s="481"/>
      <c r="AB227" s="481"/>
      <c r="CQ227" s="399"/>
      <c r="CR227" s="399"/>
      <c r="CS227" s="399"/>
      <c r="CT227" s="399"/>
      <c r="CU227" s="483"/>
      <c r="CV227" s="483"/>
      <c r="CW227" s="399"/>
      <c r="CX227" s="399"/>
      <c r="CY227" s="399"/>
      <c r="CZ227" s="399"/>
      <c r="DA227" s="399"/>
      <c r="DB227" s="399"/>
      <c r="DC227" s="399"/>
      <c r="DD227" s="399"/>
      <c r="DE227" s="399"/>
      <c r="DF227" s="399"/>
      <c r="DG227" s="399"/>
      <c r="DH227" s="399"/>
      <c r="DI227" s="399"/>
      <c r="DJ227" s="399"/>
      <c r="DK227" s="399"/>
      <c r="DL227" s="399"/>
      <c r="DM227" s="399"/>
      <c r="DN227" s="399"/>
      <c r="DO227" s="399"/>
      <c r="DP227" s="399"/>
      <c r="DQ227" s="399"/>
      <c r="DR227" s="399"/>
    </row>
    <row r="228" spans="2:122" s="480" customFormat="1" x14ac:dyDescent="0.2">
      <c r="B228" s="741"/>
      <c r="C228" s="1511"/>
      <c r="D228" s="1511"/>
      <c r="E228" s="1511"/>
      <c r="F228" s="1511"/>
      <c r="G228" s="1511"/>
      <c r="H228" s="1511"/>
      <c r="I228" s="1511"/>
      <c r="J228" s="1511"/>
      <c r="K228" s="1511"/>
      <c r="L228" s="1511"/>
      <c r="M228" s="1511"/>
      <c r="N228" s="1511"/>
      <c r="O228" s="1506"/>
      <c r="P228" s="1301"/>
      <c r="Q228" s="1301"/>
      <c r="R228" s="1301"/>
      <c r="S228" s="1302"/>
      <c r="T228" s="481"/>
      <c r="U228" s="481"/>
      <c r="V228" s="481"/>
      <c r="W228" s="481"/>
      <c r="X228" s="481"/>
      <c r="Y228" s="481"/>
      <c r="Z228" s="481"/>
      <c r="AA228" s="481"/>
      <c r="AB228" s="481"/>
      <c r="CQ228" s="399"/>
      <c r="CR228" s="399"/>
      <c r="CS228" s="399"/>
      <c r="CT228" s="399"/>
      <c r="CU228" s="483"/>
      <c r="CV228" s="483"/>
      <c r="CW228" s="399"/>
      <c r="CX228" s="399"/>
      <c r="CY228" s="399"/>
      <c r="CZ228" s="399"/>
      <c r="DA228" s="399"/>
      <c r="DB228" s="399"/>
      <c r="DC228" s="399"/>
      <c r="DD228" s="399"/>
      <c r="DE228" s="399"/>
      <c r="DF228" s="399"/>
      <c r="DG228" s="399"/>
      <c r="DH228" s="399"/>
      <c r="DI228" s="399"/>
      <c r="DJ228" s="399"/>
      <c r="DK228" s="399"/>
      <c r="DL228" s="399"/>
      <c r="DM228" s="399"/>
      <c r="DN228" s="399"/>
      <c r="DO228" s="399"/>
      <c r="DP228" s="399"/>
      <c r="DQ228" s="399"/>
      <c r="DR228" s="399"/>
    </row>
    <row r="229" spans="2:122" s="480" customFormat="1" x14ac:dyDescent="0.2">
      <c r="B229" s="741"/>
      <c r="C229" s="1511"/>
      <c r="D229" s="1511"/>
      <c r="E229" s="1511"/>
      <c r="F229" s="1511"/>
      <c r="G229" s="1511"/>
      <c r="H229" s="1511"/>
      <c r="I229" s="1511"/>
      <c r="J229" s="1511"/>
      <c r="K229" s="1511"/>
      <c r="L229" s="1511"/>
      <c r="M229" s="1511"/>
      <c r="N229" s="1511"/>
      <c r="O229" s="1506"/>
      <c r="P229" s="1301"/>
      <c r="Q229" s="1301"/>
      <c r="R229" s="1301"/>
      <c r="S229" s="1302"/>
      <c r="T229" s="481"/>
      <c r="U229" s="481"/>
      <c r="V229" s="481"/>
      <c r="W229" s="481"/>
      <c r="X229" s="481"/>
      <c r="Y229" s="481"/>
      <c r="Z229" s="481"/>
      <c r="AA229" s="481"/>
      <c r="AB229" s="481"/>
      <c r="CQ229" s="399"/>
      <c r="CR229" s="399"/>
      <c r="CS229" s="399"/>
      <c r="CT229" s="399"/>
      <c r="CU229" s="483"/>
      <c r="CV229" s="483"/>
      <c r="CW229" s="399"/>
      <c r="CX229" s="399"/>
      <c r="CY229" s="399"/>
      <c r="CZ229" s="399"/>
      <c r="DA229" s="399"/>
      <c r="DB229" s="399"/>
      <c r="DC229" s="399"/>
      <c r="DD229" s="399"/>
      <c r="DE229" s="399"/>
      <c r="DF229" s="399"/>
      <c r="DG229" s="399"/>
      <c r="DH229" s="399"/>
      <c r="DI229" s="399"/>
      <c r="DJ229" s="399"/>
      <c r="DK229" s="399"/>
      <c r="DL229" s="399"/>
      <c r="DM229" s="399"/>
      <c r="DN229" s="399"/>
      <c r="DO229" s="399"/>
      <c r="DP229" s="399"/>
      <c r="DQ229" s="399"/>
      <c r="DR229" s="399"/>
    </row>
    <row r="230" spans="2:122" s="480" customFormat="1" x14ac:dyDescent="0.2">
      <c r="B230" s="741"/>
      <c r="C230" s="1511"/>
      <c r="D230" s="1511"/>
      <c r="E230" s="1511"/>
      <c r="F230" s="1511"/>
      <c r="G230" s="1511"/>
      <c r="H230" s="1511"/>
      <c r="I230" s="1511"/>
      <c r="J230" s="1511"/>
      <c r="K230" s="1511"/>
      <c r="L230" s="1511"/>
      <c r="M230" s="1511"/>
      <c r="N230" s="1511"/>
      <c r="O230" s="1506"/>
      <c r="P230" s="1301"/>
      <c r="Q230" s="1301"/>
      <c r="R230" s="1301"/>
      <c r="S230" s="1302"/>
      <c r="T230" s="481"/>
      <c r="U230" s="481"/>
      <c r="V230" s="481"/>
      <c r="W230" s="481"/>
      <c r="X230" s="481"/>
      <c r="Y230" s="481"/>
      <c r="Z230" s="481"/>
      <c r="AA230" s="481"/>
      <c r="AB230" s="481"/>
      <c r="CQ230" s="399"/>
      <c r="CR230" s="399"/>
      <c r="CS230" s="399"/>
      <c r="CT230" s="399"/>
      <c r="CU230" s="483"/>
      <c r="CV230" s="483"/>
      <c r="CW230" s="399"/>
      <c r="CX230" s="399"/>
      <c r="CY230" s="399"/>
      <c r="CZ230" s="399"/>
      <c r="DA230" s="399"/>
      <c r="DB230" s="399"/>
      <c r="DC230" s="399"/>
      <c r="DD230" s="399"/>
      <c r="DE230" s="399"/>
      <c r="DF230" s="399"/>
      <c r="DG230" s="399"/>
      <c r="DH230" s="399"/>
      <c r="DI230" s="399"/>
      <c r="DJ230" s="399"/>
      <c r="DK230" s="399"/>
      <c r="DL230" s="399"/>
      <c r="DM230" s="399"/>
      <c r="DN230" s="399"/>
      <c r="DO230" s="399"/>
      <c r="DP230" s="399"/>
      <c r="DQ230" s="399"/>
      <c r="DR230" s="399"/>
    </row>
    <row r="231" spans="2:122" s="480" customFormat="1" x14ac:dyDescent="0.2">
      <c r="B231" s="741"/>
      <c r="C231" s="1511"/>
      <c r="D231" s="1511"/>
      <c r="E231" s="1511"/>
      <c r="F231" s="1511"/>
      <c r="G231" s="1511"/>
      <c r="H231" s="1511"/>
      <c r="I231" s="1511"/>
      <c r="J231" s="1511"/>
      <c r="K231" s="1511"/>
      <c r="L231" s="1511"/>
      <c r="M231" s="1511"/>
      <c r="N231" s="1511"/>
      <c r="O231" s="1506"/>
      <c r="P231" s="1301"/>
      <c r="Q231" s="1301"/>
      <c r="R231" s="1301"/>
      <c r="S231" s="1302"/>
      <c r="T231" s="481"/>
      <c r="U231" s="481"/>
      <c r="V231" s="481"/>
      <c r="W231" s="481"/>
      <c r="X231" s="481"/>
      <c r="Y231" s="481"/>
      <c r="Z231" s="481"/>
      <c r="AA231" s="481"/>
      <c r="AB231" s="481"/>
      <c r="CQ231" s="399"/>
      <c r="CR231" s="399"/>
      <c r="CS231" s="399"/>
      <c r="CT231" s="399"/>
      <c r="CU231" s="483"/>
      <c r="CV231" s="483"/>
      <c r="CW231" s="399"/>
      <c r="CX231" s="399"/>
      <c r="CY231" s="399"/>
      <c r="CZ231" s="399"/>
      <c r="DA231" s="399"/>
      <c r="DB231" s="399"/>
      <c r="DC231" s="399"/>
      <c r="DD231" s="399"/>
      <c r="DE231" s="399"/>
      <c r="DF231" s="399"/>
      <c r="DG231" s="399"/>
      <c r="DH231" s="399"/>
      <c r="DI231" s="399"/>
      <c r="DJ231" s="399"/>
      <c r="DK231" s="399"/>
      <c r="DL231" s="399"/>
      <c r="DM231" s="399"/>
      <c r="DN231" s="399"/>
      <c r="DO231" s="399"/>
      <c r="DP231" s="399"/>
      <c r="DQ231" s="399"/>
      <c r="DR231" s="399"/>
    </row>
    <row r="232" spans="2:122" s="480" customFormat="1" x14ac:dyDescent="0.2">
      <c r="B232" s="741"/>
      <c r="C232" s="1511"/>
      <c r="D232" s="1511"/>
      <c r="E232" s="1511"/>
      <c r="F232" s="1511"/>
      <c r="G232" s="1511"/>
      <c r="H232" s="1511"/>
      <c r="I232" s="1511"/>
      <c r="J232" s="1511"/>
      <c r="K232" s="1511"/>
      <c r="L232" s="1511"/>
      <c r="M232" s="1511"/>
      <c r="N232" s="1511"/>
      <c r="O232" s="1506"/>
      <c r="P232" s="1301"/>
      <c r="Q232" s="1301"/>
      <c r="R232" s="1301"/>
      <c r="S232" s="1302"/>
      <c r="T232" s="481"/>
      <c r="U232" s="481"/>
      <c r="V232" s="481"/>
      <c r="W232" s="481"/>
      <c r="X232" s="481"/>
      <c r="Y232" s="481"/>
      <c r="Z232" s="481"/>
      <c r="AA232" s="481"/>
      <c r="AB232" s="481"/>
      <c r="CQ232" s="399"/>
      <c r="CR232" s="399"/>
      <c r="CS232" s="399"/>
      <c r="CT232" s="399"/>
      <c r="CU232" s="483"/>
      <c r="CV232" s="483"/>
      <c r="CW232" s="399"/>
      <c r="CX232" s="399"/>
      <c r="CY232" s="399"/>
      <c r="CZ232" s="399"/>
      <c r="DA232" s="399"/>
      <c r="DB232" s="399"/>
      <c r="DC232" s="399"/>
      <c r="DD232" s="399"/>
      <c r="DE232" s="399"/>
      <c r="DF232" s="399"/>
      <c r="DG232" s="399"/>
      <c r="DH232" s="399"/>
      <c r="DI232" s="399"/>
      <c r="DJ232" s="399"/>
      <c r="DK232" s="399"/>
      <c r="DL232" s="399"/>
      <c r="DM232" s="399"/>
      <c r="DN232" s="399"/>
      <c r="DO232" s="399"/>
      <c r="DP232" s="399"/>
      <c r="DQ232" s="399"/>
      <c r="DR232" s="399"/>
    </row>
    <row r="233" spans="2:122" s="480" customFormat="1" x14ac:dyDescent="0.2">
      <c r="B233" s="741"/>
      <c r="C233" s="1511"/>
      <c r="D233" s="1511"/>
      <c r="E233" s="1511"/>
      <c r="F233" s="1511"/>
      <c r="G233" s="1511"/>
      <c r="H233" s="1511"/>
      <c r="I233" s="1511"/>
      <c r="J233" s="1511"/>
      <c r="K233" s="1511"/>
      <c r="L233" s="1511"/>
      <c r="M233" s="1511"/>
      <c r="N233" s="1511"/>
      <c r="O233" s="1506"/>
      <c r="P233" s="1301"/>
      <c r="Q233" s="1301"/>
      <c r="R233" s="1301"/>
      <c r="S233" s="1302"/>
      <c r="T233" s="481"/>
      <c r="U233" s="481"/>
      <c r="V233" s="481"/>
      <c r="W233" s="481"/>
      <c r="X233" s="481"/>
      <c r="Y233" s="481"/>
      <c r="Z233" s="481"/>
      <c r="AA233" s="481"/>
      <c r="AB233" s="481"/>
      <c r="CQ233" s="399"/>
      <c r="CR233" s="399"/>
      <c r="CS233" s="399"/>
      <c r="CT233" s="399"/>
      <c r="CU233" s="483"/>
      <c r="CV233" s="483"/>
      <c r="CW233" s="399"/>
      <c r="CX233" s="399"/>
      <c r="CY233" s="399"/>
      <c r="CZ233" s="399"/>
      <c r="DA233" s="399"/>
      <c r="DB233" s="399"/>
      <c r="DC233" s="399"/>
      <c r="DD233" s="399"/>
      <c r="DE233" s="399"/>
      <c r="DF233" s="399"/>
      <c r="DG233" s="399"/>
      <c r="DH233" s="399"/>
      <c r="DI233" s="399"/>
      <c r="DJ233" s="399"/>
      <c r="DK233" s="399"/>
      <c r="DL233" s="399"/>
      <c r="DM233" s="399"/>
      <c r="DN233" s="399"/>
      <c r="DO233" s="399"/>
      <c r="DP233" s="399"/>
      <c r="DQ233" s="399"/>
      <c r="DR233" s="399"/>
    </row>
    <row r="234" spans="2:122" s="480" customFormat="1" x14ac:dyDescent="0.2">
      <c r="B234" s="741"/>
      <c r="C234" s="1511"/>
      <c r="D234" s="1511"/>
      <c r="E234" s="1511"/>
      <c r="F234" s="1511"/>
      <c r="G234" s="1511"/>
      <c r="H234" s="1511"/>
      <c r="I234" s="1511"/>
      <c r="J234" s="1511"/>
      <c r="K234" s="1511"/>
      <c r="L234" s="1511"/>
      <c r="M234" s="1511"/>
      <c r="N234" s="1511"/>
      <c r="O234" s="1506"/>
      <c r="P234" s="1301"/>
      <c r="Q234" s="1301"/>
      <c r="R234" s="1301"/>
      <c r="S234" s="1302"/>
      <c r="T234" s="481"/>
      <c r="U234" s="481"/>
      <c r="V234" s="481"/>
      <c r="W234" s="481"/>
      <c r="X234" s="481"/>
      <c r="Y234" s="481"/>
      <c r="Z234" s="481"/>
      <c r="AA234" s="481"/>
      <c r="AB234" s="481"/>
      <c r="CQ234" s="399"/>
      <c r="CR234" s="399"/>
      <c r="CS234" s="399"/>
      <c r="CT234" s="399"/>
      <c r="CU234" s="483"/>
      <c r="CV234" s="483"/>
      <c r="CW234" s="399"/>
      <c r="CX234" s="399"/>
      <c r="CY234" s="399"/>
      <c r="CZ234" s="399"/>
      <c r="DA234" s="399"/>
      <c r="DB234" s="399"/>
      <c r="DC234" s="399"/>
      <c r="DD234" s="399"/>
      <c r="DE234" s="399"/>
      <c r="DF234" s="399"/>
      <c r="DG234" s="399"/>
      <c r="DH234" s="399"/>
      <c r="DI234" s="399"/>
      <c r="DJ234" s="399"/>
      <c r="DK234" s="399"/>
      <c r="DL234" s="399"/>
      <c r="DM234" s="399"/>
      <c r="DN234" s="399"/>
      <c r="DO234" s="399"/>
      <c r="DP234" s="399"/>
      <c r="DQ234" s="399"/>
      <c r="DR234" s="399"/>
    </row>
    <row r="235" spans="2:122" s="480" customFormat="1" x14ac:dyDescent="0.2">
      <c r="B235" s="741"/>
      <c r="C235" s="1511"/>
      <c r="D235" s="1511"/>
      <c r="E235" s="1511"/>
      <c r="F235" s="1511"/>
      <c r="G235" s="1511"/>
      <c r="H235" s="1511"/>
      <c r="I235" s="1511"/>
      <c r="J235" s="1511"/>
      <c r="K235" s="1511"/>
      <c r="L235" s="1511"/>
      <c r="M235" s="1511"/>
      <c r="N235" s="1511"/>
      <c r="O235" s="1506"/>
      <c r="P235" s="1301"/>
      <c r="Q235" s="1301"/>
      <c r="R235" s="1301"/>
      <c r="S235" s="1302"/>
      <c r="T235" s="481"/>
      <c r="U235" s="481"/>
      <c r="V235" s="481"/>
      <c r="W235" s="481"/>
      <c r="X235" s="481"/>
      <c r="Y235" s="481"/>
      <c r="Z235" s="481"/>
      <c r="AA235" s="481"/>
      <c r="AB235" s="481"/>
      <c r="CQ235" s="399"/>
      <c r="CR235" s="399"/>
      <c r="CS235" s="399"/>
      <c r="CT235" s="399"/>
      <c r="CU235" s="483"/>
      <c r="CV235" s="483"/>
      <c r="CW235" s="399"/>
      <c r="CX235" s="399"/>
      <c r="CY235" s="399"/>
      <c r="CZ235" s="399"/>
      <c r="DA235" s="399"/>
      <c r="DB235" s="399"/>
      <c r="DC235" s="399"/>
      <c r="DD235" s="399"/>
      <c r="DE235" s="399"/>
      <c r="DF235" s="399"/>
      <c r="DG235" s="399"/>
      <c r="DH235" s="399"/>
      <c r="DI235" s="399"/>
      <c r="DJ235" s="399"/>
      <c r="DK235" s="399"/>
      <c r="DL235" s="399"/>
      <c r="DM235" s="399"/>
      <c r="DN235" s="399"/>
      <c r="DO235" s="399"/>
      <c r="DP235" s="399"/>
      <c r="DQ235" s="399"/>
      <c r="DR235" s="399"/>
    </row>
    <row r="236" spans="2:122" s="480" customFormat="1" x14ac:dyDescent="0.2">
      <c r="B236" s="741"/>
      <c r="C236" s="1511"/>
      <c r="D236" s="1511"/>
      <c r="E236" s="1511"/>
      <c r="F236" s="1511"/>
      <c r="G236" s="1511"/>
      <c r="H236" s="1511"/>
      <c r="I236" s="1511"/>
      <c r="J236" s="1511"/>
      <c r="K236" s="1511"/>
      <c r="L236" s="1511"/>
      <c r="M236" s="1511"/>
      <c r="N236" s="1511"/>
      <c r="O236" s="1506"/>
      <c r="P236" s="1301"/>
      <c r="Q236" s="1301"/>
      <c r="R236" s="1301"/>
      <c r="S236" s="1302"/>
      <c r="T236" s="481"/>
      <c r="U236" s="481"/>
      <c r="V236" s="481"/>
      <c r="W236" s="481"/>
      <c r="X236" s="481"/>
      <c r="Y236" s="481"/>
      <c r="Z236" s="481"/>
      <c r="AA236" s="481"/>
      <c r="AB236" s="481"/>
      <c r="CQ236" s="399"/>
      <c r="CR236" s="399"/>
      <c r="CS236" s="399"/>
      <c r="CT236" s="399"/>
      <c r="CU236" s="483"/>
      <c r="CV236" s="483"/>
      <c r="CW236" s="399"/>
      <c r="CX236" s="399"/>
      <c r="CY236" s="399"/>
      <c r="CZ236" s="399"/>
      <c r="DA236" s="399"/>
      <c r="DB236" s="399"/>
      <c r="DC236" s="399"/>
      <c r="DD236" s="399"/>
      <c r="DE236" s="399"/>
      <c r="DF236" s="399"/>
      <c r="DG236" s="399"/>
      <c r="DH236" s="399"/>
      <c r="DI236" s="399"/>
      <c r="DJ236" s="399"/>
      <c r="DK236" s="399"/>
      <c r="DL236" s="399"/>
      <c r="DM236" s="399"/>
      <c r="DN236" s="399"/>
      <c r="DO236" s="399"/>
      <c r="DP236" s="399"/>
      <c r="DQ236" s="399"/>
      <c r="DR236" s="399"/>
    </row>
    <row r="237" spans="2:122" s="480" customFormat="1" x14ac:dyDescent="0.2">
      <c r="B237" s="741"/>
      <c r="C237" s="1511"/>
      <c r="D237" s="1511"/>
      <c r="E237" s="1511"/>
      <c r="F237" s="1511"/>
      <c r="G237" s="1511"/>
      <c r="H237" s="1511"/>
      <c r="I237" s="1511"/>
      <c r="J237" s="1511"/>
      <c r="K237" s="1511"/>
      <c r="L237" s="1511"/>
      <c r="M237" s="1511"/>
      <c r="N237" s="1511"/>
      <c r="O237" s="1506"/>
      <c r="P237" s="1301"/>
      <c r="Q237" s="1301"/>
      <c r="R237" s="1301"/>
      <c r="S237" s="1302"/>
      <c r="T237" s="481"/>
      <c r="U237" s="481"/>
      <c r="V237" s="481"/>
      <c r="W237" s="481"/>
      <c r="X237" s="481"/>
      <c r="Y237" s="481"/>
      <c r="Z237" s="481"/>
      <c r="AA237" s="481"/>
      <c r="AB237" s="481"/>
      <c r="CQ237" s="399"/>
      <c r="CR237" s="399"/>
      <c r="CS237" s="399"/>
      <c r="CT237" s="399"/>
      <c r="CU237" s="483"/>
      <c r="CV237" s="483"/>
      <c r="CW237" s="399"/>
      <c r="CX237" s="399"/>
      <c r="CY237" s="399"/>
      <c r="CZ237" s="399"/>
      <c r="DA237" s="399"/>
      <c r="DB237" s="399"/>
      <c r="DC237" s="399"/>
      <c r="DD237" s="399"/>
      <c r="DE237" s="399"/>
      <c r="DF237" s="399"/>
      <c r="DG237" s="399"/>
      <c r="DH237" s="399"/>
      <c r="DI237" s="399"/>
      <c r="DJ237" s="399"/>
      <c r="DK237" s="399"/>
      <c r="DL237" s="399"/>
      <c r="DM237" s="399"/>
      <c r="DN237" s="399"/>
      <c r="DO237" s="399"/>
      <c r="DP237" s="399"/>
      <c r="DQ237" s="399"/>
      <c r="DR237" s="399"/>
    </row>
    <row r="238" spans="2:122" s="480" customFormat="1" x14ac:dyDescent="0.2">
      <c r="B238" s="741"/>
      <c r="C238" s="1511"/>
      <c r="D238" s="1511"/>
      <c r="E238" s="1511"/>
      <c r="F238" s="1511"/>
      <c r="G238" s="1511"/>
      <c r="H238" s="1511"/>
      <c r="I238" s="1511"/>
      <c r="J238" s="1511"/>
      <c r="K238" s="1511"/>
      <c r="L238" s="1511"/>
      <c r="M238" s="1511"/>
      <c r="N238" s="1511"/>
      <c r="O238" s="1506"/>
      <c r="P238" s="1301"/>
      <c r="Q238" s="1301"/>
      <c r="R238" s="1301"/>
      <c r="S238" s="1302"/>
      <c r="T238" s="481"/>
      <c r="U238" s="481"/>
      <c r="V238" s="481"/>
      <c r="W238" s="481"/>
      <c r="X238" s="481"/>
      <c r="Y238" s="481"/>
      <c r="Z238" s="481"/>
      <c r="AA238" s="481"/>
      <c r="AB238" s="481"/>
      <c r="CQ238" s="399"/>
      <c r="CR238" s="399"/>
      <c r="CS238" s="399"/>
      <c r="CT238" s="399"/>
      <c r="CU238" s="483"/>
      <c r="CV238" s="483"/>
      <c r="CW238" s="399"/>
      <c r="CX238" s="399"/>
      <c r="CY238" s="399"/>
      <c r="CZ238" s="399"/>
      <c r="DA238" s="399"/>
      <c r="DB238" s="399"/>
      <c r="DC238" s="399"/>
      <c r="DD238" s="399"/>
      <c r="DE238" s="399"/>
      <c r="DF238" s="399"/>
      <c r="DG238" s="399"/>
      <c r="DH238" s="399"/>
      <c r="DI238" s="399"/>
      <c r="DJ238" s="399"/>
      <c r="DK238" s="399"/>
      <c r="DL238" s="399"/>
      <c r="DM238" s="399"/>
      <c r="DN238" s="399"/>
      <c r="DO238" s="399"/>
      <c r="DP238" s="399"/>
      <c r="DQ238" s="399"/>
      <c r="DR238" s="399"/>
    </row>
    <row r="239" spans="2:122" s="480" customFormat="1" x14ac:dyDescent="0.2">
      <c r="B239" s="741"/>
      <c r="C239" s="1511"/>
      <c r="D239" s="1511"/>
      <c r="E239" s="1511"/>
      <c r="F239" s="1511"/>
      <c r="G239" s="1511"/>
      <c r="H239" s="1511"/>
      <c r="I239" s="1511"/>
      <c r="J239" s="1511"/>
      <c r="K239" s="1511"/>
      <c r="L239" s="1511"/>
      <c r="M239" s="1511"/>
      <c r="N239" s="1511"/>
      <c r="O239" s="1506"/>
      <c r="P239" s="1301"/>
      <c r="Q239" s="1301"/>
      <c r="R239" s="1301"/>
      <c r="S239" s="1302"/>
      <c r="T239" s="481"/>
      <c r="U239" s="481"/>
      <c r="V239" s="481"/>
      <c r="W239" s="481"/>
      <c r="X239" s="481"/>
      <c r="Y239" s="481"/>
      <c r="Z239" s="481"/>
      <c r="AA239" s="481"/>
      <c r="AB239" s="481"/>
      <c r="CQ239" s="399"/>
      <c r="CR239" s="399"/>
      <c r="CS239" s="399"/>
      <c r="CT239" s="399"/>
      <c r="CU239" s="483"/>
      <c r="CV239" s="483"/>
      <c r="CW239" s="399"/>
      <c r="CX239" s="399"/>
      <c r="CY239" s="399"/>
      <c r="CZ239" s="399"/>
      <c r="DA239" s="399"/>
      <c r="DB239" s="399"/>
      <c r="DC239" s="399"/>
      <c r="DD239" s="399"/>
      <c r="DE239" s="399"/>
      <c r="DF239" s="399"/>
      <c r="DG239" s="399"/>
      <c r="DH239" s="399"/>
      <c r="DI239" s="399"/>
      <c r="DJ239" s="399"/>
      <c r="DK239" s="399"/>
      <c r="DL239" s="399"/>
      <c r="DM239" s="399"/>
      <c r="DN239" s="399"/>
      <c r="DO239" s="399"/>
      <c r="DP239" s="399"/>
      <c r="DQ239" s="399"/>
      <c r="DR239" s="399"/>
    </row>
    <row r="240" spans="2:122" s="480" customFormat="1" x14ac:dyDescent="0.2">
      <c r="B240" s="741"/>
      <c r="C240" s="1511"/>
      <c r="D240" s="1511"/>
      <c r="E240" s="1511"/>
      <c r="F240" s="1511"/>
      <c r="G240" s="1511"/>
      <c r="H240" s="1511"/>
      <c r="I240" s="1511"/>
      <c r="J240" s="1511"/>
      <c r="K240" s="1511"/>
      <c r="L240" s="1511"/>
      <c r="M240" s="1511"/>
      <c r="N240" s="1511"/>
      <c r="O240" s="1506"/>
      <c r="P240" s="1301"/>
      <c r="Q240" s="1301"/>
      <c r="R240" s="1301"/>
      <c r="S240" s="1302"/>
      <c r="T240" s="481"/>
      <c r="U240" s="481"/>
      <c r="V240" s="481"/>
      <c r="W240" s="481"/>
      <c r="X240" s="481"/>
      <c r="Y240" s="481"/>
      <c r="Z240" s="481"/>
      <c r="AA240" s="481"/>
      <c r="AB240" s="481"/>
      <c r="CQ240" s="399"/>
      <c r="CR240" s="399"/>
      <c r="CS240" s="399"/>
      <c r="CT240" s="399"/>
      <c r="CU240" s="483"/>
      <c r="CV240" s="483"/>
      <c r="CW240" s="399"/>
      <c r="CX240" s="399"/>
      <c r="CY240" s="399"/>
      <c r="CZ240" s="399"/>
      <c r="DA240" s="399"/>
      <c r="DB240" s="399"/>
      <c r="DC240" s="399"/>
      <c r="DD240" s="399"/>
      <c r="DE240" s="399"/>
      <c r="DF240" s="399"/>
      <c r="DG240" s="399"/>
      <c r="DH240" s="399"/>
      <c r="DI240" s="399"/>
      <c r="DJ240" s="399"/>
      <c r="DK240" s="399"/>
      <c r="DL240" s="399"/>
      <c r="DM240" s="399"/>
      <c r="DN240" s="399"/>
      <c r="DO240" s="399"/>
      <c r="DP240" s="399"/>
      <c r="DQ240" s="399"/>
      <c r="DR240" s="399"/>
    </row>
    <row r="241" spans="2:122" s="480" customFormat="1" x14ac:dyDescent="0.2">
      <c r="B241" s="741"/>
      <c r="C241" s="1511"/>
      <c r="D241" s="1511"/>
      <c r="E241" s="1511"/>
      <c r="F241" s="1511"/>
      <c r="G241" s="1511"/>
      <c r="H241" s="1511"/>
      <c r="I241" s="1511"/>
      <c r="J241" s="1511"/>
      <c r="K241" s="1511"/>
      <c r="L241" s="1511"/>
      <c r="M241" s="1511"/>
      <c r="N241" s="1511"/>
      <c r="O241" s="1506"/>
      <c r="P241" s="1301"/>
      <c r="Q241" s="1301"/>
      <c r="R241" s="1301"/>
      <c r="S241" s="1302"/>
      <c r="T241" s="481"/>
      <c r="U241" s="481"/>
      <c r="V241" s="481"/>
      <c r="W241" s="481"/>
      <c r="X241" s="481"/>
      <c r="Y241" s="481"/>
      <c r="Z241" s="481"/>
      <c r="AA241" s="481"/>
      <c r="AB241" s="481"/>
      <c r="CQ241" s="399"/>
      <c r="CR241" s="399"/>
      <c r="CS241" s="399"/>
      <c r="CT241" s="399"/>
      <c r="CU241" s="483"/>
      <c r="CV241" s="483"/>
      <c r="CW241" s="399"/>
      <c r="CX241" s="399"/>
      <c r="CY241" s="399"/>
      <c r="CZ241" s="399"/>
      <c r="DA241" s="399"/>
      <c r="DB241" s="399"/>
      <c r="DC241" s="399"/>
      <c r="DD241" s="399"/>
      <c r="DE241" s="399"/>
      <c r="DF241" s="399"/>
      <c r="DG241" s="399"/>
      <c r="DH241" s="399"/>
      <c r="DI241" s="399"/>
      <c r="DJ241" s="399"/>
      <c r="DK241" s="399"/>
      <c r="DL241" s="399"/>
      <c r="DM241" s="399"/>
      <c r="DN241" s="399"/>
      <c r="DO241" s="399"/>
      <c r="DP241" s="399"/>
      <c r="DQ241" s="399"/>
      <c r="DR241" s="399"/>
    </row>
    <row r="242" spans="2:122" s="480" customFormat="1" x14ac:dyDescent="0.2">
      <c r="B242" s="741"/>
      <c r="C242" s="1511"/>
      <c r="D242" s="1511"/>
      <c r="E242" s="1511"/>
      <c r="F242" s="1511"/>
      <c r="G242" s="1511"/>
      <c r="H242" s="1511"/>
      <c r="I242" s="1511"/>
      <c r="J242" s="1511"/>
      <c r="K242" s="1511"/>
      <c r="L242" s="1511"/>
      <c r="M242" s="1511"/>
      <c r="N242" s="1511"/>
      <c r="O242" s="1506"/>
      <c r="P242" s="1301"/>
      <c r="Q242" s="1301"/>
      <c r="R242" s="1301"/>
      <c r="S242" s="1302"/>
      <c r="T242" s="481"/>
      <c r="U242" s="481"/>
      <c r="V242" s="481"/>
      <c r="W242" s="481"/>
      <c r="X242" s="481"/>
      <c r="Y242" s="481"/>
      <c r="Z242" s="481"/>
      <c r="AA242" s="481"/>
      <c r="AB242" s="481"/>
      <c r="CQ242" s="399"/>
      <c r="CR242" s="399"/>
      <c r="CS242" s="399"/>
      <c r="CT242" s="399"/>
      <c r="CU242" s="483"/>
      <c r="CV242" s="483"/>
      <c r="CW242" s="399"/>
      <c r="CX242" s="399"/>
      <c r="CY242" s="399"/>
      <c r="CZ242" s="399"/>
      <c r="DA242" s="399"/>
      <c r="DB242" s="399"/>
      <c r="DC242" s="399"/>
      <c r="DD242" s="399"/>
      <c r="DE242" s="399"/>
      <c r="DF242" s="399"/>
      <c r="DG242" s="399"/>
      <c r="DH242" s="399"/>
      <c r="DI242" s="399"/>
      <c r="DJ242" s="399"/>
      <c r="DK242" s="399"/>
      <c r="DL242" s="399"/>
      <c r="DM242" s="399"/>
      <c r="DN242" s="399"/>
      <c r="DO242" s="399"/>
      <c r="DP242" s="399"/>
      <c r="DQ242" s="399"/>
      <c r="DR242" s="399"/>
    </row>
    <row r="243" spans="2:122" s="480" customFormat="1" x14ac:dyDescent="0.2">
      <c r="B243" s="741"/>
      <c r="C243" s="1511"/>
      <c r="D243" s="1511"/>
      <c r="E243" s="1511"/>
      <c r="F243" s="1511"/>
      <c r="G243" s="1511"/>
      <c r="H243" s="1511"/>
      <c r="I243" s="1511"/>
      <c r="J243" s="1511"/>
      <c r="K243" s="1511"/>
      <c r="L243" s="1511"/>
      <c r="M243" s="1511"/>
      <c r="N243" s="1511"/>
      <c r="O243" s="1506"/>
      <c r="P243" s="1301"/>
      <c r="Q243" s="1301"/>
      <c r="R243" s="1301"/>
      <c r="S243" s="1302"/>
      <c r="T243" s="481"/>
      <c r="U243" s="481"/>
      <c r="V243" s="481"/>
      <c r="W243" s="481"/>
      <c r="X243" s="481"/>
      <c r="Y243" s="481"/>
      <c r="Z243" s="481"/>
      <c r="AA243" s="481"/>
      <c r="AB243" s="481"/>
      <c r="CQ243" s="399"/>
      <c r="CR243" s="399"/>
      <c r="CS243" s="399"/>
      <c r="CT243" s="399"/>
      <c r="CU243" s="483"/>
      <c r="CV243" s="483"/>
      <c r="CW243" s="399"/>
      <c r="CX243" s="399"/>
      <c r="CY243" s="399"/>
      <c r="CZ243" s="399"/>
      <c r="DA243" s="399"/>
      <c r="DB243" s="399"/>
      <c r="DC243" s="399"/>
      <c r="DD243" s="399"/>
      <c r="DE243" s="399"/>
      <c r="DF243" s="399"/>
      <c r="DG243" s="399"/>
      <c r="DH243" s="399"/>
      <c r="DI243" s="399"/>
      <c r="DJ243" s="399"/>
      <c r="DK243" s="399"/>
      <c r="DL243" s="399"/>
      <c r="DM243" s="399"/>
      <c r="DN243" s="399"/>
      <c r="DO243" s="399"/>
      <c r="DP243" s="399"/>
      <c r="DQ243" s="399"/>
      <c r="DR243" s="399"/>
    </row>
    <row r="244" spans="2:122" s="480" customFormat="1" x14ac:dyDescent="0.2">
      <c r="B244" s="741"/>
      <c r="C244" s="1511"/>
      <c r="D244" s="1511"/>
      <c r="E244" s="1511"/>
      <c r="F244" s="1511"/>
      <c r="G244" s="1511"/>
      <c r="H244" s="1511"/>
      <c r="I244" s="1511"/>
      <c r="J244" s="1511"/>
      <c r="K244" s="1511"/>
      <c r="L244" s="1511"/>
      <c r="M244" s="1511"/>
      <c r="N244" s="1511"/>
      <c r="O244" s="1506"/>
      <c r="P244" s="1301"/>
      <c r="Q244" s="1301"/>
      <c r="R244" s="1301"/>
      <c r="S244" s="1302"/>
      <c r="T244" s="481"/>
      <c r="U244" s="481"/>
      <c r="V244" s="481"/>
      <c r="W244" s="481"/>
      <c r="X244" s="481"/>
      <c r="Y244" s="481"/>
      <c r="Z244" s="481"/>
      <c r="AA244" s="481"/>
      <c r="AB244" s="481"/>
      <c r="CQ244" s="399"/>
      <c r="CR244" s="399"/>
      <c r="CS244" s="399"/>
      <c r="CT244" s="399"/>
      <c r="CU244" s="483"/>
      <c r="CV244" s="483"/>
      <c r="CW244" s="399"/>
      <c r="CX244" s="399"/>
      <c r="CY244" s="399"/>
      <c r="CZ244" s="399"/>
      <c r="DA244" s="399"/>
      <c r="DB244" s="399"/>
      <c r="DC244" s="399"/>
      <c r="DD244" s="399"/>
      <c r="DE244" s="399"/>
      <c r="DF244" s="399"/>
      <c r="DG244" s="399"/>
      <c r="DH244" s="399"/>
      <c r="DI244" s="399"/>
      <c r="DJ244" s="399"/>
      <c r="DK244" s="399"/>
      <c r="DL244" s="399"/>
      <c r="DM244" s="399"/>
      <c r="DN244" s="399"/>
      <c r="DO244" s="399"/>
      <c r="DP244" s="399"/>
      <c r="DQ244" s="399"/>
      <c r="DR244" s="399"/>
    </row>
    <row r="245" spans="2:122" s="480" customFormat="1" x14ac:dyDescent="0.2">
      <c r="B245" s="741"/>
      <c r="C245" s="1511"/>
      <c r="D245" s="1511"/>
      <c r="E245" s="1511"/>
      <c r="F245" s="1511"/>
      <c r="G245" s="1511"/>
      <c r="H245" s="1511"/>
      <c r="I245" s="1511"/>
      <c r="J245" s="1511"/>
      <c r="K245" s="1511"/>
      <c r="L245" s="1511"/>
      <c r="M245" s="1511"/>
      <c r="N245" s="1511"/>
      <c r="O245" s="1506"/>
      <c r="P245" s="1301"/>
      <c r="Q245" s="1301"/>
      <c r="R245" s="1301"/>
      <c r="S245" s="1302"/>
      <c r="T245" s="481"/>
      <c r="U245" s="481"/>
      <c r="V245" s="481"/>
      <c r="W245" s="481"/>
      <c r="X245" s="481"/>
      <c r="Y245" s="481"/>
      <c r="Z245" s="481"/>
      <c r="AA245" s="481"/>
      <c r="AB245" s="481"/>
      <c r="CQ245" s="399"/>
      <c r="CR245" s="399"/>
      <c r="CS245" s="399"/>
      <c r="CT245" s="399"/>
      <c r="CU245" s="483"/>
      <c r="CV245" s="483"/>
      <c r="CW245" s="399"/>
      <c r="CX245" s="399"/>
      <c r="CY245" s="399"/>
      <c r="CZ245" s="399"/>
      <c r="DA245" s="399"/>
      <c r="DB245" s="399"/>
      <c r="DC245" s="399"/>
      <c r="DD245" s="399"/>
      <c r="DE245" s="399"/>
      <c r="DF245" s="399"/>
      <c r="DG245" s="399"/>
      <c r="DH245" s="399"/>
      <c r="DI245" s="399"/>
      <c r="DJ245" s="399"/>
      <c r="DK245" s="399"/>
      <c r="DL245" s="399"/>
      <c r="DM245" s="399"/>
      <c r="DN245" s="399"/>
      <c r="DO245" s="399"/>
      <c r="DP245" s="399"/>
      <c r="DQ245" s="399"/>
      <c r="DR245" s="399"/>
    </row>
    <row r="246" spans="2:122" s="480" customFormat="1" x14ac:dyDescent="0.2">
      <c r="B246" s="741"/>
      <c r="C246" s="1511"/>
      <c r="D246" s="1511"/>
      <c r="E246" s="1511"/>
      <c r="F246" s="1511"/>
      <c r="G246" s="1511"/>
      <c r="H246" s="1511"/>
      <c r="I246" s="1511"/>
      <c r="J246" s="1511"/>
      <c r="K246" s="1511"/>
      <c r="L246" s="1511"/>
      <c r="M246" s="1511"/>
      <c r="N246" s="1511"/>
      <c r="O246" s="1506"/>
      <c r="P246" s="1301"/>
      <c r="Q246" s="1301"/>
      <c r="R246" s="1301"/>
      <c r="S246" s="1302"/>
      <c r="T246" s="481"/>
      <c r="U246" s="481"/>
      <c r="V246" s="481"/>
      <c r="W246" s="481"/>
      <c r="X246" s="481"/>
      <c r="Y246" s="481"/>
      <c r="Z246" s="481"/>
      <c r="AA246" s="481"/>
      <c r="AB246" s="481"/>
      <c r="CQ246" s="399"/>
      <c r="CR246" s="399"/>
      <c r="CS246" s="399"/>
      <c r="CT246" s="399"/>
      <c r="CU246" s="483"/>
      <c r="CV246" s="483"/>
      <c r="CW246" s="399"/>
      <c r="CX246" s="399"/>
      <c r="CY246" s="399"/>
      <c r="CZ246" s="399"/>
      <c r="DA246" s="399"/>
      <c r="DB246" s="399"/>
      <c r="DC246" s="399"/>
      <c r="DD246" s="399"/>
      <c r="DE246" s="399"/>
      <c r="DF246" s="399"/>
      <c r="DG246" s="399"/>
      <c r="DH246" s="399"/>
      <c r="DI246" s="399"/>
      <c r="DJ246" s="399"/>
      <c r="DK246" s="399"/>
      <c r="DL246" s="399"/>
      <c r="DM246" s="399"/>
      <c r="DN246" s="399"/>
      <c r="DO246" s="399"/>
      <c r="DP246" s="399"/>
      <c r="DQ246" s="399"/>
      <c r="DR246" s="399"/>
    </row>
    <row r="247" spans="2:122" s="480" customFormat="1" x14ac:dyDescent="0.2">
      <c r="B247" s="741"/>
      <c r="C247" s="1511"/>
      <c r="D247" s="1511"/>
      <c r="E247" s="1511"/>
      <c r="F247" s="1511"/>
      <c r="G247" s="1511"/>
      <c r="H247" s="1511"/>
      <c r="I247" s="1511"/>
      <c r="J247" s="1511"/>
      <c r="K247" s="1511"/>
      <c r="L247" s="1511"/>
      <c r="M247" s="1511"/>
      <c r="N247" s="1511"/>
      <c r="O247" s="1506"/>
      <c r="P247" s="1301"/>
      <c r="Q247" s="1301"/>
      <c r="R247" s="1301"/>
      <c r="S247" s="1302"/>
      <c r="T247" s="481"/>
      <c r="U247" s="481"/>
      <c r="V247" s="481"/>
      <c r="W247" s="481"/>
      <c r="X247" s="481"/>
      <c r="Y247" s="481"/>
      <c r="Z247" s="481"/>
      <c r="AA247" s="481"/>
      <c r="AB247" s="481"/>
      <c r="CQ247" s="399"/>
      <c r="CR247" s="399"/>
      <c r="CS247" s="399"/>
      <c r="CT247" s="399"/>
      <c r="CU247" s="483"/>
      <c r="CV247" s="483"/>
      <c r="CW247" s="399"/>
      <c r="CX247" s="399"/>
      <c r="CY247" s="399"/>
      <c r="CZ247" s="399"/>
      <c r="DA247" s="399"/>
      <c r="DB247" s="399"/>
      <c r="DC247" s="399"/>
      <c r="DD247" s="399"/>
      <c r="DE247" s="399"/>
      <c r="DF247" s="399"/>
      <c r="DG247" s="399"/>
      <c r="DH247" s="399"/>
      <c r="DI247" s="399"/>
      <c r="DJ247" s="399"/>
      <c r="DK247" s="399"/>
      <c r="DL247" s="399"/>
      <c r="DM247" s="399"/>
      <c r="DN247" s="399"/>
      <c r="DO247" s="399"/>
      <c r="DP247" s="399"/>
      <c r="DQ247" s="399"/>
      <c r="DR247" s="399"/>
    </row>
    <row r="248" spans="2:122" s="480" customFormat="1" x14ac:dyDescent="0.2">
      <c r="B248" s="741"/>
      <c r="C248" s="1511"/>
      <c r="D248" s="1511"/>
      <c r="E248" s="1511"/>
      <c r="F248" s="1511"/>
      <c r="G248" s="1511"/>
      <c r="H248" s="1511"/>
      <c r="I248" s="1511"/>
      <c r="J248" s="1511"/>
      <c r="K248" s="1511"/>
      <c r="L248" s="1511"/>
      <c r="M248" s="1511"/>
      <c r="N248" s="1511"/>
      <c r="O248" s="1506"/>
      <c r="P248" s="1301"/>
      <c r="Q248" s="1301"/>
      <c r="R248" s="1301"/>
      <c r="S248" s="1302"/>
      <c r="T248" s="481"/>
      <c r="U248" s="481"/>
      <c r="V248" s="481"/>
      <c r="W248" s="481"/>
      <c r="X248" s="481"/>
      <c r="Y248" s="481"/>
      <c r="Z248" s="481"/>
      <c r="AA248" s="481"/>
      <c r="AB248" s="481"/>
      <c r="CQ248" s="399"/>
      <c r="CR248" s="399"/>
      <c r="CS248" s="399"/>
      <c r="CT248" s="399"/>
      <c r="CU248" s="483"/>
      <c r="CV248" s="483"/>
      <c r="CW248" s="399"/>
      <c r="CX248" s="399"/>
      <c r="CY248" s="399"/>
      <c r="CZ248" s="399"/>
      <c r="DA248" s="399"/>
      <c r="DB248" s="399"/>
      <c r="DC248" s="399"/>
      <c r="DD248" s="399"/>
      <c r="DE248" s="399"/>
      <c r="DF248" s="399"/>
      <c r="DG248" s="399"/>
      <c r="DH248" s="399"/>
      <c r="DI248" s="399"/>
      <c r="DJ248" s="399"/>
      <c r="DK248" s="399"/>
      <c r="DL248" s="399"/>
      <c r="DM248" s="399"/>
      <c r="DN248" s="399"/>
      <c r="DO248" s="399"/>
      <c r="DP248" s="399"/>
      <c r="DQ248" s="399"/>
      <c r="DR248" s="399"/>
    </row>
    <row r="249" spans="2:122" s="480" customFormat="1" x14ac:dyDescent="0.2">
      <c r="B249" s="741"/>
      <c r="C249" s="1511"/>
      <c r="D249" s="1511"/>
      <c r="E249" s="1511"/>
      <c r="F249" s="1511"/>
      <c r="G249" s="1511"/>
      <c r="H249" s="1511"/>
      <c r="I249" s="1511"/>
      <c r="J249" s="1511"/>
      <c r="K249" s="1511"/>
      <c r="L249" s="1511"/>
      <c r="M249" s="1511"/>
      <c r="N249" s="1511"/>
      <c r="O249" s="1506"/>
      <c r="P249" s="1301"/>
      <c r="Q249" s="1301"/>
      <c r="R249" s="1301"/>
      <c r="S249" s="1302"/>
      <c r="T249" s="481"/>
      <c r="U249" s="481"/>
      <c r="V249" s="481"/>
      <c r="W249" s="481"/>
      <c r="X249" s="481"/>
      <c r="Y249" s="481"/>
      <c r="Z249" s="481"/>
      <c r="AA249" s="481"/>
      <c r="AB249" s="481"/>
      <c r="CQ249" s="399"/>
      <c r="CR249" s="399"/>
      <c r="CS249" s="399"/>
      <c r="CT249" s="399"/>
      <c r="CU249" s="483"/>
      <c r="CV249" s="483"/>
      <c r="CW249" s="399"/>
      <c r="CX249" s="399"/>
      <c r="CY249" s="399"/>
      <c r="CZ249" s="399"/>
      <c r="DA249" s="399"/>
      <c r="DB249" s="399"/>
      <c r="DC249" s="399"/>
      <c r="DD249" s="399"/>
      <c r="DE249" s="399"/>
      <c r="DF249" s="399"/>
      <c r="DG249" s="399"/>
      <c r="DH249" s="399"/>
      <c r="DI249" s="399"/>
      <c r="DJ249" s="399"/>
      <c r="DK249" s="399"/>
      <c r="DL249" s="399"/>
      <c r="DM249" s="399"/>
      <c r="DN249" s="399"/>
      <c r="DO249" s="399"/>
      <c r="DP249" s="399"/>
      <c r="DQ249" s="399"/>
      <c r="DR249" s="399"/>
    </row>
    <row r="250" spans="2:122" s="480" customFormat="1" x14ac:dyDescent="0.2">
      <c r="B250" s="741"/>
      <c r="C250" s="1511"/>
      <c r="D250" s="1511"/>
      <c r="E250" s="1511"/>
      <c r="F250" s="1511"/>
      <c r="G250" s="1511"/>
      <c r="H250" s="1511"/>
      <c r="I250" s="1511"/>
      <c r="J250" s="1511"/>
      <c r="K250" s="1511"/>
      <c r="L250" s="1511"/>
      <c r="M250" s="1511"/>
      <c r="N250" s="1511"/>
      <c r="O250" s="1506"/>
      <c r="P250" s="1301"/>
      <c r="Q250" s="1301"/>
      <c r="R250" s="1301"/>
      <c r="S250" s="1302"/>
      <c r="T250" s="481"/>
      <c r="U250" s="481"/>
      <c r="V250" s="481"/>
      <c r="W250" s="481"/>
      <c r="X250" s="481"/>
      <c r="Y250" s="481"/>
      <c r="Z250" s="481"/>
      <c r="AA250" s="481"/>
      <c r="AB250" s="481"/>
      <c r="CQ250" s="399"/>
      <c r="CR250" s="399"/>
      <c r="CS250" s="399"/>
      <c r="CT250" s="399"/>
      <c r="CU250" s="483"/>
      <c r="CV250" s="483"/>
      <c r="CW250" s="399"/>
      <c r="CX250" s="399"/>
      <c r="CY250" s="399"/>
      <c r="CZ250" s="399"/>
      <c r="DA250" s="399"/>
      <c r="DB250" s="399"/>
      <c r="DC250" s="399"/>
      <c r="DD250" s="399"/>
      <c r="DE250" s="399"/>
      <c r="DF250" s="399"/>
      <c r="DG250" s="399"/>
      <c r="DH250" s="399"/>
      <c r="DI250" s="399"/>
      <c r="DJ250" s="399"/>
      <c r="DK250" s="399"/>
      <c r="DL250" s="399"/>
      <c r="DM250" s="399"/>
      <c r="DN250" s="399"/>
      <c r="DO250" s="399"/>
      <c r="DP250" s="399"/>
      <c r="DQ250" s="399"/>
      <c r="DR250" s="399"/>
    </row>
    <row r="251" spans="2:122" s="480" customFormat="1" x14ac:dyDescent="0.2">
      <c r="B251" s="741"/>
      <c r="C251" s="1511"/>
      <c r="D251" s="1511"/>
      <c r="E251" s="1511"/>
      <c r="F251" s="1511"/>
      <c r="G251" s="1511"/>
      <c r="H251" s="1511"/>
      <c r="I251" s="1511"/>
      <c r="J251" s="1511"/>
      <c r="K251" s="1511"/>
      <c r="L251" s="1511"/>
      <c r="M251" s="1511"/>
      <c r="N251" s="1511"/>
      <c r="O251" s="1506"/>
      <c r="P251" s="1301"/>
      <c r="Q251" s="1301"/>
      <c r="R251" s="1301"/>
      <c r="S251" s="1302"/>
      <c r="T251" s="481"/>
      <c r="U251" s="481"/>
      <c r="V251" s="481"/>
      <c r="W251" s="481"/>
      <c r="X251" s="481"/>
      <c r="Y251" s="481"/>
      <c r="Z251" s="481"/>
      <c r="AA251" s="481"/>
      <c r="AB251" s="481"/>
      <c r="CQ251" s="399"/>
      <c r="CR251" s="399"/>
      <c r="CS251" s="399"/>
      <c r="CT251" s="399"/>
      <c r="CU251" s="483"/>
      <c r="CV251" s="483"/>
      <c r="CW251" s="399"/>
      <c r="CX251" s="399"/>
      <c r="CY251" s="399"/>
      <c r="CZ251" s="399"/>
      <c r="DA251" s="399"/>
      <c r="DB251" s="399"/>
      <c r="DC251" s="399"/>
      <c r="DD251" s="399"/>
      <c r="DE251" s="399"/>
      <c r="DF251" s="399"/>
      <c r="DG251" s="399"/>
      <c r="DH251" s="399"/>
      <c r="DI251" s="399"/>
      <c r="DJ251" s="399"/>
      <c r="DK251" s="399"/>
      <c r="DL251" s="399"/>
      <c r="DM251" s="399"/>
      <c r="DN251" s="399"/>
      <c r="DO251" s="399"/>
      <c r="DP251" s="399"/>
      <c r="DQ251" s="399"/>
      <c r="DR251" s="399"/>
    </row>
    <row r="252" spans="2:122" s="480" customFormat="1" x14ac:dyDescent="0.2">
      <c r="B252" s="741"/>
      <c r="C252" s="1511"/>
      <c r="D252" s="1511"/>
      <c r="E252" s="1511"/>
      <c r="F252" s="1511"/>
      <c r="G252" s="1511"/>
      <c r="H252" s="1511"/>
      <c r="I252" s="1511"/>
      <c r="J252" s="1511"/>
      <c r="K252" s="1511"/>
      <c r="L252" s="1511"/>
      <c r="M252" s="1511"/>
      <c r="N252" s="1511"/>
      <c r="O252" s="1506"/>
      <c r="P252" s="1301"/>
      <c r="Q252" s="1301"/>
      <c r="R252" s="1301"/>
      <c r="S252" s="1302"/>
      <c r="T252" s="481"/>
      <c r="U252" s="481"/>
      <c r="V252" s="481"/>
      <c r="W252" s="481"/>
      <c r="X252" s="481"/>
      <c r="Y252" s="481"/>
      <c r="Z252" s="481"/>
      <c r="AA252" s="481"/>
      <c r="AB252" s="481"/>
      <c r="CQ252" s="399"/>
      <c r="CR252" s="399"/>
      <c r="CS252" s="399"/>
      <c r="CT252" s="399"/>
      <c r="CU252" s="483"/>
      <c r="CV252" s="483"/>
      <c r="CW252" s="399"/>
      <c r="CX252" s="399"/>
      <c r="CY252" s="399"/>
      <c r="CZ252" s="399"/>
      <c r="DA252" s="399"/>
      <c r="DB252" s="399"/>
      <c r="DC252" s="399"/>
      <c r="DD252" s="399"/>
      <c r="DE252" s="399"/>
      <c r="DF252" s="399"/>
      <c r="DG252" s="399"/>
      <c r="DH252" s="399"/>
      <c r="DI252" s="399"/>
      <c r="DJ252" s="399"/>
      <c r="DK252" s="399"/>
      <c r="DL252" s="399"/>
      <c r="DM252" s="399"/>
      <c r="DN252" s="399"/>
      <c r="DO252" s="399"/>
      <c r="DP252" s="399"/>
      <c r="DQ252" s="399"/>
      <c r="DR252" s="399"/>
    </row>
    <row r="253" spans="2:122" s="480" customFormat="1" x14ac:dyDescent="0.2">
      <c r="B253" s="741"/>
      <c r="C253" s="1511"/>
      <c r="D253" s="1511"/>
      <c r="E253" s="1511"/>
      <c r="F253" s="1511"/>
      <c r="G253" s="1511"/>
      <c r="H253" s="1511"/>
      <c r="I253" s="1511"/>
      <c r="J253" s="1511"/>
      <c r="K253" s="1511"/>
      <c r="L253" s="1511"/>
      <c r="M253" s="1511"/>
      <c r="N253" s="1511"/>
      <c r="O253" s="1506"/>
      <c r="P253" s="1301"/>
      <c r="Q253" s="1301"/>
      <c r="R253" s="1301"/>
      <c r="S253" s="1302"/>
      <c r="T253" s="481"/>
      <c r="U253" s="481"/>
      <c r="V253" s="481"/>
      <c r="W253" s="481"/>
      <c r="X253" s="481"/>
      <c r="Y253" s="481"/>
      <c r="Z253" s="481"/>
      <c r="AA253" s="481"/>
      <c r="AB253" s="481"/>
      <c r="CQ253" s="399"/>
      <c r="CR253" s="399"/>
      <c r="CS253" s="399"/>
      <c r="CT253" s="399"/>
      <c r="CU253" s="483"/>
      <c r="CV253" s="483"/>
      <c r="CW253" s="399"/>
      <c r="CX253" s="399"/>
      <c r="CY253" s="399"/>
      <c r="CZ253" s="399"/>
      <c r="DA253" s="399"/>
      <c r="DB253" s="399"/>
      <c r="DC253" s="399"/>
      <c r="DD253" s="399"/>
      <c r="DE253" s="399"/>
      <c r="DF253" s="399"/>
      <c r="DG253" s="399"/>
      <c r="DH253" s="399"/>
      <c r="DI253" s="399"/>
      <c r="DJ253" s="399"/>
      <c r="DK253" s="399"/>
      <c r="DL253" s="399"/>
      <c r="DM253" s="399"/>
      <c r="DN253" s="399"/>
      <c r="DO253" s="399"/>
      <c r="DP253" s="399"/>
      <c r="DQ253" s="399"/>
      <c r="DR253" s="399"/>
    </row>
    <row r="254" spans="2:122" s="480" customFormat="1" x14ac:dyDescent="0.2">
      <c r="B254" s="741"/>
      <c r="C254" s="1511"/>
      <c r="D254" s="1511"/>
      <c r="E254" s="1511"/>
      <c r="F254" s="1511"/>
      <c r="G254" s="1511"/>
      <c r="H254" s="1511"/>
      <c r="I254" s="1511"/>
      <c r="J254" s="1511"/>
      <c r="K254" s="1511"/>
      <c r="L254" s="1511"/>
      <c r="M254" s="1511"/>
      <c r="N254" s="1511"/>
      <c r="O254" s="1506"/>
      <c r="P254" s="1301"/>
      <c r="Q254" s="1301"/>
      <c r="R254" s="1301"/>
      <c r="S254" s="1302"/>
      <c r="T254" s="481"/>
      <c r="U254" s="481"/>
      <c r="V254" s="481"/>
      <c r="W254" s="481"/>
      <c r="X254" s="481"/>
      <c r="Y254" s="481"/>
      <c r="Z254" s="481"/>
      <c r="AA254" s="481"/>
      <c r="AB254" s="481"/>
      <c r="CQ254" s="399"/>
      <c r="CR254" s="399"/>
      <c r="CS254" s="399"/>
      <c r="CT254" s="399"/>
      <c r="CU254" s="483"/>
      <c r="CV254" s="483"/>
      <c r="CW254" s="399"/>
      <c r="CX254" s="399"/>
      <c r="CY254" s="399"/>
      <c r="CZ254" s="399"/>
      <c r="DA254" s="399"/>
      <c r="DB254" s="399"/>
      <c r="DC254" s="399"/>
      <c r="DD254" s="399"/>
      <c r="DE254" s="399"/>
      <c r="DF254" s="399"/>
      <c r="DG254" s="399"/>
      <c r="DH254" s="399"/>
      <c r="DI254" s="399"/>
      <c r="DJ254" s="399"/>
      <c r="DK254" s="399"/>
      <c r="DL254" s="399"/>
      <c r="DM254" s="399"/>
      <c r="DN254" s="399"/>
      <c r="DO254" s="399"/>
      <c r="DP254" s="399"/>
      <c r="DQ254" s="399"/>
      <c r="DR254" s="399"/>
    </row>
    <row r="255" spans="2:122" s="480" customFormat="1" x14ac:dyDescent="0.2">
      <c r="B255" s="741"/>
      <c r="C255" s="1511"/>
      <c r="D255" s="1511"/>
      <c r="E255" s="1511"/>
      <c r="F255" s="1511"/>
      <c r="G255" s="1511"/>
      <c r="H255" s="1511"/>
      <c r="I255" s="1511"/>
      <c r="J255" s="1511"/>
      <c r="K255" s="1511"/>
      <c r="L255" s="1511"/>
      <c r="M255" s="1511"/>
      <c r="N255" s="1511"/>
      <c r="O255" s="1506"/>
      <c r="P255" s="1301"/>
      <c r="Q255" s="1301"/>
      <c r="R255" s="1301"/>
      <c r="S255" s="1302"/>
      <c r="T255" s="481"/>
      <c r="U255" s="481"/>
      <c r="V255" s="481"/>
      <c r="W255" s="481"/>
      <c r="X255" s="481"/>
      <c r="Y255" s="481"/>
      <c r="Z255" s="481"/>
      <c r="AA255" s="481"/>
      <c r="AB255" s="481"/>
      <c r="CQ255" s="399"/>
      <c r="CR255" s="399"/>
      <c r="CS255" s="399"/>
      <c r="CT255" s="399"/>
      <c r="CU255" s="483"/>
      <c r="CV255" s="483"/>
      <c r="CW255" s="399"/>
      <c r="CX255" s="399"/>
      <c r="CY255" s="399"/>
      <c r="CZ255" s="399"/>
      <c r="DA255" s="399"/>
      <c r="DB255" s="399"/>
      <c r="DC255" s="399"/>
      <c r="DD255" s="399"/>
      <c r="DE255" s="399"/>
      <c r="DF255" s="399"/>
      <c r="DG255" s="399"/>
      <c r="DH255" s="399"/>
      <c r="DI255" s="399"/>
      <c r="DJ255" s="399"/>
      <c r="DK255" s="399"/>
      <c r="DL255" s="399"/>
      <c r="DM255" s="399"/>
      <c r="DN255" s="399"/>
      <c r="DO255" s="399"/>
      <c r="DP255" s="399"/>
      <c r="DQ255" s="399"/>
      <c r="DR255" s="399"/>
    </row>
    <row r="256" spans="2:122" s="480" customFormat="1" x14ac:dyDescent="0.2">
      <c r="B256" s="741"/>
      <c r="C256" s="1511"/>
      <c r="D256" s="1511"/>
      <c r="E256" s="1511"/>
      <c r="F256" s="1511"/>
      <c r="G256" s="1511"/>
      <c r="H256" s="1511"/>
      <c r="I256" s="1511"/>
      <c r="J256" s="1511"/>
      <c r="K256" s="1511"/>
      <c r="L256" s="1511"/>
      <c r="M256" s="1511"/>
      <c r="N256" s="1511"/>
      <c r="O256" s="1506"/>
      <c r="P256" s="1301"/>
      <c r="Q256" s="1301"/>
      <c r="R256" s="1301"/>
      <c r="S256" s="1302"/>
      <c r="T256" s="481"/>
      <c r="U256" s="481"/>
      <c r="V256" s="481"/>
      <c r="W256" s="481"/>
      <c r="X256" s="481"/>
      <c r="Y256" s="481"/>
      <c r="Z256" s="481"/>
      <c r="AA256" s="481"/>
      <c r="AB256" s="481"/>
      <c r="CQ256" s="399"/>
      <c r="CR256" s="399"/>
      <c r="CS256" s="399"/>
      <c r="CT256" s="399"/>
      <c r="CU256" s="483"/>
      <c r="CV256" s="483"/>
      <c r="CW256" s="399"/>
      <c r="CX256" s="399"/>
      <c r="CY256" s="399"/>
      <c r="CZ256" s="399"/>
      <c r="DA256" s="399"/>
      <c r="DB256" s="399"/>
      <c r="DC256" s="399"/>
      <c r="DD256" s="399"/>
      <c r="DE256" s="399"/>
      <c r="DF256" s="399"/>
      <c r="DG256" s="399"/>
      <c r="DH256" s="399"/>
      <c r="DI256" s="399"/>
      <c r="DJ256" s="399"/>
      <c r="DK256" s="399"/>
      <c r="DL256" s="399"/>
      <c r="DM256" s="399"/>
      <c r="DN256" s="399"/>
      <c r="DO256" s="399"/>
      <c r="DP256" s="399"/>
      <c r="DQ256" s="399"/>
      <c r="DR256" s="399"/>
    </row>
    <row r="257" spans="2:122" s="480" customFormat="1" x14ac:dyDescent="0.2">
      <c r="B257" s="741"/>
      <c r="C257" s="1511"/>
      <c r="D257" s="1511"/>
      <c r="E257" s="1511"/>
      <c r="F257" s="1511"/>
      <c r="G257" s="1511"/>
      <c r="H257" s="1511"/>
      <c r="I257" s="1511"/>
      <c r="J257" s="1511"/>
      <c r="K257" s="1511"/>
      <c r="L257" s="1511"/>
      <c r="M257" s="1511"/>
      <c r="N257" s="1511"/>
      <c r="O257" s="1506"/>
      <c r="P257" s="1301"/>
      <c r="Q257" s="1301"/>
      <c r="R257" s="1301"/>
      <c r="S257" s="1302"/>
      <c r="T257" s="481"/>
      <c r="U257" s="481"/>
      <c r="V257" s="481"/>
      <c r="W257" s="481"/>
      <c r="X257" s="481"/>
      <c r="Y257" s="481"/>
      <c r="Z257" s="481"/>
      <c r="AA257" s="481"/>
      <c r="AB257" s="481"/>
      <c r="CQ257" s="399"/>
      <c r="CR257" s="399"/>
      <c r="CS257" s="399"/>
      <c r="CT257" s="399"/>
      <c r="CU257" s="483"/>
      <c r="CV257" s="483"/>
      <c r="CW257" s="399"/>
      <c r="CX257" s="399"/>
      <c r="CY257" s="399"/>
      <c r="CZ257" s="399"/>
      <c r="DA257" s="399"/>
      <c r="DB257" s="399"/>
      <c r="DC257" s="399"/>
      <c r="DD257" s="399"/>
      <c r="DE257" s="399"/>
      <c r="DF257" s="399"/>
      <c r="DG257" s="399"/>
      <c r="DH257" s="399"/>
      <c r="DI257" s="399"/>
      <c r="DJ257" s="399"/>
      <c r="DK257" s="399"/>
      <c r="DL257" s="399"/>
      <c r="DM257" s="399"/>
      <c r="DN257" s="399"/>
      <c r="DO257" s="399"/>
      <c r="DP257" s="399"/>
      <c r="DQ257" s="399"/>
      <c r="DR257" s="399"/>
    </row>
    <row r="258" spans="2:122" s="480" customFormat="1" x14ac:dyDescent="0.2">
      <c r="B258" s="741"/>
      <c r="C258" s="1511"/>
      <c r="D258" s="1511"/>
      <c r="E258" s="1511"/>
      <c r="F258" s="1511"/>
      <c r="G258" s="1511"/>
      <c r="H258" s="1511"/>
      <c r="I258" s="1511"/>
      <c r="J258" s="1511"/>
      <c r="K258" s="1511"/>
      <c r="L258" s="1511"/>
      <c r="M258" s="1511"/>
      <c r="N258" s="1511"/>
      <c r="O258" s="1506"/>
      <c r="P258" s="1301"/>
      <c r="Q258" s="1301"/>
      <c r="R258" s="1301"/>
      <c r="S258" s="1302"/>
      <c r="T258" s="481"/>
      <c r="U258" s="481"/>
      <c r="V258" s="481"/>
      <c r="W258" s="481"/>
      <c r="X258" s="481"/>
      <c r="Y258" s="481"/>
      <c r="Z258" s="481"/>
      <c r="AA258" s="481"/>
      <c r="AB258" s="481"/>
      <c r="CQ258" s="399"/>
      <c r="CR258" s="399"/>
      <c r="CS258" s="399"/>
      <c r="CT258" s="399"/>
      <c r="CU258" s="483"/>
      <c r="CV258" s="483"/>
      <c r="CW258" s="399"/>
      <c r="CX258" s="399"/>
      <c r="CY258" s="399"/>
      <c r="CZ258" s="399"/>
      <c r="DA258" s="399"/>
      <c r="DB258" s="399"/>
      <c r="DC258" s="399"/>
      <c r="DD258" s="399"/>
      <c r="DE258" s="399"/>
      <c r="DF258" s="399"/>
      <c r="DG258" s="399"/>
      <c r="DH258" s="399"/>
      <c r="DI258" s="399"/>
      <c r="DJ258" s="399"/>
      <c r="DK258" s="399"/>
      <c r="DL258" s="399"/>
      <c r="DM258" s="399"/>
      <c r="DN258" s="399"/>
      <c r="DO258" s="399"/>
      <c r="DP258" s="399"/>
      <c r="DQ258" s="399"/>
      <c r="DR258" s="399"/>
    </row>
    <row r="259" spans="2:122" s="480" customFormat="1" x14ac:dyDescent="0.2">
      <c r="B259" s="741"/>
      <c r="C259" s="1511"/>
      <c r="D259" s="1511"/>
      <c r="E259" s="1511"/>
      <c r="F259" s="1511"/>
      <c r="G259" s="1511"/>
      <c r="H259" s="1511"/>
      <c r="I259" s="1511"/>
      <c r="J259" s="1511"/>
      <c r="K259" s="1511"/>
      <c r="L259" s="1511"/>
      <c r="M259" s="1511"/>
      <c r="N259" s="1511"/>
      <c r="O259" s="1506"/>
      <c r="P259" s="1301"/>
      <c r="Q259" s="1301"/>
      <c r="R259" s="1301"/>
      <c r="S259" s="1302"/>
      <c r="T259" s="481"/>
      <c r="U259" s="481"/>
      <c r="V259" s="481"/>
      <c r="W259" s="481"/>
      <c r="X259" s="481"/>
      <c r="Y259" s="481"/>
      <c r="Z259" s="481"/>
      <c r="AA259" s="481"/>
      <c r="AB259" s="481"/>
      <c r="CQ259" s="399"/>
      <c r="CR259" s="399"/>
      <c r="CS259" s="399"/>
      <c r="CT259" s="399"/>
      <c r="CU259" s="483"/>
      <c r="CV259" s="483"/>
      <c r="CW259" s="399"/>
      <c r="CX259" s="399"/>
      <c r="CY259" s="399"/>
      <c r="CZ259" s="399"/>
      <c r="DA259" s="399"/>
      <c r="DB259" s="399"/>
      <c r="DC259" s="399"/>
      <c r="DD259" s="399"/>
      <c r="DE259" s="399"/>
      <c r="DF259" s="399"/>
      <c r="DG259" s="399"/>
      <c r="DH259" s="399"/>
      <c r="DI259" s="399"/>
      <c r="DJ259" s="399"/>
      <c r="DK259" s="399"/>
      <c r="DL259" s="399"/>
      <c r="DM259" s="399"/>
      <c r="DN259" s="399"/>
      <c r="DO259" s="399"/>
      <c r="DP259" s="399"/>
      <c r="DQ259" s="399"/>
      <c r="DR259" s="399"/>
    </row>
    <row r="260" spans="2:122" s="480" customFormat="1" x14ac:dyDescent="0.2">
      <c r="B260" s="741"/>
      <c r="C260" s="1511"/>
      <c r="D260" s="1511"/>
      <c r="E260" s="1511"/>
      <c r="F260" s="1511"/>
      <c r="G260" s="1511"/>
      <c r="H260" s="1511"/>
      <c r="I260" s="1511"/>
      <c r="J260" s="1511"/>
      <c r="K260" s="1511"/>
      <c r="L260" s="1511"/>
      <c r="M260" s="1511"/>
      <c r="N260" s="1511"/>
      <c r="O260" s="1506"/>
      <c r="P260" s="1301"/>
      <c r="Q260" s="1301"/>
      <c r="R260" s="1301"/>
      <c r="S260" s="1302"/>
      <c r="T260" s="481"/>
      <c r="U260" s="481"/>
      <c r="V260" s="481"/>
      <c r="W260" s="481"/>
      <c r="X260" s="481"/>
      <c r="Y260" s="481"/>
      <c r="Z260" s="481"/>
      <c r="AA260" s="481"/>
      <c r="AB260" s="481"/>
      <c r="CQ260" s="399"/>
      <c r="CR260" s="399"/>
      <c r="CS260" s="399"/>
      <c r="CT260" s="399"/>
      <c r="CU260" s="483"/>
      <c r="CV260" s="483"/>
      <c r="CW260" s="399"/>
      <c r="CX260" s="399"/>
      <c r="CY260" s="399"/>
      <c r="CZ260" s="399"/>
      <c r="DA260" s="399"/>
      <c r="DB260" s="399"/>
      <c r="DC260" s="399"/>
      <c r="DD260" s="399"/>
      <c r="DE260" s="399"/>
      <c r="DF260" s="399"/>
      <c r="DG260" s="399"/>
      <c r="DH260" s="399"/>
      <c r="DI260" s="399"/>
      <c r="DJ260" s="399"/>
      <c r="DK260" s="399"/>
      <c r="DL260" s="399"/>
      <c r="DM260" s="399"/>
      <c r="DN260" s="399"/>
      <c r="DO260" s="399"/>
      <c r="DP260" s="399"/>
      <c r="DQ260" s="399"/>
      <c r="DR260" s="399"/>
    </row>
    <row r="261" spans="2:122" s="480" customFormat="1" x14ac:dyDescent="0.2">
      <c r="B261" s="741"/>
      <c r="C261" s="1511"/>
      <c r="D261" s="1511"/>
      <c r="E261" s="1511"/>
      <c r="F261" s="1511"/>
      <c r="G261" s="1511"/>
      <c r="H261" s="1511"/>
      <c r="I261" s="1511"/>
      <c r="J261" s="1511"/>
      <c r="K261" s="1511"/>
      <c r="L261" s="1511"/>
      <c r="M261" s="1511"/>
      <c r="N261" s="1511"/>
      <c r="O261" s="1506"/>
      <c r="P261" s="1301"/>
      <c r="Q261" s="1301"/>
      <c r="R261" s="1301"/>
      <c r="S261" s="1302"/>
      <c r="T261" s="481"/>
      <c r="U261" s="481"/>
      <c r="V261" s="481"/>
      <c r="W261" s="481"/>
      <c r="X261" s="481"/>
      <c r="Y261" s="481"/>
      <c r="Z261" s="481"/>
      <c r="AA261" s="481"/>
      <c r="AB261" s="481"/>
      <c r="CQ261" s="399"/>
      <c r="CR261" s="399"/>
      <c r="CS261" s="399"/>
      <c r="CT261" s="399"/>
      <c r="CU261" s="483"/>
      <c r="CV261" s="483"/>
      <c r="CW261" s="399"/>
      <c r="CX261" s="399"/>
      <c r="CY261" s="399"/>
      <c r="CZ261" s="399"/>
      <c r="DA261" s="399"/>
      <c r="DB261" s="399"/>
      <c r="DC261" s="399"/>
      <c r="DD261" s="399"/>
      <c r="DE261" s="399"/>
      <c r="DF261" s="399"/>
      <c r="DG261" s="399"/>
      <c r="DH261" s="399"/>
      <c r="DI261" s="399"/>
      <c r="DJ261" s="399"/>
      <c r="DK261" s="399"/>
      <c r="DL261" s="399"/>
      <c r="DM261" s="399"/>
      <c r="DN261" s="399"/>
      <c r="DO261" s="399"/>
      <c r="DP261" s="399"/>
      <c r="DQ261" s="399"/>
      <c r="DR261" s="399"/>
    </row>
    <row r="262" spans="2:122" s="480" customFormat="1" x14ac:dyDescent="0.2">
      <c r="B262" s="741"/>
      <c r="C262" s="1511"/>
      <c r="D262" s="1511"/>
      <c r="E262" s="1511"/>
      <c r="F262" s="1511"/>
      <c r="G262" s="1511"/>
      <c r="H262" s="1511"/>
      <c r="I262" s="1511"/>
      <c r="J262" s="1511"/>
      <c r="K262" s="1511"/>
      <c r="L262" s="1511"/>
      <c r="M262" s="1511"/>
      <c r="N262" s="1511"/>
      <c r="O262" s="1506"/>
      <c r="P262" s="1301"/>
      <c r="Q262" s="1301"/>
      <c r="R262" s="1301"/>
      <c r="S262" s="1302"/>
      <c r="T262" s="481"/>
      <c r="U262" s="481"/>
      <c r="V262" s="481"/>
      <c r="W262" s="481"/>
      <c r="X262" s="481"/>
      <c r="Y262" s="481"/>
      <c r="Z262" s="481"/>
      <c r="AA262" s="481"/>
      <c r="AB262" s="481"/>
      <c r="CQ262" s="399"/>
      <c r="CR262" s="399"/>
      <c r="CS262" s="399"/>
      <c r="CT262" s="399"/>
      <c r="CU262" s="483"/>
      <c r="CV262" s="483"/>
      <c r="CW262" s="399"/>
      <c r="CX262" s="399"/>
      <c r="CY262" s="399"/>
      <c r="CZ262" s="399"/>
      <c r="DA262" s="399"/>
      <c r="DB262" s="399"/>
      <c r="DC262" s="399"/>
      <c r="DD262" s="399"/>
      <c r="DE262" s="399"/>
      <c r="DF262" s="399"/>
      <c r="DG262" s="399"/>
      <c r="DH262" s="399"/>
      <c r="DI262" s="399"/>
      <c r="DJ262" s="399"/>
      <c r="DK262" s="399"/>
      <c r="DL262" s="399"/>
      <c r="DM262" s="399"/>
      <c r="DN262" s="399"/>
      <c r="DO262" s="399"/>
      <c r="DP262" s="399"/>
      <c r="DQ262" s="399"/>
      <c r="DR262" s="399"/>
    </row>
    <row r="263" spans="2:122" s="480" customFormat="1" x14ac:dyDescent="0.2">
      <c r="B263" s="741"/>
      <c r="C263" s="1511"/>
      <c r="D263" s="1511"/>
      <c r="E263" s="1511"/>
      <c r="F263" s="1511"/>
      <c r="G263" s="1511"/>
      <c r="H263" s="1511"/>
      <c r="I263" s="1511"/>
      <c r="J263" s="1511"/>
      <c r="K263" s="1511"/>
      <c r="L263" s="1511"/>
      <c r="M263" s="1511"/>
      <c r="N263" s="1511"/>
      <c r="O263" s="1506"/>
      <c r="P263" s="1301"/>
      <c r="Q263" s="1301"/>
      <c r="R263" s="1301"/>
      <c r="S263" s="1302"/>
      <c r="T263" s="481"/>
      <c r="U263" s="481"/>
      <c r="V263" s="481"/>
      <c r="W263" s="481"/>
      <c r="X263" s="481"/>
      <c r="Y263" s="481"/>
      <c r="Z263" s="481"/>
      <c r="AA263" s="481"/>
      <c r="AB263" s="481"/>
      <c r="CQ263" s="399"/>
      <c r="CR263" s="399"/>
      <c r="CS263" s="399"/>
      <c r="CT263" s="399"/>
      <c r="CU263" s="483"/>
      <c r="CV263" s="483"/>
      <c r="CW263" s="399"/>
      <c r="CX263" s="399"/>
      <c r="CY263" s="399"/>
      <c r="CZ263" s="399"/>
      <c r="DA263" s="399"/>
      <c r="DB263" s="399"/>
      <c r="DC263" s="399"/>
      <c r="DD263" s="399"/>
      <c r="DE263" s="399"/>
      <c r="DF263" s="399"/>
      <c r="DG263" s="399"/>
      <c r="DH263" s="399"/>
      <c r="DI263" s="399"/>
      <c r="DJ263" s="399"/>
      <c r="DK263" s="399"/>
      <c r="DL263" s="399"/>
      <c r="DM263" s="399"/>
      <c r="DN263" s="399"/>
      <c r="DO263" s="399"/>
      <c r="DP263" s="399"/>
      <c r="DQ263" s="399"/>
      <c r="DR263" s="399"/>
    </row>
    <row r="264" spans="2:122" s="480" customFormat="1" x14ac:dyDescent="0.2">
      <c r="B264" s="741"/>
      <c r="C264" s="1511"/>
      <c r="D264" s="1511"/>
      <c r="E264" s="1511"/>
      <c r="F264" s="1511"/>
      <c r="G264" s="1511"/>
      <c r="H264" s="1511"/>
      <c r="I264" s="1511"/>
      <c r="J264" s="1511"/>
      <c r="K264" s="1511"/>
      <c r="L264" s="1511"/>
      <c r="M264" s="1511"/>
      <c r="N264" s="1511"/>
      <c r="O264" s="1506"/>
      <c r="P264" s="1301"/>
      <c r="Q264" s="1301"/>
      <c r="R264" s="1301"/>
      <c r="S264" s="1302"/>
      <c r="T264" s="481"/>
      <c r="U264" s="481"/>
      <c r="V264" s="481"/>
      <c r="W264" s="481"/>
      <c r="X264" s="481"/>
      <c r="Y264" s="481"/>
      <c r="Z264" s="481"/>
      <c r="AA264" s="481"/>
      <c r="AB264" s="481"/>
      <c r="CQ264" s="399"/>
      <c r="CR264" s="399"/>
      <c r="CS264" s="399"/>
      <c r="CT264" s="399"/>
      <c r="CU264" s="483"/>
      <c r="CV264" s="483"/>
      <c r="CW264" s="399"/>
      <c r="CX264" s="399"/>
      <c r="CY264" s="399"/>
      <c r="CZ264" s="399"/>
      <c r="DA264" s="399"/>
      <c r="DB264" s="399"/>
      <c r="DC264" s="399"/>
      <c r="DD264" s="399"/>
      <c r="DE264" s="399"/>
      <c r="DF264" s="399"/>
      <c r="DG264" s="399"/>
      <c r="DH264" s="399"/>
      <c r="DI264" s="399"/>
      <c r="DJ264" s="399"/>
      <c r="DK264" s="399"/>
      <c r="DL264" s="399"/>
      <c r="DM264" s="399"/>
      <c r="DN264" s="399"/>
      <c r="DO264" s="399"/>
      <c r="DP264" s="399"/>
      <c r="DQ264" s="399"/>
      <c r="DR264" s="399"/>
    </row>
    <row r="265" spans="2:122" s="480" customFormat="1" x14ac:dyDescent="0.2">
      <c r="B265" s="741"/>
      <c r="C265" s="1511"/>
      <c r="D265" s="1511"/>
      <c r="E265" s="1511"/>
      <c r="F265" s="1511"/>
      <c r="G265" s="1511"/>
      <c r="H265" s="1511"/>
      <c r="I265" s="1511"/>
      <c r="J265" s="1511"/>
      <c r="K265" s="1511"/>
      <c r="L265" s="1511"/>
      <c r="M265" s="1511"/>
      <c r="N265" s="1511"/>
      <c r="O265" s="1506"/>
      <c r="P265" s="1301"/>
      <c r="Q265" s="1301"/>
      <c r="R265" s="1301"/>
      <c r="S265" s="1302"/>
      <c r="T265" s="481"/>
      <c r="U265" s="481"/>
      <c r="V265" s="481"/>
      <c r="W265" s="481"/>
      <c r="X265" s="481"/>
      <c r="Y265" s="481"/>
      <c r="Z265" s="481"/>
      <c r="AA265" s="481"/>
      <c r="AB265" s="481"/>
      <c r="CQ265" s="399"/>
      <c r="CR265" s="399"/>
      <c r="CS265" s="399"/>
      <c r="CT265" s="399"/>
      <c r="CU265" s="483"/>
      <c r="CV265" s="483"/>
      <c r="CW265" s="399"/>
      <c r="CX265" s="399"/>
      <c r="CY265" s="399"/>
      <c r="CZ265" s="399"/>
      <c r="DA265" s="399"/>
      <c r="DB265" s="399"/>
      <c r="DC265" s="399"/>
      <c r="DD265" s="399"/>
      <c r="DE265" s="399"/>
      <c r="DF265" s="399"/>
      <c r="DG265" s="399"/>
      <c r="DH265" s="399"/>
      <c r="DI265" s="399"/>
      <c r="DJ265" s="399"/>
      <c r="DK265" s="399"/>
      <c r="DL265" s="399"/>
      <c r="DM265" s="399"/>
      <c r="DN265" s="399"/>
      <c r="DO265" s="399"/>
      <c r="DP265" s="399"/>
      <c r="DQ265" s="399"/>
      <c r="DR265" s="399"/>
    </row>
    <row r="266" spans="2:122" s="480" customFormat="1" x14ac:dyDescent="0.2">
      <c r="B266" s="741"/>
      <c r="C266" s="1511"/>
      <c r="D266" s="1511"/>
      <c r="E266" s="1511"/>
      <c r="F266" s="1511"/>
      <c r="G266" s="1511"/>
      <c r="H266" s="1511"/>
      <c r="I266" s="1511"/>
      <c r="J266" s="1511"/>
      <c r="K266" s="1511"/>
      <c r="L266" s="1511"/>
      <c r="M266" s="1511"/>
      <c r="N266" s="1511"/>
      <c r="O266" s="1506"/>
      <c r="P266" s="1301"/>
      <c r="Q266" s="1301"/>
      <c r="R266" s="1301"/>
      <c r="S266" s="1302"/>
      <c r="T266" s="481"/>
      <c r="U266" s="481"/>
      <c r="V266" s="481"/>
      <c r="W266" s="481"/>
      <c r="X266" s="481"/>
      <c r="Y266" s="481"/>
      <c r="Z266" s="481"/>
      <c r="AA266" s="481"/>
      <c r="AB266" s="481"/>
      <c r="CQ266" s="399"/>
      <c r="CR266" s="399"/>
      <c r="CS266" s="399"/>
      <c r="CT266" s="399"/>
      <c r="CU266" s="483"/>
      <c r="CV266" s="483"/>
      <c r="CW266" s="399"/>
      <c r="CX266" s="399"/>
      <c r="CY266" s="399"/>
      <c r="CZ266" s="399"/>
      <c r="DA266" s="399"/>
      <c r="DB266" s="399"/>
      <c r="DC266" s="399"/>
      <c r="DD266" s="399"/>
      <c r="DE266" s="399"/>
      <c r="DF266" s="399"/>
      <c r="DG266" s="399"/>
      <c r="DH266" s="399"/>
      <c r="DI266" s="399"/>
      <c r="DJ266" s="399"/>
      <c r="DK266" s="399"/>
      <c r="DL266" s="399"/>
      <c r="DM266" s="399"/>
      <c r="DN266" s="399"/>
      <c r="DO266" s="399"/>
      <c r="DP266" s="399"/>
      <c r="DQ266" s="399"/>
      <c r="DR266" s="399"/>
    </row>
    <row r="267" spans="2:122" s="480" customFormat="1" x14ac:dyDescent="0.2">
      <c r="B267" s="741"/>
      <c r="C267" s="1511"/>
      <c r="D267" s="1511"/>
      <c r="E267" s="1511"/>
      <c r="F267" s="1511"/>
      <c r="G267" s="1511"/>
      <c r="H267" s="1511"/>
      <c r="I267" s="1511"/>
      <c r="J267" s="1511"/>
      <c r="K267" s="1511"/>
      <c r="L267" s="1511"/>
      <c r="M267" s="1511"/>
      <c r="N267" s="1511"/>
      <c r="O267" s="1506"/>
      <c r="P267" s="1301"/>
      <c r="Q267" s="1301"/>
      <c r="R267" s="1301"/>
      <c r="S267" s="1302"/>
      <c r="T267" s="481"/>
      <c r="U267" s="481"/>
      <c r="V267" s="481"/>
      <c r="W267" s="481"/>
      <c r="X267" s="481"/>
      <c r="Y267" s="481"/>
      <c r="Z267" s="481"/>
      <c r="AA267" s="481"/>
      <c r="AB267" s="481"/>
      <c r="CQ267" s="399"/>
      <c r="CR267" s="399"/>
      <c r="CS267" s="399"/>
      <c r="CT267" s="399"/>
      <c r="CU267" s="483"/>
      <c r="CV267" s="483"/>
      <c r="CW267" s="399"/>
      <c r="CX267" s="399"/>
      <c r="CY267" s="399"/>
      <c r="CZ267" s="399"/>
      <c r="DA267" s="399"/>
      <c r="DB267" s="399"/>
      <c r="DC267" s="399"/>
      <c r="DD267" s="399"/>
      <c r="DE267" s="399"/>
      <c r="DF267" s="399"/>
      <c r="DG267" s="399"/>
      <c r="DH267" s="399"/>
      <c r="DI267" s="399"/>
      <c r="DJ267" s="399"/>
      <c r="DK267" s="399"/>
      <c r="DL267" s="399"/>
      <c r="DM267" s="399"/>
      <c r="DN267" s="399"/>
      <c r="DO267" s="399"/>
      <c r="DP267" s="399"/>
      <c r="DQ267" s="399"/>
      <c r="DR267" s="399"/>
    </row>
    <row r="268" spans="2:122" s="480" customFormat="1" x14ac:dyDescent="0.2">
      <c r="B268" s="741"/>
      <c r="C268" s="1511"/>
      <c r="D268" s="1511"/>
      <c r="E268" s="1511"/>
      <c r="F268" s="1511"/>
      <c r="G268" s="1511"/>
      <c r="H268" s="1511"/>
      <c r="I268" s="1511"/>
      <c r="J268" s="1511"/>
      <c r="K268" s="1511"/>
      <c r="L268" s="1511"/>
      <c r="M268" s="1511"/>
      <c r="N268" s="1511"/>
      <c r="O268" s="1506"/>
      <c r="P268" s="1301"/>
      <c r="Q268" s="1301"/>
      <c r="R268" s="1301"/>
      <c r="S268" s="1302"/>
      <c r="T268" s="481"/>
      <c r="U268" s="481"/>
      <c r="V268" s="481"/>
      <c r="W268" s="481"/>
      <c r="X268" s="481"/>
      <c r="Y268" s="481"/>
      <c r="Z268" s="481"/>
      <c r="AA268" s="481"/>
      <c r="AB268" s="481"/>
      <c r="CQ268" s="399"/>
      <c r="CR268" s="399"/>
      <c r="CS268" s="399"/>
      <c r="CT268" s="399"/>
      <c r="CU268" s="483"/>
      <c r="CV268" s="483"/>
      <c r="CW268" s="399"/>
      <c r="CX268" s="399"/>
      <c r="CY268" s="399"/>
      <c r="CZ268" s="399"/>
      <c r="DA268" s="399"/>
      <c r="DB268" s="399"/>
      <c r="DC268" s="399"/>
      <c r="DD268" s="399"/>
      <c r="DE268" s="399"/>
      <c r="DF268" s="399"/>
      <c r="DG268" s="399"/>
      <c r="DH268" s="399"/>
      <c r="DI268" s="399"/>
      <c r="DJ268" s="399"/>
      <c r="DK268" s="399"/>
      <c r="DL268" s="399"/>
      <c r="DM268" s="399"/>
      <c r="DN268" s="399"/>
      <c r="DO268" s="399"/>
      <c r="DP268" s="399"/>
      <c r="DQ268" s="399"/>
      <c r="DR268" s="399"/>
    </row>
    <row r="269" spans="2:122" s="480" customFormat="1" x14ac:dyDescent="0.2">
      <c r="B269" s="741"/>
      <c r="C269" s="1511"/>
      <c r="D269" s="1511"/>
      <c r="E269" s="1511"/>
      <c r="F269" s="1511"/>
      <c r="G269" s="1511"/>
      <c r="H269" s="1511"/>
      <c r="I269" s="1511"/>
      <c r="J269" s="1511"/>
      <c r="K269" s="1511"/>
      <c r="L269" s="1511"/>
      <c r="M269" s="1511"/>
      <c r="N269" s="1511"/>
      <c r="O269" s="1506"/>
      <c r="P269" s="1301"/>
      <c r="Q269" s="1301"/>
      <c r="R269" s="1301"/>
      <c r="S269" s="1302"/>
      <c r="T269" s="481"/>
      <c r="U269" s="481"/>
      <c r="V269" s="481"/>
      <c r="W269" s="481"/>
      <c r="X269" s="481"/>
      <c r="Y269" s="481"/>
      <c r="Z269" s="481"/>
      <c r="AA269" s="481"/>
      <c r="AB269" s="481"/>
      <c r="CQ269" s="399"/>
      <c r="CR269" s="399"/>
      <c r="CS269" s="399"/>
      <c r="CT269" s="399"/>
      <c r="CU269" s="483"/>
      <c r="CV269" s="483"/>
      <c r="CW269" s="399"/>
      <c r="CX269" s="399"/>
      <c r="CY269" s="399"/>
      <c r="CZ269" s="399"/>
      <c r="DA269" s="399"/>
      <c r="DB269" s="399"/>
      <c r="DC269" s="399"/>
      <c r="DD269" s="399"/>
      <c r="DE269" s="399"/>
      <c r="DF269" s="399"/>
      <c r="DG269" s="399"/>
      <c r="DH269" s="399"/>
      <c r="DI269" s="399"/>
      <c r="DJ269" s="399"/>
      <c r="DK269" s="399"/>
      <c r="DL269" s="399"/>
      <c r="DM269" s="399"/>
      <c r="DN269" s="399"/>
      <c r="DO269" s="399"/>
      <c r="DP269" s="399"/>
      <c r="DQ269" s="399"/>
      <c r="DR269" s="399"/>
    </row>
    <row r="270" spans="2:122" s="480" customFormat="1" x14ac:dyDescent="0.2">
      <c r="B270" s="741"/>
      <c r="C270" s="1511"/>
      <c r="D270" s="1511"/>
      <c r="E270" s="1511"/>
      <c r="F270" s="1511"/>
      <c r="G270" s="1511"/>
      <c r="H270" s="1511"/>
      <c r="I270" s="1511"/>
      <c r="J270" s="1511"/>
      <c r="K270" s="1511"/>
      <c r="L270" s="1511"/>
      <c r="M270" s="1511"/>
      <c r="N270" s="1511"/>
      <c r="O270" s="1506"/>
      <c r="P270" s="1301"/>
      <c r="Q270" s="1301"/>
      <c r="R270" s="1301"/>
      <c r="S270" s="1302"/>
      <c r="T270" s="481"/>
      <c r="U270" s="481"/>
      <c r="V270" s="481"/>
      <c r="W270" s="481"/>
      <c r="X270" s="481"/>
      <c r="Y270" s="481"/>
      <c r="Z270" s="481"/>
      <c r="AA270" s="481"/>
      <c r="AB270" s="481"/>
      <c r="CQ270" s="399"/>
      <c r="CR270" s="399"/>
      <c r="CS270" s="399"/>
      <c r="CT270" s="399"/>
      <c r="CU270" s="483"/>
      <c r="CV270" s="483"/>
      <c r="CW270" s="399"/>
      <c r="CX270" s="399"/>
      <c r="CY270" s="399"/>
      <c r="CZ270" s="399"/>
      <c r="DA270" s="399"/>
      <c r="DB270" s="399"/>
      <c r="DC270" s="399"/>
      <c r="DD270" s="399"/>
      <c r="DE270" s="399"/>
      <c r="DF270" s="399"/>
      <c r="DG270" s="399"/>
      <c r="DH270" s="399"/>
      <c r="DI270" s="399"/>
      <c r="DJ270" s="399"/>
      <c r="DK270" s="399"/>
      <c r="DL270" s="399"/>
      <c r="DM270" s="399"/>
      <c r="DN270" s="399"/>
      <c r="DO270" s="399"/>
      <c r="DP270" s="399"/>
      <c r="DQ270" s="399"/>
      <c r="DR270" s="399"/>
    </row>
    <row r="271" spans="2:122" s="480" customFormat="1" x14ac:dyDescent="0.2">
      <c r="B271" s="741"/>
      <c r="C271" s="1511"/>
      <c r="D271" s="1511"/>
      <c r="E271" s="1511"/>
      <c r="F271" s="1511"/>
      <c r="G271" s="1511"/>
      <c r="H271" s="1511"/>
      <c r="I271" s="1511"/>
      <c r="J271" s="1511"/>
      <c r="K271" s="1511"/>
      <c r="L271" s="1511"/>
      <c r="M271" s="1511"/>
      <c r="N271" s="1511"/>
      <c r="O271" s="1506"/>
      <c r="P271" s="1301"/>
      <c r="Q271" s="1301"/>
      <c r="R271" s="1301"/>
      <c r="S271" s="1302"/>
      <c r="T271" s="481"/>
      <c r="U271" s="481"/>
      <c r="V271" s="481"/>
      <c r="W271" s="481"/>
      <c r="X271" s="481"/>
      <c r="Y271" s="481"/>
      <c r="Z271" s="481"/>
      <c r="AA271" s="481"/>
      <c r="AB271" s="481"/>
      <c r="CQ271" s="399"/>
      <c r="CR271" s="399"/>
      <c r="CS271" s="399"/>
      <c r="CT271" s="399"/>
      <c r="CU271" s="483"/>
      <c r="CV271" s="483"/>
      <c r="CW271" s="399"/>
      <c r="CX271" s="399"/>
      <c r="CY271" s="399"/>
      <c r="CZ271" s="399"/>
      <c r="DA271" s="399"/>
      <c r="DB271" s="399"/>
      <c r="DC271" s="399"/>
      <c r="DD271" s="399"/>
      <c r="DE271" s="399"/>
      <c r="DF271" s="399"/>
      <c r="DG271" s="399"/>
      <c r="DH271" s="399"/>
      <c r="DI271" s="399"/>
      <c r="DJ271" s="399"/>
      <c r="DK271" s="399"/>
      <c r="DL271" s="399"/>
      <c r="DM271" s="399"/>
      <c r="DN271" s="399"/>
      <c r="DO271" s="399"/>
      <c r="DP271" s="399"/>
      <c r="DQ271" s="399"/>
      <c r="DR271" s="399"/>
    </row>
    <row r="272" spans="2:122" s="480" customFormat="1" x14ac:dyDescent="0.2">
      <c r="B272" s="741"/>
      <c r="C272" s="1511"/>
      <c r="D272" s="1511"/>
      <c r="E272" s="1511"/>
      <c r="F272" s="1511"/>
      <c r="G272" s="1511"/>
      <c r="H272" s="1511"/>
      <c r="I272" s="1511"/>
      <c r="J272" s="1511"/>
      <c r="K272" s="1511"/>
      <c r="L272" s="1511"/>
      <c r="M272" s="1511"/>
      <c r="N272" s="1511"/>
      <c r="O272" s="1506"/>
      <c r="P272" s="1301"/>
      <c r="Q272" s="1301"/>
      <c r="R272" s="1301"/>
      <c r="S272" s="1302"/>
      <c r="T272" s="481"/>
      <c r="U272" s="481"/>
      <c r="V272" s="481"/>
      <c r="W272" s="481"/>
      <c r="X272" s="481"/>
      <c r="Y272" s="481"/>
      <c r="Z272" s="481"/>
      <c r="AA272" s="481"/>
      <c r="AB272" s="481"/>
      <c r="CQ272" s="399"/>
      <c r="CR272" s="399"/>
      <c r="CS272" s="399"/>
      <c r="CT272" s="399"/>
      <c r="CU272" s="483"/>
      <c r="CV272" s="483"/>
      <c r="CW272" s="399"/>
      <c r="CX272" s="399"/>
      <c r="CY272" s="399"/>
      <c r="CZ272" s="399"/>
      <c r="DA272" s="399"/>
      <c r="DB272" s="399"/>
      <c r="DC272" s="399"/>
      <c r="DD272" s="399"/>
      <c r="DE272" s="399"/>
      <c r="DF272" s="399"/>
      <c r="DG272" s="399"/>
      <c r="DH272" s="399"/>
      <c r="DI272" s="399"/>
      <c r="DJ272" s="399"/>
      <c r="DK272" s="399"/>
      <c r="DL272" s="399"/>
      <c r="DM272" s="399"/>
      <c r="DN272" s="399"/>
      <c r="DO272" s="399"/>
      <c r="DP272" s="399"/>
      <c r="DQ272" s="399"/>
      <c r="DR272" s="399"/>
    </row>
    <row r="273" spans="2:122" s="480" customFormat="1" x14ac:dyDescent="0.2">
      <c r="B273" s="741"/>
      <c r="C273" s="1511"/>
      <c r="D273" s="1511"/>
      <c r="E273" s="1511"/>
      <c r="F273" s="1511"/>
      <c r="G273" s="1511"/>
      <c r="H273" s="1511"/>
      <c r="I273" s="1511"/>
      <c r="J273" s="1511"/>
      <c r="K273" s="1511"/>
      <c r="L273" s="1511"/>
      <c r="M273" s="1511"/>
      <c r="N273" s="1511"/>
      <c r="O273" s="1506"/>
      <c r="P273" s="1301"/>
      <c r="Q273" s="1301"/>
      <c r="R273" s="1301"/>
      <c r="S273" s="1302"/>
      <c r="T273" s="481"/>
      <c r="U273" s="481"/>
      <c r="V273" s="481"/>
      <c r="W273" s="481"/>
      <c r="X273" s="481"/>
      <c r="Y273" s="481"/>
      <c r="Z273" s="481"/>
      <c r="AA273" s="481"/>
      <c r="AB273" s="481"/>
      <c r="CQ273" s="399"/>
      <c r="CR273" s="399"/>
      <c r="CS273" s="399"/>
      <c r="CT273" s="399"/>
      <c r="CU273" s="483"/>
      <c r="CV273" s="483"/>
      <c r="CW273" s="399"/>
      <c r="CX273" s="399"/>
      <c r="CY273" s="399"/>
      <c r="CZ273" s="399"/>
      <c r="DA273" s="399"/>
      <c r="DB273" s="399"/>
      <c r="DC273" s="399"/>
      <c r="DD273" s="399"/>
      <c r="DE273" s="399"/>
      <c r="DF273" s="399"/>
      <c r="DG273" s="399"/>
      <c r="DH273" s="399"/>
      <c r="DI273" s="399"/>
      <c r="DJ273" s="399"/>
      <c r="DK273" s="399"/>
      <c r="DL273" s="399"/>
      <c r="DM273" s="399"/>
      <c r="DN273" s="399"/>
      <c r="DO273" s="399"/>
      <c r="DP273" s="399"/>
      <c r="DQ273" s="399"/>
      <c r="DR273" s="399"/>
    </row>
    <row r="274" spans="2:122" s="480" customFormat="1" x14ac:dyDescent="0.2">
      <c r="B274" s="741"/>
      <c r="C274" s="1511"/>
      <c r="D274" s="1511"/>
      <c r="E274" s="1511"/>
      <c r="F274" s="1511"/>
      <c r="G274" s="1511"/>
      <c r="H274" s="1511"/>
      <c r="I274" s="1511"/>
      <c r="J274" s="1511"/>
      <c r="K274" s="1511"/>
      <c r="L274" s="1511"/>
      <c r="M274" s="1511"/>
      <c r="N274" s="1511"/>
      <c r="O274" s="1506"/>
      <c r="P274" s="1301"/>
      <c r="Q274" s="1301"/>
      <c r="R274" s="1301"/>
      <c r="S274" s="1302"/>
      <c r="T274" s="481"/>
      <c r="U274" s="481"/>
      <c r="V274" s="481"/>
      <c r="W274" s="481"/>
      <c r="X274" s="481"/>
      <c r="Y274" s="481"/>
      <c r="Z274" s="481"/>
      <c r="AA274" s="481"/>
      <c r="AB274" s="481"/>
      <c r="CQ274" s="399"/>
      <c r="CR274" s="399"/>
      <c r="CS274" s="399"/>
      <c r="CT274" s="399"/>
      <c r="CU274" s="483"/>
      <c r="CV274" s="483"/>
      <c r="CW274" s="399"/>
      <c r="CX274" s="399"/>
      <c r="CY274" s="399"/>
      <c r="CZ274" s="399"/>
      <c r="DA274" s="399"/>
      <c r="DB274" s="399"/>
      <c r="DC274" s="399"/>
      <c r="DD274" s="399"/>
      <c r="DE274" s="399"/>
      <c r="DF274" s="399"/>
      <c r="DG274" s="399"/>
      <c r="DH274" s="399"/>
      <c r="DI274" s="399"/>
      <c r="DJ274" s="399"/>
      <c r="DK274" s="399"/>
      <c r="DL274" s="399"/>
      <c r="DM274" s="399"/>
      <c r="DN274" s="399"/>
      <c r="DO274" s="399"/>
      <c r="DP274" s="399"/>
      <c r="DQ274" s="399"/>
      <c r="DR274" s="399"/>
    </row>
    <row r="275" spans="2:122" s="480" customFormat="1" x14ac:dyDescent="0.2">
      <c r="B275" s="741"/>
      <c r="C275" s="1511"/>
      <c r="D275" s="1511"/>
      <c r="E275" s="1511"/>
      <c r="F275" s="1511"/>
      <c r="G275" s="1511"/>
      <c r="H275" s="1511"/>
      <c r="I275" s="1511"/>
      <c r="J275" s="1511"/>
      <c r="K275" s="1511"/>
      <c r="L275" s="1511"/>
      <c r="M275" s="1511"/>
      <c r="N275" s="1511"/>
      <c r="O275" s="1506"/>
      <c r="P275" s="1301"/>
      <c r="Q275" s="1301"/>
      <c r="R275" s="1301"/>
      <c r="S275" s="1302"/>
      <c r="T275" s="481"/>
      <c r="U275" s="481"/>
      <c r="V275" s="481"/>
      <c r="W275" s="481"/>
      <c r="X275" s="481"/>
      <c r="Y275" s="481"/>
      <c r="Z275" s="481"/>
      <c r="AA275" s="481"/>
      <c r="AB275" s="481"/>
      <c r="CQ275" s="399"/>
      <c r="CR275" s="399"/>
      <c r="CS275" s="399"/>
      <c r="CT275" s="399"/>
      <c r="CU275" s="483"/>
      <c r="CV275" s="483"/>
      <c r="CW275" s="399"/>
      <c r="CX275" s="399"/>
      <c r="CY275" s="399"/>
      <c r="CZ275" s="399"/>
      <c r="DA275" s="399"/>
      <c r="DB275" s="399"/>
      <c r="DC275" s="399"/>
      <c r="DD275" s="399"/>
      <c r="DE275" s="399"/>
      <c r="DF275" s="399"/>
      <c r="DG275" s="399"/>
      <c r="DH275" s="399"/>
      <c r="DI275" s="399"/>
      <c r="DJ275" s="399"/>
      <c r="DK275" s="399"/>
      <c r="DL275" s="399"/>
      <c r="DM275" s="399"/>
      <c r="DN275" s="399"/>
      <c r="DO275" s="399"/>
      <c r="DP275" s="399"/>
      <c r="DQ275" s="399"/>
      <c r="DR275" s="399"/>
    </row>
    <row r="276" spans="2:122" s="480" customFormat="1" x14ac:dyDescent="0.2">
      <c r="B276" s="741"/>
      <c r="C276" s="1511"/>
      <c r="D276" s="1511"/>
      <c r="E276" s="1511"/>
      <c r="F276" s="1511"/>
      <c r="G276" s="1511"/>
      <c r="H276" s="1511"/>
      <c r="I276" s="1511"/>
      <c r="J276" s="1511"/>
      <c r="K276" s="1511"/>
      <c r="L276" s="1511"/>
      <c r="M276" s="1511"/>
      <c r="N276" s="1511"/>
      <c r="O276" s="1506"/>
      <c r="P276" s="1301"/>
      <c r="Q276" s="1301"/>
      <c r="R276" s="1301"/>
      <c r="S276" s="1302"/>
      <c r="T276" s="481"/>
      <c r="U276" s="481"/>
      <c r="V276" s="481"/>
      <c r="W276" s="481"/>
      <c r="X276" s="481"/>
      <c r="Y276" s="481"/>
      <c r="Z276" s="481"/>
      <c r="AA276" s="481"/>
      <c r="AB276" s="481"/>
      <c r="CQ276" s="399"/>
      <c r="CR276" s="399"/>
      <c r="CS276" s="399"/>
      <c r="CT276" s="399"/>
      <c r="CU276" s="483"/>
      <c r="CV276" s="483"/>
      <c r="CW276" s="399"/>
      <c r="CX276" s="399"/>
      <c r="CY276" s="399"/>
      <c r="CZ276" s="399"/>
      <c r="DA276" s="399"/>
      <c r="DB276" s="399"/>
      <c r="DC276" s="399"/>
      <c r="DD276" s="399"/>
      <c r="DE276" s="399"/>
      <c r="DF276" s="399"/>
      <c r="DG276" s="399"/>
      <c r="DH276" s="399"/>
      <c r="DI276" s="399"/>
      <c r="DJ276" s="399"/>
      <c r="DK276" s="399"/>
      <c r="DL276" s="399"/>
      <c r="DM276" s="399"/>
      <c r="DN276" s="399"/>
      <c r="DO276" s="399"/>
      <c r="DP276" s="399"/>
      <c r="DQ276" s="399"/>
      <c r="DR276" s="399"/>
    </row>
    <row r="277" spans="2:122" s="480" customFormat="1" x14ac:dyDescent="0.2">
      <c r="B277" s="741"/>
      <c r="C277" s="1511"/>
      <c r="D277" s="1511"/>
      <c r="E277" s="1511"/>
      <c r="F277" s="1511"/>
      <c r="G277" s="1511"/>
      <c r="H277" s="1511"/>
      <c r="I277" s="1511"/>
      <c r="J277" s="1511"/>
      <c r="K277" s="1511"/>
      <c r="L277" s="1511"/>
      <c r="M277" s="1511"/>
      <c r="N277" s="1511"/>
      <c r="O277" s="1506"/>
      <c r="P277" s="1301"/>
      <c r="Q277" s="1301"/>
      <c r="R277" s="1301"/>
      <c r="S277" s="1302"/>
      <c r="T277" s="481"/>
      <c r="U277" s="481"/>
      <c r="V277" s="481"/>
      <c r="W277" s="481"/>
      <c r="X277" s="481"/>
      <c r="Y277" s="481"/>
      <c r="Z277" s="481"/>
      <c r="AA277" s="481"/>
      <c r="AB277" s="481"/>
      <c r="CQ277" s="399"/>
      <c r="CR277" s="399"/>
      <c r="CS277" s="399"/>
      <c r="CT277" s="399"/>
      <c r="CU277" s="483"/>
      <c r="CV277" s="483"/>
      <c r="CW277" s="399"/>
      <c r="CX277" s="399"/>
      <c r="CY277" s="399"/>
      <c r="CZ277" s="399"/>
      <c r="DA277" s="399"/>
      <c r="DB277" s="399"/>
      <c r="DC277" s="399"/>
      <c r="DD277" s="399"/>
      <c r="DE277" s="399"/>
      <c r="DF277" s="399"/>
      <c r="DG277" s="399"/>
      <c r="DH277" s="399"/>
      <c r="DI277" s="399"/>
      <c r="DJ277" s="399"/>
      <c r="DK277" s="399"/>
      <c r="DL277" s="399"/>
      <c r="DM277" s="399"/>
      <c r="DN277" s="399"/>
      <c r="DO277" s="399"/>
      <c r="DP277" s="399"/>
      <c r="DQ277" s="399"/>
      <c r="DR277" s="399"/>
    </row>
    <row r="278" spans="2:122" s="480" customFormat="1" x14ac:dyDescent="0.2">
      <c r="B278" s="741"/>
      <c r="C278" s="1511"/>
      <c r="D278" s="1511"/>
      <c r="E278" s="1511"/>
      <c r="F278" s="1511"/>
      <c r="G278" s="1511"/>
      <c r="H278" s="1511"/>
      <c r="I278" s="1511"/>
      <c r="J278" s="1511"/>
      <c r="K278" s="1511"/>
      <c r="L278" s="1511"/>
      <c r="M278" s="1511"/>
      <c r="N278" s="1511"/>
      <c r="O278" s="1506"/>
      <c r="P278" s="1301"/>
      <c r="Q278" s="1301"/>
      <c r="R278" s="1301"/>
      <c r="S278" s="1302"/>
      <c r="T278" s="481"/>
      <c r="U278" s="481"/>
      <c r="V278" s="481"/>
      <c r="W278" s="481"/>
      <c r="X278" s="481"/>
      <c r="Y278" s="481"/>
      <c r="Z278" s="481"/>
      <c r="AA278" s="481"/>
      <c r="AB278" s="481"/>
      <c r="CQ278" s="399"/>
      <c r="CR278" s="399"/>
      <c r="CS278" s="399"/>
      <c r="CT278" s="399"/>
      <c r="CU278" s="483"/>
      <c r="CV278" s="483"/>
      <c r="CW278" s="399"/>
      <c r="CX278" s="399"/>
      <c r="CY278" s="399"/>
      <c r="CZ278" s="399"/>
      <c r="DA278" s="399"/>
      <c r="DB278" s="399"/>
      <c r="DC278" s="399"/>
      <c r="DD278" s="399"/>
      <c r="DE278" s="399"/>
      <c r="DF278" s="399"/>
      <c r="DG278" s="399"/>
      <c r="DH278" s="399"/>
      <c r="DI278" s="399"/>
      <c r="DJ278" s="399"/>
      <c r="DK278" s="399"/>
      <c r="DL278" s="399"/>
      <c r="DM278" s="399"/>
      <c r="DN278" s="399"/>
      <c r="DO278" s="399"/>
      <c r="DP278" s="399"/>
      <c r="DQ278" s="399"/>
      <c r="DR278" s="399"/>
    </row>
    <row r="279" spans="2:122" s="480" customFormat="1" x14ac:dyDescent="0.2">
      <c r="B279" s="741"/>
      <c r="C279" s="1511"/>
      <c r="D279" s="1511"/>
      <c r="E279" s="1511"/>
      <c r="F279" s="1511"/>
      <c r="G279" s="1511"/>
      <c r="H279" s="1511"/>
      <c r="I279" s="1511"/>
      <c r="J279" s="1511"/>
      <c r="K279" s="1511"/>
      <c r="L279" s="1511"/>
      <c r="M279" s="1511"/>
      <c r="N279" s="1511"/>
      <c r="O279" s="1506"/>
      <c r="P279" s="1301"/>
      <c r="Q279" s="1301"/>
      <c r="R279" s="1301"/>
      <c r="S279" s="1302"/>
      <c r="T279" s="481"/>
      <c r="U279" s="481"/>
      <c r="V279" s="481"/>
      <c r="W279" s="481"/>
      <c r="X279" s="481"/>
      <c r="Y279" s="481"/>
      <c r="Z279" s="481"/>
      <c r="AA279" s="481"/>
      <c r="AB279" s="481"/>
      <c r="CQ279" s="399"/>
      <c r="CR279" s="399"/>
      <c r="CS279" s="399"/>
      <c r="CT279" s="399"/>
      <c r="CU279" s="483"/>
      <c r="CV279" s="483"/>
      <c r="CW279" s="399"/>
      <c r="CX279" s="399"/>
      <c r="CY279" s="399"/>
      <c r="CZ279" s="399"/>
      <c r="DA279" s="399"/>
      <c r="DB279" s="399"/>
      <c r="DC279" s="399"/>
      <c r="DD279" s="399"/>
      <c r="DE279" s="399"/>
      <c r="DF279" s="399"/>
      <c r="DG279" s="399"/>
      <c r="DH279" s="399"/>
      <c r="DI279" s="399"/>
      <c r="DJ279" s="399"/>
      <c r="DK279" s="399"/>
      <c r="DL279" s="399"/>
      <c r="DM279" s="399"/>
      <c r="DN279" s="399"/>
      <c r="DO279" s="399"/>
      <c r="DP279" s="399"/>
      <c r="DQ279" s="399"/>
      <c r="DR279" s="399"/>
    </row>
    <row r="280" spans="2:122" s="480" customFormat="1" x14ac:dyDescent="0.2">
      <c r="B280" s="741"/>
      <c r="C280" s="1511"/>
      <c r="D280" s="1511"/>
      <c r="E280" s="1511"/>
      <c r="F280" s="1511"/>
      <c r="G280" s="1511"/>
      <c r="H280" s="1511"/>
      <c r="I280" s="1511"/>
      <c r="J280" s="1511"/>
      <c r="K280" s="1511"/>
      <c r="L280" s="1511"/>
      <c r="M280" s="1511"/>
      <c r="N280" s="1511"/>
      <c r="O280" s="1506"/>
      <c r="P280" s="1301"/>
      <c r="Q280" s="1301"/>
      <c r="R280" s="1301"/>
      <c r="S280" s="1302"/>
      <c r="T280" s="481"/>
      <c r="U280" s="481"/>
      <c r="V280" s="481"/>
      <c r="W280" s="481"/>
      <c r="X280" s="481"/>
      <c r="Y280" s="481"/>
      <c r="Z280" s="481"/>
      <c r="AA280" s="481"/>
      <c r="AB280" s="481"/>
      <c r="CQ280" s="399"/>
      <c r="CR280" s="399"/>
      <c r="CS280" s="399"/>
      <c r="CT280" s="399"/>
      <c r="CU280" s="483"/>
      <c r="CV280" s="483"/>
      <c r="CW280" s="399"/>
      <c r="CX280" s="399"/>
      <c r="CY280" s="399"/>
      <c r="CZ280" s="399"/>
      <c r="DA280" s="399"/>
      <c r="DB280" s="399"/>
      <c r="DC280" s="399"/>
      <c r="DD280" s="399"/>
      <c r="DE280" s="399"/>
      <c r="DF280" s="399"/>
      <c r="DG280" s="399"/>
      <c r="DH280" s="399"/>
      <c r="DI280" s="399"/>
      <c r="DJ280" s="399"/>
      <c r="DK280" s="399"/>
      <c r="DL280" s="399"/>
      <c r="DM280" s="399"/>
      <c r="DN280" s="399"/>
      <c r="DO280" s="399"/>
      <c r="DP280" s="399"/>
      <c r="DQ280" s="399"/>
      <c r="DR280" s="399"/>
    </row>
    <row r="281" spans="2:122" s="480" customFormat="1" x14ac:dyDescent="0.2">
      <c r="B281" s="741"/>
      <c r="C281" s="1511"/>
      <c r="D281" s="1511"/>
      <c r="E281" s="1511"/>
      <c r="F281" s="1511"/>
      <c r="G281" s="1511"/>
      <c r="H281" s="1511"/>
      <c r="I281" s="1511"/>
      <c r="J281" s="1511"/>
      <c r="K281" s="1511"/>
      <c r="L281" s="1511"/>
      <c r="M281" s="1511"/>
      <c r="N281" s="1511"/>
      <c r="O281" s="1506"/>
      <c r="P281" s="1301"/>
      <c r="Q281" s="1301"/>
      <c r="R281" s="1301"/>
      <c r="S281" s="1302"/>
      <c r="T281" s="481"/>
      <c r="U281" s="481"/>
      <c r="V281" s="481"/>
      <c r="W281" s="481"/>
      <c r="X281" s="481"/>
      <c r="Y281" s="481"/>
      <c r="Z281" s="481"/>
      <c r="AA281" s="481"/>
      <c r="AB281" s="481"/>
      <c r="CQ281" s="399"/>
      <c r="CR281" s="399"/>
      <c r="CS281" s="399"/>
      <c r="CT281" s="399"/>
      <c r="CU281" s="483"/>
      <c r="CV281" s="483"/>
      <c r="CW281" s="399"/>
      <c r="CX281" s="399"/>
      <c r="CY281" s="399"/>
      <c r="CZ281" s="399"/>
      <c r="DA281" s="399"/>
      <c r="DB281" s="399"/>
      <c r="DC281" s="399"/>
      <c r="DD281" s="399"/>
      <c r="DE281" s="399"/>
      <c r="DF281" s="399"/>
      <c r="DG281" s="399"/>
      <c r="DH281" s="399"/>
      <c r="DI281" s="399"/>
      <c r="DJ281" s="399"/>
      <c r="DK281" s="399"/>
      <c r="DL281" s="399"/>
      <c r="DM281" s="399"/>
      <c r="DN281" s="399"/>
      <c r="DO281" s="399"/>
      <c r="DP281" s="399"/>
      <c r="DQ281" s="399"/>
      <c r="DR281" s="399"/>
    </row>
    <row r="282" spans="2:122" s="480" customFormat="1" x14ac:dyDescent="0.2">
      <c r="B282" s="741"/>
      <c r="C282" s="1511"/>
      <c r="D282" s="1511"/>
      <c r="E282" s="1511"/>
      <c r="F282" s="1511"/>
      <c r="G282" s="1511"/>
      <c r="H282" s="1511"/>
      <c r="I282" s="1511"/>
      <c r="J282" s="1511"/>
      <c r="K282" s="1511"/>
      <c r="L282" s="1511"/>
      <c r="M282" s="1511"/>
      <c r="N282" s="1511"/>
      <c r="O282" s="1506"/>
      <c r="P282" s="1301"/>
      <c r="Q282" s="1301"/>
      <c r="R282" s="1301"/>
      <c r="S282" s="1302"/>
      <c r="T282" s="481"/>
      <c r="U282" s="481"/>
      <c r="V282" s="481"/>
      <c r="W282" s="481"/>
      <c r="X282" s="481"/>
      <c r="Y282" s="481"/>
      <c r="Z282" s="481"/>
      <c r="AA282" s="481"/>
      <c r="AB282" s="481"/>
      <c r="CQ282" s="399"/>
      <c r="CR282" s="399"/>
      <c r="CS282" s="399"/>
      <c r="CT282" s="399"/>
      <c r="CU282" s="483"/>
      <c r="CV282" s="483"/>
      <c r="CW282" s="399"/>
      <c r="CX282" s="399"/>
      <c r="CY282" s="399"/>
      <c r="CZ282" s="399"/>
      <c r="DA282" s="399"/>
      <c r="DB282" s="399"/>
      <c r="DC282" s="399"/>
      <c r="DD282" s="399"/>
      <c r="DE282" s="399"/>
      <c r="DF282" s="399"/>
      <c r="DG282" s="399"/>
      <c r="DH282" s="399"/>
      <c r="DI282" s="399"/>
      <c r="DJ282" s="399"/>
      <c r="DK282" s="399"/>
      <c r="DL282" s="399"/>
      <c r="DM282" s="399"/>
      <c r="DN282" s="399"/>
      <c r="DO282" s="399"/>
      <c r="DP282" s="399"/>
      <c r="DQ282" s="399"/>
      <c r="DR282" s="399"/>
    </row>
    <row r="283" spans="2:122" s="480" customFormat="1" x14ac:dyDescent="0.2">
      <c r="B283" s="741"/>
      <c r="C283" s="1511"/>
      <c r="D283" s="1511"/>
      <c r="E283" s="1511"/>
      <c r="F283" s="1511"/>
      <c r="G283" s="1511"/>
      <c r="H283" s="1511"/>
      <c r="I283" s="1511"/>
      <c r="J283" s="1511"/>
      <c r="K283" s="1511"/>
      <c r="L283" s="1511"/>
      <c r="M283" s="1511"/>
      <c r="N283" s="1511"/>
      <c r="O283" s="1506"/>
      <c r="P283" s="1301"/>
      <c r="Q283" s="1301"/>
      <c r="R283" s="1301"/>
      <c r="S283" s="1302"/>
      <c r="T283" s="481"/>
      <c r="U283" s="481"/>
      <c r="V283" s="481"/>
      <c r="W283" s="481"/>
      <c r="X283" s="481"/>
      <c r="Y283" s="481"/>
      <c r="Z283" s="481"/>
      <c r="AA283" s="481"/>
      <c r="AB283" s="481"/>
      <c r="CQ283" s="399"/>
      <c r="CR283" s="399"/>
      <c r="CS283" s="399"/>
      <c r="CT283" s="399"/>
      <c r="CU283" s="483"/>
      <c r="CV283" s="483"/>
      <c r="CW283" s="399"/>
      <c r="CX283" s="399"/>
      <c r="CY283" s="399"/>
      <c r="CZ283" s="399"/>
      <c r="DA283" s="399"/>
      <c r="DB283" s="399"/>
      <c r="DC283" s="399"/>
      <c r="DD283" s="399"/>
      <c r="DE283" s="399"/>
      <c r="DF283" s="399"/>
      <c r="DG283" s="399"/>
      <c r="DH283" s="399"/>
      <c r="DI283" s="399"/>
      <c r="DJ283" s="399"/>
      <c r="DK283" s="399"/>
      <c r="DL283" s="399"/>
      <c r="DM283" s="399"/>
      <c r="DN283" s="399"/>
      <c r="DO283" s="399"/>
      <c r="DP283" s="399"/>
      <c r="DQ283" s="399"/>
      <c r="DR283" s="399"/>
    </row>
    <row r="284" spans="2:122" s="480" customFormat="1" x14ac:dyDescent="0.2">
      <c r="B284" s="741"/>
      <c r="C284" s="1511"/>
      <c r="D284" s="1511"/>
      <c r="E284" s="1511"/>
      <c r="F284" s="1511"/>
      <c r="G284" s="1511"/>
      <c r="H284" s="1511"/>
      <c r="I284" s="1511"/>
      <c r="J284" s="1511"/>
      <c r="K284" s="1511"/>
      <c r="L284" s="1511"/>
      <c r="M284" s="1511"/>
      <c r="N284" s="1511"/>
      <c r="O284" s="1506"/>
      <c r="P284" s="1301"/>
      <c r="Q284" s="1301"/>
      <c r="R284" s="1301"/>
      <c r="S284" s="1302"/>
      <c r="T284" s="481"/>
      <c r="U284" s="481"/>
      <c r="V284" s="481"/>
      <c r="W284" s="481"/>
      <c r="X284" s="481"/>
      <c r="Y284" s="481"/>
      <c r="Z284" s="481"/>
      <c r="AA284" s="481"/>
      <c r="AB284" s="481"/>
      <c r="CQ284" s="399"/>
      <c r="CR284" s="399"/>
      <c r="CS284" s="399"/>
      <c r="CT284" s="399"/>
      <c r="CU284" s="483"/>
      <c r="CV284" s="483"/>
      <c r="CW284" s="399"/>
      <c r="CX284" s="399"/>
      <c r="CY284" s="399"/>
      <c r="CZ284" s="399"/>
      <c r="DA284" s="399"/>
      <c r="DB284" s="399"/>
      <c r="DC284" s="399"/>
      <c r="DD284" s="399"/>
      <c r="DE284" s="399"/>
      <c r="DF284" s="399"/>
      <c r="DG284" s="399"/>
      <c r="DH284" s="399"/>
      <c r="DI284" s="399"/>
      <c r="DJ284" s="399"/>
      <c r="DK284" s="399"/>
      <c r="DL284" s="399"/>
      <c r="DM284" s="399"/>
      <c r="DN284" s="399"/>
      <c r="DO284" s="399"/>
      <c r="DP284" s="399"/>
      <c r="DQ284" s="399"/>
      <c r="DR284" s="399"/>
    </row>
    <row r="285" spans="2:122" s="480" customFormat="1" x14ac:dyDescent="0.2">
      <c r="B285" s="741"/>
      <c r="C285" s="1511"/>
      <c r="D285" s="1511"/>
      <c r="E285" s="1511"/>
      <c r="F285" s="1511"/>
      <c r="G285" s="1511"/>
      <c r="H285" s="1511"/>
      <c r="I285" s="1511"/>
      <c r="J285" s="1511"/>
      <c r="K285" s="1511"/>
      <c r="L285" s="1511"/>
      <c r="M285" s="1511"/>
      <c r="N285" s="1511"/>
      <c r="O285" s="1506"/>
      <c r="P285" s="1301"/>
      <c r="Q285" s="1301"/>
      <c r="R285" s="1301"/>
      <c r="S285" s="1302"/>
      <c r="T285" s="481"/>
      <c r="U285" s="481"/>
      <c r="V285" s="481"/>
      <c r="W285" s="481"/>
      <c r="X285" s="481"/>
      <c r="Y285" s="481"/>
      <c r="Z285" s="481"/>
      <c r="AA285" s="481"/>
      <c r="AB285" s="481"/>
      <c r="CQ285" s="399"/>
      <c r="CR285" s="399"/>
      <c r="CS285" s="399"/>
      <c r="CT285" s="399"/>
      <c r="CU285" s="483"/>
      <c r="CV285" s="483"/>
      <c r="CW285" s="399"/>
      <c r="CX285" s="399"/>
      <c r="CY285" s="399"/>
      <c r="CZ285" s="399"/>
      <c r="DA285" s="399"/>
      <c r="DB285" s="399"/>
      <c r="DC285" s="399"/>
      <c r="DD285" s="399"/>
      <c r="DE285" s="399"/>
      <c r="DF285" s="399"/>
      <c r="DG285" s="399"/>
      <c r="DH285" s="399"/>
      <c r="DI285" s="399"/>
      <c r="DJ285" s="399"/>
      <c r="DK285" s="399"/>
      <c r="DL285" s="399"/>
      <c r="DM285" s="399"/>
      <c r="DN285" s="399"/>
      <c r="DO285" s="399"/>
      <c r="DP285" s="399"/>
      <c r="DQ285" s="399"/>
      <c r="DR285" s="399"/>
    </row>
    <row r="286" spans="2:122" s="480" customFormat="1" x14ac:dyDescent="0.2">
      <c r="B286" s="741"/>
      <c r="C286" s="1511"/>
      <c r="D286" s="1511"/>
      <c r="E286" s="1511"/>
      <c r="F286" s="1511"/>
      <c r="G286" s="1511"/>
      <c r="H286" s="1511"/>
      <c r="I286" s="1511"/>
      <c r="J286" s="1511"/>
      <c r="K286" s="1511"/>
      <c r="L286" s="1511"/>
      <c r="M286" s="1511"/>
      <c r="N286" s="1511"/>
      <c r="O286" s="1506"/>
      <c r="P286" s="1301"/>
      <c r="Q286" s="1301"/>
      <c r="R286" s="1301"/>
      <c r="S286" s="1302"/>
      <c r="T286" s="481"/>
      <c r="U286" s="481"/>
      <c r="V286" s="481"/>
      <c r="W286" s="481"/>
      <c r="X286" s="481"/>
      <c r="Y286" s="481"/>
      <c r="Z286" s="481"/>
      <c r="AA286" s="481"/>
      <c r="AB286" s="481"/>
      <c r="CQ286" s="399"/>
      <c r="CR286" s="399"/>
      <c r="CS286" s="399"/>
      <c r="CT286" s="399"/>
      <c r="CU286" s="483"/>
      <c r="CV286" s="483"/>
      <c r="CW286" s="399"/>
      <c r="CX286" s="399"/>
      <c r="CY286" s="399"/>
      <c r="CZ286" s="399"/>
      <c r="DA286" s="399"/>
      <c r="DB286" s="399"/>
      <c r="DC286" s="399"/>
      <c r="DD286" s="399"/>
      <c r="DE286" s="399"/>
      <c r="DF286" s="399"/>
      <c r="DG286" s="399"/>
      <c r="DH286" s="399"/>
      <c r="DI286" s="399"/>
      <c r="DJ286" s="399"/>
      <c r="DK286" s="399"/>
      <c r="DL286" s="399"/>
      <c r="DM286" s="399"/>
      <c r="DN286" s="399"/>
      <c r="DO286" s="399"/>
      <c r="DP286" s="399"/>
      <c r="DQ286" s="399"/>
      <c r="DR286" s="399"/>
    </row>
    <row r="287" spans="2:122" s="480" customFormat="1" x14ac:dyDescent="0.2">
      <c r="B287" s="741"/>
      <c r="C287" s="1511"/>
      <c r="D287" s="1511"/>
      <c r="E287" s="1511"/>
      <c r="F287" s="1511"/>
      <c r="G287" s="1511"/>
      <c r="H287" s="1511"/>
      <c r="I287" s="1511"/>
      <c r="J287" s="1511"/>
      <c r="K287" s="1511"/>
      <c r="L287" s="1511"/>
      <c r="M287" s="1511"/>
      <c r="N287" s="1511"/>
      <c r="O287" s="1506"/>
      <c r="P287" s="1301"/>
      <c r="Q287" s="1301"/>
      <c r="R287" s="1301"/>
      <c r="S287" s="1302"/>
      <c r="T287" s="481"/>
      <c r="U287" s="481"/>
      <c r="V287" s="481"/>
      <c r="W287" s="481"/>
      <c r="X287" s="481"/>
      <c r="Y287" s="481"/>
      <c r="Z287" s="481"/>
      <c r="AA287" s="481"/>
      <c r="AB287" s="481"/>
      <c r="CQ287" s="399"/>
      <c r="CR287" s="399"/>
      <c r="CS287" s="399"/>
      <c r="CT287" s="399"/>
      <c r="CU287" s="483"/>
      <c r="CV287" s="483"/>
      <c r="CW287" s="399"/>
      <c r="CX287" s="399"/>
      <c r="CY287" s="399"/>
      <c r="CZ287" s="399"/>
      <c r="DA287" s="399"/>
      <c r="DB287" s="399"/>
      <c r="DC287" s="399"/>
      <c r="DD287" s="399"/>
      <c r="DE287" s="399"/>
      <c r="DF287" s="399"/>
      <c r="DG287" s="399"/>
      <c r="DH287" s="399"/>
      <c r="DI287" s="399"/>
      <c r="DJ287" s="399"/>
      <c r="DK287" s="399"/>
      <c r="DL287" s="399"/>
      <c r="DM287" s="399"/>
      <c r="DN287" s="399"/>
      <c r="DO287" s="399"/>
      <c r="DP287" s="399"/>
      <c r="DQ287" s="399"/>
      <c r="DR287" s="399"/>
    </row>
    <row r="288" spans="2:122" s="480" customFormat="1" x14ac:dyDescent="0.2">
      <c r="B288" s="741"/>
      <c r="C288" s="1511"/>
      <c r="D288" s="1511"/>
      <c r="E288" s="1511"/>
      <c r="F288" s="1511"/>
      <c r="G288" s="1511"/>
      <c r="H288" s="1511"/>
      <c r="I288" s="1511"/>
      <c r="J288" s="1511"/>
      <c r="K288" s="1511"/>
      <c r="L288" s="1511"/>
      <c r="M288" s="1511"/>
      <c r="N288" s="1511"/>
      <c r="O288" s="1506"/>
      <c r="P288" s="1301"/>
      <c r="Q288" s="1301"/>
      <c r="R288" s="1301"/>
      <c r="S288" s="1302"/>
      <c r="T288" s="481"/>
      <c r="U288" s="481"/>
      <c r="V288" s="481"/>
      <c r="W288" s="481"/>
      <c r="X288" s="481"/>
      <c r="Y288" s="481"/>
      <c r="Z288" s="481"/>
      <c r="AA288" s="481"/>
      <c r="AB288" s="481"/>
      <c r="CQ288" s="399"/>
      <c r="CR288" s="399"/>
      <c r="CS288" s="399"/>
      <c r="CT288" s="399"/>
      <c r="CU288" s="483"/>
      <c r="CV288" s="483"/>
      <c r="CW288" s="399"/>
      <c r="CX288" s="399"/>
      <c r="CY288" s="399"/>
      <c r="CZ288" s="399"/>
      <c r="DA288" s="399"/>
      <c r="DB288" s="399"/>
      <c r="DC288" s="399"/>
      <c r="DD288" s="399"/>
      <c r="DE288" s="399"/>
      <c r="DF288" s="399"/>
      <c r="DG288" s="399"/>
      <c r="DH288" s="399"/>
      <c r="DI288" s="399"/>
      <c r="DJ288" s="399"/>
      <c r="DK288" s="399"/>
      <c r="DL288" s="399"/>
      <c r="DM288" s="399"/>
      <c r="DN288" s="399"/>
      <c r="DO288" s="399"/>
      <c r="DP288" s="399"/>
      <c r="DQ288" s="399"/>
      <c r="DR288" s="399"/>
    </row>
    <row r="289" spans="2:122" s="480" customFormat="1" x14ac:dyDescent="0.2">
      <c r="B289" s="741"/>
      <c r="C289" s="1511"/>
      <c r="D289" s="1511"/>
      <c r="E289" s="1511"/>
      <c r="F289" s="1511"/>
      <c r="G289" s="1511"/>
      <c r="H289" s="1511"/>
      <c r="I289" s="1511"/>
      <c r="J289" s="1511"/>
      <c r="K289" s="1511"/>
      <c r="L289" s="1511"/>
      <c r="M289" s="1511"/>
      <c r="N289" s="1511"/>
      <c r="O289" s="1506"/>
      <c r="P289" s="1301"/>
      <c r="Q289" s="1301"/>
      <c r="R289" s="1301"/>
      <c r="S289" s="1302"/>
      <c r="T289" s="481"/>
      <c r="U289" s="481"/>
      <c r="V289" s="481"/>
      <c r="W289" s="481"/>
      <c r="X289" s="481"/>
      <c r="Y289" s="481"/>
      <c r="Z289" s="481"/>
      <c r="AA289" s="481"/>
      <c r="AB289" s="481"/>
      <c r="CQ289" s="399"/>
      <c r="CR289" s="399"/>
      <c r="CS289" s="399"/>
      <c r="CT289" s="399"/>
      <c r="CU289" s="483"/>
      <c r="CV289" s="483"/>
      <c r="CW289" s="399"/>
      <c r="CX289" s="399"/>
      <c r="CY289" s="399"/>
      <c r="CZ289" s="399"/>
      <c r="DA289" s="399"/>
      <c r="DB289" s="399"/>
      <c r="DC289" s="399"/>
      <c r="DD289" s="399"/>
      <c r="DE289" s="399"/>
      <c r="DF289" s="399"/>
      <c r="DG289" s="399"/>
      <c r="DH289" s="399"/>
      <c r="DI289" s="399"/>
      <c r="DJ289" s="399"/>
      <c r="DK289" s="399"/>
      <c r="DL289" s="399"/>
      <c r="DM289" s="399"/>
      <c r="DN289" s="399"/>
      <c r="DO289" s="399"/>
      <c r="DP289" s="399"/>
      <c r="DQ289" s="399"/>
      <c r="DR289" s="399"/>
    </row>
    <row r="290" spans="2:122" s="480" customFormat="1" x14ac:dyDescent="0.2">
      <c r="B290" s="741"/>
      <c r="C290" s="1511"/>
      <c r="D290" s="1511"/>
      <c r="E290" s="1511"/>
      <c r="F290" s="1511"/>
      <c r="G290" s="1511"/>
      <c r="H290" s="1511"/>
      <c r="I290" s="1511"/>
      <c r="J290" s="1511"/>
      <c r="K290" s="1511"/>
      <c r="L290" s="1511"/>
      <c r="M290" s="1511"/>
      <c r="N290" s="1511"/>
      <c r="O290" s="1506"/>
      <c r="P290" s="1301"/>
      <c r="Q290" s="1301"/>
      <c r="R290" s="1301"/>
      <c r="S290" s="1302"/>
      <c r="T290" s="481"/>
      <c r="U290" s="481"/>
      <c r="V290" s="481"/>
      <c r="W290" s="481"/>
      <c r="X290" s="481"/>
      <c r="Y290" s="481"/>
      <c r="Z290" s="481"/>
      <c r="AA290" s="481"/>
      <c r="AB290" s="481"/>
      <c r="CQ290" s="399"/>
      <c r="CR290" s="399"/>
      <c r="CS290" s="399"/>
      <c r="CT290" s="399"/>
      <c r="CU290" s="483"/>
      <c r="CV290" s="483"/>
      <c r="CW290" s="399"/>
      <c r="CX290" s="399"/>
      <c r="CY290" s="399"/>
      <c r="CZ290" s="399"/>
      <c r="DA290" s="399"/>
      <c r="DB290" s="399"/>
      <c r="DC290" s="399"/>
      <c r="DD290" s="399"/>
      <c r="DE290" s="399"/>
      <c r="DF290" s="399"/>
      <c r="DG290" s="399"/>
      <c r="DH290" s="399"/>
      <c r="DI290" s="399"/>
      <c r="DJ290" s="399"/>
      <c r="DK290" s="399"/>
      <c r="DL290" s="399"/>
      <c r="DM290" s="399"/>
      <c r="DN290" s="399"/>
      <c r="DO290" s="399"/>
      <c r="DP290" s="399"/>
      <c r="DQ290" s="399"/>
      <c r="DR290" s="399"/>
    </row>
    <row r="291" spans="2:122" s="480" customFormat="1" x14ac:dyDescent="0.2">
      <c r="B291" s="741"/>
      <c r="C291" s="1511"/>
      <c r="D291" s="1511"/>
      <c r="E291" s="1511"/>
      <c r="F291" s="1511"/>
      <c r="G291" s="1511"/>
      <c r="H291" s="1511"/>
      <c r="I291" s="1511"/>
      <c r="J291" s="1511"/>
      <c r="K291" s="1511"/>
      <c r="L291" s="1511"/>
      <c r="M291" s="1511"/>
      <c r="N291" s="1511"/>
      <c r="O291" s="1506"/>
      <c r="P291" s="1301"/>
      <c r="Q291" s="1301"/>
      <c r="R291" s="1301"/>
      <c r="S291" s="1302"/>
      <c r="T291" s="481"/>
      <c r="U291" s="481"/>
      <c r="V291" s="481"/>
      <c r="W291" s="481"/>
      <c r="X291" s="481"/>
      <c r="Y291" s="481"/>
      <c r="Z291" s="481"/>
      <c r="AA291" s="481"/>
      <c r="AB291" s="481"/>
      <c r="CQ291" s="399"/>
      <c r="CR291" s="399"/>
      <c r="CS291" s="399"/>
      <c r="CT291" s="399"/>
      <c r="CU291" s="483"/>
      <c r="CV291" s="483"/>
      <c r="CW291" s="399"/>
      <c r="CX291" s="399"/>
      <c r="CY291" s="399"/>
      <c r="CZ291" s="399"/>
      <c r="DA291" s="399"/>
      <c r="DB291" s="399"/>
      <c r="DC291" s="399"/>
      <c r="DD291" s="399"/>
      <c r="DE291" s="399"/>
      <c r="DF291" s="399"/>
      <c r="DG291" s="399"/>
      <c r="DH291" s="399"/>
      <c r="DI291" s="399"/>
      <c r="DJ291" s="399"/>
      <c r="DK291" s="399"/>
      <c r="DL291" s="399"/>
      <c r="DM291" s="399"/>
      <c r="DN291" s="399"/>
      <c r="DO291" s="399"/>
      <c r="DP291" s="399"/>
      <c r="DQ291" s="399"/>
      <c r="DR291" s="399"/>
    </row>
    <row r="292" spans="2:122" s="480" customFormat="1" x14ac:dyDescent="0.2">
      <c r="B292" s="741"/>
      <c r="C292" s="1511"/>
      <c r="D292" s="1511"/>
      <c r="E292" s="1511"/>
      <c r="F292" s="1511"/>
      <c r="G292" s="1511"/>
      <c r="H292" s="1511"/>
      <c r="I292" s="1511"/>
      <c r="J292" s="1511"/>
      <c r="K292" s="1511"/>
      <c r="L292" s="1511"/>
      <c r="M292" s="1511"/>
      <c r="N292" s="1511"/>
      <c r="O292" s="1506"/>
      <c r="P292" s="1301"/>
      <c r="Q292" s="1301"/>
      <c r="R292" s="1301"/>
      <c r="S292" s="1302"/>
      <c r="T292" s="481"/>
      <c r="U292" s="481"/>
      <c r="V292" s="481"/>
      <c r="W292" s="481"/>
      <c r="X292" s="481"/>
      <c r="Y292" s="481"/>
      <c r="Z292" s="481"/>
      <c r="AA292" s="481"/>
      <c r="AB292" s="481"/>
      <c r="CQ292" s="399"/>
      <c r="CR292" s="399"/>
      <c r="CS292" s="399"/>
      <c r="CT292" s="399"/>
      <c r="CU292" s="483"/>
      <c r="CV292" s="483"/>
      <c r="CW292" s="399"/>
      <c r="CX292" s="399"/>
      <c r="CY292" s="399"/>
      <c r="CZ292" s="399"/>
      <c r="DA292" s="399"/>
      <c r="DB292" s="399"/>
      <c r="DC292" s="399"/>
      <c r="DD292" s="399"/>
      <c r="DE292" s="399"/>
      <c r="DF292" s="399"/>
      <c r="DG292" s="399"/>
      <c r="DH292" s="399"/>
      <c r="DI292" s="399"/>
      <c r="DJ292" s="399"/>
      <c r="DK292" s="399"/>
      <c r="DL292" s="399"/>
      <c r="DM292" s="399"/>
      <c r="DN292" s="399"/>
      <c r="DO292" s="399"/>
      <c r="DP292" s="399"/>
      <c r="DQ292" s="399"/>
      <c r="DR292" s="399"/>
    </row>
    <row r="293" spans="2:122" s="480" customFormat="1" x14ac:dyDescent="0.2">
      <c r="B293" s="741"/>
      <c r="C293" s="1511"/>
      <c r="D293" s="1511"/>
      <c r="E293" s="1511"/>
      <c r="F293" s="1511"/>
      <c r="G293" s="1511"/>
      <c r="H293" s="1511"/>
      <c r="I293" s="1511"/>
      <c r="J293" s="1511"/>
      <c r="K293" s="1511"/>
      <c r="L293" s="1511"/>
      <c r="M293" s="1511"/>
      <c r="N293" s="1511"/>
      <c r="O293" s="1506"/>
      <c r="P293" s="1301"/>
      <c r="Q293" s="1301"/>
      <c r="R293" s="1301"/>
      <c r="S293" s="1302"/>
      <c r="T293" s="481"/>
      <c r="U293" s="481"/>
      <c r="V293" s="481"/>
      <c r="W293" s="481"/>
      <c r="X293" s="481"/>
      <c r="Y293" s="481"/>
      <c r="Z293" s="481"/>
      <c r="AA293" s="481"/>
      <c r="AB293" s="481"/>
      <c r="CQ293" s="399"/>
      <c r="CR293" s="399"/>
      <c r="CS293" s="399"/>
      <c r="CT293" s="399"/>
      <c r="CU293" s="483"/>
      <c r="CV293" s="483"/>
      <c r="CW293" s="399"/>
      <c r="CX293" s="399"/>
      <c r="CY293" s="399"/>
      <c r="CZ293" s="399"/>
      <c r="DA293" s="399"/>
      <c r="DB293" s="399"/>
      <c r="DC293" s="399"/>
      <c r="DD293" s="399"/>
      <c r="DE293" s="399"/>
      <c r="DF293" s="399"/>
      <c r="DG293" s="399"/>
      <c r="DH293" s="399"/>
      <c r="DI293" s="399"/>
      <c r="DJ293" s="399"/>
      <c r="DK293" s="399"/>
      <c r="DL293" s="399"/>
      <c r="DM293" s="399"/>
      <c r="DN293" s="399"/>
      <c r="DO293" s="399"/>
      <c r="DP293" s="399"/>
      <c r="DQ293" s="399"/>
      <c r="DR293" s="399"/>
    </row>
    <row r="294" spans="2:122" s="480" customFormat="1" x14ac:dyDescent="0.2">
      <c r="B294" s="741"/>
      <c r="C294" s="1511"/>
      <c r="D294" s="1511"/>
      <c r="E294" s="1511"/>
      <c r="F294" s="1511"/>
      <c r="G294" s="1511"/>
      <c r="H294" s="1511"/>
      <c r="I294" s="1511"/>
      <c r="J294" s="1511"/>
      <c r="K294" s="1511"/>
      <c r="L294" s="1511"/>
      <c r="M294" s="1511"/>
      <c r="N294" s="1511"/>
      <c r="O294" s="1506"/>
      <c r="P294" s="1301"/>
      <c r="Q294" s="1301"/>
      <c r="R294" s="1301"/>
      <c r="S294" s="1302"/>
      <c r="T294" s="481"/>
      <c r="U294" s="481"/>
      <c r="V294" s="481"/>
      <c r="W294" s="481"/>
      <c r="X294" s="481"/>
      <c r="Y294" s="481"/>
      <c r="Z294" s="481"/>
      <c r="AA294" s="481"/>
      <c r="AB294" s="481"/>
      <c r="CQ294" s="399"/>
      <c r="CR294" s="399"/>
      <c r="CS294" s="399"/>
      <c r="CT294" s="399"/>
      <c r="CU294" s="483"/>
      <c r="CV294" s="483"/>
      <c r="CW294" s="399"/>
      <c r="CX294" s="399"/>
      <c r="CY294" s="399"/>
      <c r="CZ294" s="399"/>
      <c r="DA294" s="399"/>
      <c r="DB294" s="399"/>
      <c r="DC294" s="399"/>
      <c r="DD294" s="399"/>
      <c r="DE294" s="399"/>
      <c r="DF294" s="399"/>
      <c r="DG294" s="399"/>
      <c r="DH294" s="399"/>
      <c r="DI294" s="399"/>
      <c r="DJ294" s="399"/>
      <c r="DK294" s="399"/>
      <c r="DL294" s="399"/>
      <c r="DM294" s="399"/>
      <c r="DN294" s="399"/>
      <c r="DO294" s="399"/>
      <c r="DP294" s="399"/>
      <c r="DQ294" s="399"/>
      <c r="DR294" s="399"/>
    </row>
    <row r="295" spans="2:122" s="480" customFormat="1" x14ac:dyDescent="0.2">
      <c r="B295" s="741"/>
      <c r="C295" s="1511"/>
      <c r="D295" s="1511"/>
      <c r="E295" s="1511"/>
      <c r="F295" s="1511"/>
      <c r="G295" s="1511"/>
      <c r="H295" s="1511"/>
      <c r="I295" s="1511"/>
      <c r="J295" s="1511"/>
      <c r="K295" s="1511"/>
      <c r="L295" s="1511"/>
      <c r="M295" s="1511"/>
      <c r="N295" s="1511"/>
      <c r="O295" s="1506"/>
      <c r="P295" s="1301"/>
      <c r="Q295" s="1301"/>
      <c r="R295" s="1301"/>
      <c r="S295" s="1302"/>
      <c r="T295" s="481"/>
      <c r="U295" s="481"/>
      <c r="V295" s="481"/>
      <c r="W295" s="481"/>
      <c r="X295" s="481"/>
      <c r="Y295" s="481"/>
      <c r="Z295" s="481"/>
      <c r="AA295" s="481"/>
      <c r="AB295" s="481"/>
      <c r="CQ295" s="399"/>
      <c r="CR295" s="399"/>
      <c r="CS295" s="399"/>
      <c r="CT295" s="399"/>
      <c r="CU295" s="483"/>
      <c r="CV295" s="483"/>
      <c r="CW295" s="399"/>
      <c r="CX295" s="399"/>
      <c r="CY295" s="399"/>
      <c r="CZ295" s="399"/>
      <c r="DA295" s="399"/>
      <c r="DB295" s="399"/>
      <c r="DC295" s="399"/>
      <c r="DD295" s="399"/>
      <c r="DE295" s="399"/>
      <c r="DF295" s="399"/>
      <c r="DG295" s="399"/>
      <c r="DH295" s="399"/>
      <c r="DI295" s="399"/>
      <c r="DJ295" s="399"/>
      <c r="DK295" s="399"/>
      <c r="DL295" s="399"/>
      <c r="DM295" s="399"/>
      <c r="DN295" s="399"/>
      <c r="DO295" s="399"/>
      <c r="DP295" s="399"/>
      <c r="DQ295" s="399"/>
      <c r="DR295" s="399"/>
    </row>
    <row r="296" spans="2:122" s="480" customFormat="1" x14ac:dyDescent="0.2">
      <c r="B296" s="741"/>
      <c r="C296" s="1511"/>
      <c r="D296" s="1511"/>
      <c r="E296" s="1511"/>
      <c r="F296" s="1511"/>
      <c r="G296" s="1511"/>
      <c r="H296" s="1511"/>
      <c r="I296" s="1511"/>
      <c r="J296" s="1511"/>
      <c r="K296" s="1511"/>
      <c r="L296" s="1511"/>
      <c r="M296" s="1511"/>
      <c r="N296" s="1511"/>
      <c r="O296" s="1506"/>
      <c r="P296" s="1301"/>
      <c r="Q296" s="1301"/>
      <c r="R296" s="1301"/>
      <c r="S296" s="1302"/>
      <c r="T296" s="481"/>
      <c r="U296" s="481"/>
      <c r="V296" s="481"/>
      <c r="W296" s="481"/>
      <c r="X296" s="481"/>
      <c r="Y296" s="481"/>
      <c r="Z296" s="481"/>
      <c r="AA296" s="481"/>
      <c r="AB296" s="481"/>
      <c r="CQ296" s="399"/>
      <c r="CR296" s="399"/>
      <c r="CS296" s="399"/>
      <c r="CT296" s="399"/>
      <c r="CU296" s="483"/>
      <c r="CV296" s="483"/>
      <c r="CW296" s="399"/>
      <c r="CX296" s="399"/>
      <c r="CY296" s="399"/>
      <c r="CZ296" s="399"/>
      <c r="DA296" s="399"/>
      <c r="DB296" s="399"/>
      <c r="DC296" s="399"/>
      <c r="DD296" s="399"/>
      <c r="DE296" s="399"/>
      <c r="DF296" s="399"/>
      <c r="DG296" s="399"/>
      <c r="DH296" s="399"/>
      <c r="DI296" s="399"/>
      <c r="DJ296" s="399"/>
      <c r="DK296" s="399"/>
      <c r="DL296" s="399"/>
      <c r="DM296" s="399"/>
      <c r="DN296" s="399"/>
      <c r="DO296" s="399"/>
      <c r="DP296" s="399"/>
      <c r="DQ296" s="399"/>
      <c r="DR296" s="399"/>
    </row>
    <row r="297" spans="2:122" s="480" customFormat="1" x14ac:dyDescent="0.2">
      <c r="B297" s="741"/>
      <c r="C297" s="1511"/>
      <c r="D297" s="1511"/>
      <c r="E297" s="1511"/>
      <c r="F297" s="1511"/>
      <c r="G297" s="1511"/>
      <c r="H297" s="1511"/>
      <c r="I297" s="1511"/>
      <c r="J297" s="1511"/>
      <c r="K297" s="1511"/>
      <c r="L297" s="1511"/>
      <c r="M297" s="1511"/>
      <c r="N297" s="1511"/>
      <c r="O297" s="1506"/>
      <c r="P297" s="1301"/>
      <c r="Q297" s="1301"/>
      <c r="R297" s="1301"/>
      <c r="S297" s="1302"/>
      <c r="T297" s="481"/>
      <c r="U297" s="481"/>
      <c r="V297" s="481"/>
      <c r="W297" s="481"/>
      <c r="X297" s="481"/>
      <c r="Y297" s="481"/>
      <c r="Z297" s="481"/>
      <c r="AA297" s="481"/>
      <c r="AB297" s="481"/>
      <c r="CQ297" s="399"/>
      <c r="CR297" s="399"/>
      <c r="CS297" s="399"/>
      <c r="CT297" s="399"/>
      <c r="CU297" s="483"/>
      <c r="CV297" s="483"/>
      <c r="CW297" s="399"/>
      <c r="CX297" s="399"/>
      <c r="CY297" s="399"/>
      <c r="CZ297" s="399"/>
      <c r="DA297" s="399"/>
      <c r="DB297" s="399"/>
      <c r="DC297" s="399"/>
      <c r="DD297" s="399"/>
      <c r="DE297" s="399"/>
      <c r="DF297" s="399"/>
      <c r="DG297" s="399"/>
      <c r="DH297" s="399"/>
      <c r="DI297" s="399"/>
      <c r="DJ297" s="399"/>
      <c r="DK297" s="399"/>
      <c r="DL297" s="399"/>
      <c r="DM297" s="399"/>
      <c r="DN297" s="399"/>
      <c r="DO297" s="399"/>
      <c r="DP297" s="399"/>
      <c r="DQ297" s="399"/>
      <c r="DR297" s="399"/>
    </row>
    <row r="298" spans="2:122" s="480" customFormat="1" x14ac:dyDescent="0.2">
      <c r="B298" s="741"/>
      <c r="C298" s="1511"/>
      <c r="D298" s="1511"/>
      <c r="E298" s="1511"/>
      <c r="F298" s="1511"/>
      <c r="G298" s="1511"/>
      <c r="H298" s="1511"/>
      <c r="I298" s="1511"/>
      <c r="J298" s="1511"/>
      <c r="K298" s="1511"/>
      <c r="L298" s="1511"/>
      <c r="M298" s="1511"/>
      <c r="N298" s="1511"/>
      <c r="O298" s="1506"/>
      <c r="P298" s="1301"/>
      <c r="Q298" s="1301"/>
      <c r="R298" s="1301"/>
      <c r="S298" s="1302"/>
      <c r="T298" s="481"/>
      <c r="U298" s="481"/>
      <c r="V298" s="481"/>
      <c r="W298" s="481"/>
      <c r="X298" s="481"/>
      <c r="Y298" s="481"/>
      <c r="Z298" s="481"/>
      <c r="AA298" s="481"/>
      <c r="AB298" s="481"/>
      <c r="CQ298" s="399"/>
      <c r="CR298" s="399"/>
      <c r="CS298" s="399"/>
      <c r="CT298" s="399"/>
      <c r="CU298" s="483"/>
      <c r="CV298" s="483"/>
      <c r="CW298" s="399"/>
      <c r="CX298" s="399"/>
      <c r="CY298" s="399"/>
      <c r="CZ298" s="399"/>
      <c r="DA298" s="399"/>
      <c r="DB298" s="399"/>
      <c r="DC298" s="399"/>
      <c r="DD298" s="399"/>
      <c r="DE298" s="399"/>
      <c r="DF298" s="399"/>
      <c r="DG298" s="399"/>
      <c r="DH298" s="399"/>
      <c r="DI298" s="399"/>
      <c r="DJ298" s="399"/>
      <c r="DK298" s="399"/>
      <c r="DL298" s="399"/>
      <c r="DM298" s="399"/>
      <c r="DN298" s="399"/>
      <c r="DO298" s="399"/>
      <c r="DP298" s="399"/>
      <c r="DQ298" s="399"/>
      <c r="DR298" s="399"/>
    </row>
    <row r="299" spans="2:122" s="480" customFormat="1" x14ac:dyDescent="0.2">
      <c r="B299" s="741"/>
      <c r="C299" s="1511"/>
      <c r="D299" s="1511"/>
      <c r="E299" s="1511"/>
      <c r="F299" s="1511"/>
      <c r="G299" s="1511"/>
      <c r="H299" s="1511"/>
      <c r="I299" s="1511"/>
      <c r="J299" s="1511"/>
      <c r="K299" s="1511"/>
      <c r="L299" s="1511"/>
      <c r="M299" s="1511"/>
      <c r="N299" s="1511"/>
      <c r="O299" s="1506"/>
      <c r="P299" s="1301"/>
      <c r="Q299" s="1301"/>
      <c r="R299" s="1301"/>
      <c r="S299" s="1302"/>
      <c r="T299" s="481"/>
      <c r="U299" s="481"/>
      <c r="V299" s="481"/>
      <c r="W299" s="481"/>
      <c r="X299" s="481"/>
      <c r="Y299" s="481"/>
      <c r="Z299" s="481"/>
      <c r="AA299" s="481"/>
      <c r="AB299" s="481"/>
      <c r="CQ299" s="399"/>
      <c r="CR299" s="399"/>
      <c r="CS299" s="399"/>
      <c r="CT299" s="399"/>
      <c r="CU299" s="483"/>
      <c r="CV299" s="483"/>
      <c r="CW299" s="399"/>
      <c r="CX299" s="399"/>
      <c r="CY299" s="399"/>
      <c r="CZ299" s="399"/>
      <c r="DA299" s="399"/>
      <c r="DB299" s="399"/>
      <c r="DC299" s="399"/>
      <c r="DD299" s="399"/>
      <c r="DE299" s="399"/>
      <c r="DF299" s="399"/>
      <c r="DG299" s="399"/>
      <c r="DH299" s="399"/>
      <c r="DI299" s="399"/>
      <c r="DJ299" s="399"/>
      <c r="DK299" s="399"/>
      <c r="DL299" s="399"/>
      <c r="DM299" s="399"/>
      <c r="DN299" s="399"/>
      <c r="DO299" s="399"/>
      <c r="DP299" s="399"/>
      <c r="DQ299" s="399"/>
      <c r="DR299" s="399"/>
    </row>
    <row r="300" spans="2:122" s="480" customFormat="1" x14ac:dyDescent="0.2">
      <c r="B300" s="741"/>
      <c r="C300" s="1511"/>
      <c r="D300" s="1511"/>
      <c r="E300" s="1511"/>
      <c r="F300" s="1511"/>
      <c r="G300" s="1511"/>
      <c r="H300" s="1511"/>
      <c r="I300" s="1511"/>
      <c r="J300" s="1511"/>
      <c r="K300" s="1511"/>
      <c r="L300" s="1511"/>
      <c r="M300" s="1511"/>
      <c r="N300" s="1511"/>
      <c r="O300" s="1506"/>
      <c r="P300" s="1301"/>
      <c r="Q300" s="1301"/>
      <c r="R300" s="1301"/>
      <c r="S300" s="1302"/>
      <c r="T300" s="481"/>
      <c r="U300" s="481"/>
      <c r="V300" s="481"/>
      <c r="W300" s="481"/>
      <c r="X300" s="481"/>
      <c r="Y300" s="481"/>
      <c r="Z300" s="481"/>
      <c r="AA300" s="481"/>
      <c r="AB300" s="481"/>
      <c r="CQ300" s="399"/>
      <c r="CR300" s="399"/>
      <c r="CS300" s="399"/>
      <c r="CT300" s="399"/>
      <c r="CU300" s="483"/>
      <c r="CV300" s="483"/>
      <c r="CW300" s="399"/>
      <c r="CX300" s="399"/>
      <c r="CY300" s="399"/>
      <c r="CZ300" s="399"/>
      <c r="DA300" s="399"/>
      <c r="DB300" s="399"/>
      <c r="DC300" s="399"/>
      <c r="DD300" s="399"/>
      <c r="DE300" s="399"/>
      <c r="DF300" s="399"/>
      <c r="DG300" s="399"/>
      <c r="DH300" s="399"/>
      <c r="DI300" s="399"/>
      <c r="DJ300" s="399"/>
      <c r="DK300" s="399"/>
      <c r="DL300" s="399"/>
      <c r="DM300" s="399"/>
      <c r="DN300" s="399"/>
      <c r="DO300" s="399"/>
      <c r="DP300" s="399"/>
      <c r="DQ300" s="399"/>
      <c r="DR300" s="399"/>
    </row>
    <row r="301" spans="2:122" s="480" customFormat="1" x14ac:dyDescent="0.2">
      <c r="B301" s="741"/>
      <c r="C301" s="1511"/>
      <c r="D301" s="1511"/>
      <c r="E301" s="1511"/>
      <c r="F301" s="1511"/>
      <c r="G301" s="1511"/>
      <c r="H301" s="1511"/>
      <c r="I301" s="1511"/>
      <c r="J301" s="1511"/>
      <c r="K301" s="1511"/>
      <c r="L301" s="1511"/>
      <c r="M301" s="1511"/>
      <c r="N301" s="1511"/>
      <c r="O301" s="1506"/>
      <c r="P301" s="1301"/>
      <c r="Q301" s="1301"/>
      <c r="R301" s="1301"/>
      <c r="S301" s="1302"/>
      <c r="T301" s="481"/>
      <c r="U301" s="481"/>
      <c r="V301" s="481"/>
      <c r="W301" s="481"/>
      <c r="X301" s="481"/>
      <c r="Y301" s="481"/>
      <c r="Z301" s="481"/>
      <c r="AA301" s="481"/>
      <c r="AB301" s="481"/>
      <c r="CQ301" s="399"/>
      <c r="CR301" s="399"/>
      <c r="CS301" s="399"/>
      <c r="CT301" s="399"/>
      <c r="CU301" s="483"/>
      <c r="CV301" s="483"/>
      <c r="CW301" s="399"/>
      <c r="CX301" s="399"/>
      <c r="CY301" s="399"/>
      <c r="CZ301" s="399"/>
      <c r="DA301" s="399"/>
      <c r="DB301" s="399"/>
      <c r="DC301" s="399"/>
      <c r="DD301" s="399"/>
      <c r="DE301" s="399"/>
      <c r="DF301" s="399"/>
      <c r="DG301" s="399"/>
      <c r="DH301" s="399"/>
      <c r="DI301" s="399"/>
      <c r="DJ301" s="399"/>
      <c r="DK301" s="399"/>
      <c r="DL301" s="399"/>
      <c r="DM301" s="399"/>
      <c r="DN301" s="399"/>
      <c r="DO301" s="399"/>
      <c r="DP301" s="399"/>
      <c r="DQ301" s="399"/>
      <c r="DR301" s="399"/>
    </row>
    <row r="302" spans="2:122" s="480" customFormat="1" x14ac:dyDescent="0.2">
      <c r="B302" s="741"/>
      <c r="C302" s="1511"/>
      <c r="D302" s="1511"/>
      <c r="E302" s="1511"/>
      <c r="F302" s="1511"/>
      <c r="G302" s="1511"/>
      <c r="H302" s="1511"/>
      <c r="I302" s="1511"/>
      <c r="J302" s="1511"/>
      <c r="K302" s="1511"/>
      <c r="L302" s="1511"/>
      <c r="M302" s="1511"/>
      <c r="N302" s="1511"/>
      <c r="O302" s="1506"/>
      <c r="P302" s="1301"/>
      <c r="Q302" s="1301"/>
      <c r="R302" s="1301"/>
      <c r="S302" s="1302"/>
      <c r="T302" s="481"/>
      <c r="U302" s="481"/>
      <c r="V302" s="481"/>
      <c r="W302" s="481"/>
      <c r="X302" s="481"/>
      <c r="Y302" s="481"/>
      <c r="Z302" s="481"/>
      <c r="AA302" s="481"/>
      <c r="AB302" s="481"/>
      <c r="CQ302" s="399"/>
      <c r="CR302" s="399"/>
      <c r="CS302" s="399"/>
      <c r="CT302" s="399"/>
      <c r="CU302" s="483"/>
      <c r="CV302" s="483"/>
      <c r="CW302" s="399"/>
      <c r="CX302" s="399"/>
      <c r="CY302" s="399"/>
      <c r="CZ302" s="399"/>
      <c r="DA302" s="399"/>
      <c r="DB302" s="399"/>
      <c r="DC302" s="399"/>
      <c r="DD302" s="399"/>
      <c r="DE302" s="399"/>
      <c r="DF302" s="399"/>
      <c r="DG302" s="399"/>
      <c r="DH302" s="399"/>
      <c r="DI302" s="399"/>
      <c r="DJ302" s="399"/>
      <c r="DK302" s="399"/>
      <c r="DL302" s="399"/>
      <c r="DM302" s="399"/>
      <c r="DN302" s="399"/>
      <c r="DO302" s="399"/>
      <c r="DP302" s="399"/>
      <c r="DQ302" s="399"/>
      <c r="DR302" s="399"/>
    </row>
    <row r="303" spans="2:122" s="480" customFormat="1" x14ac:dyDescent="0.2">
      <c r="B303" s="741"/>
      <c r="C303" s="1511"/>
      <c r="D303" s="1511"/>
      <c r="E303" s="1511"/>
      <c r="F303" s="1511"/>
      <c r="G303" s="1511"/>
      <c r="H303" s="1511"/>
      <c r="I303" s="1511"/>
      <c r="J303" s="1511"/>
      <c r="K303" s="1511"/>
      <c r="L303" s="1511"/>
      <c r="M303" s="1511"/>
      <c r="N303" s="1511"/>
      <c r="O303" s="1506"/>
      <c r="P303" s="1301"/>
      <c r="Q303" s="1301"/>
      <c r="R303" s="1301"/>
      <c r="S303" s="1302"/>
      <c r="T303" s="481"/>
      <c r="U303" s="481"/>
      <c r="V303" s="481"/>
      <c r="W303" s="481"/>
      <c r="X303" s="481"/>
      <c r="Y303" s="481"/>
      <c r="Z303" s="481"/>
      <c r="AA303" s="481"/>
      <c r="AB303" s="481"/>
      <c r="CQ303" s="399"/>
      <c r="CR303" s="399"/>
      <c r="CS303" s="399"/>
      <c r="CT303" s="399"/>
      <c r="CU303" s="483"/>
      <c r="CV303" s="483"/>
      <c r="CW303" s="399"/>
      <c r="CX303" s="399"/>
      <c r="CY303" s="399"/>
      <c r="CZ303" s="399"/>
      <c r="DA303" s="399"/>
      <c r="DB303" s="399"/>
      <c r="DC303" s="399"/>
      <c r="DD303" s="399"/>
      <c r="DE303" s="399"/>
      <c r="DF303" s="399"/>
      <c r="DG303" s="399"/>
      <c r="DH303" s="399"/>
      <c r="DI303" s="399"/>
      <c r="DJ303" s="399"/>
      <c r="DK303" s="399"/>
      <c r="DL303" s="399"/>
      <c r="DM303" s="399"/>
      <c r="DN303" s="399"/>
      <c r="DO303" s="399"/>
      <c r="DP303" s="399"/>
      <c r="DQ303" s="399"/>
      <c r="DR303" s="399"/>
    </row>
    <row r="304" spans="2:122" s="480" customFormat="1" x14ac:dyDescent="0.2">
      <c r="B304" s="741"/>
      <c r="C304" s="1511"/>
      <c r="D304" s="1511"/>
      <c r="E304" s="1511"/>
      <c r="F304" s="1511"/>
      <c r="G304" s="1511"/>
      <c r="H304" s="1511"/>
      <c r="I304" s="1511"/>
      <c r="J304" s="1511"/>
      <c r="K304" s="1511"/>
      <c r="L304" s="1511"/>
      <c r="M304" s="1511"/>
      <c r="N304" s="1511"/>
      <c r="O304" s="1506"/>
      <c r="P304" s="1301"/>
      <c r="Q304" s="1301"/>
      <c r="R304" s="1301"/>
      <c r="S304" s="1302"/>
      <c r="T304" s="481"/>
      <c r="U304" s="481"/>
      <c r="V304" s="481"/>
      <c r="W304" s="481"/>
      <c r="X304" s="481"/>
      <c r="Y304" s="481"/>
      <c r="Z304" s="481"/>
      <c r="AA304" s="481"/>
      <c r="AB304" s="481"/>
      <c r="CQ304" s="399"/>
      <c r="CR304" s="399"/>
      <c r="CS304" s="399"/>
      <c r="CT304" s="399"/>
      <c r="CU304" s="483"/>
      <c r="CV304" s="483"/>
      <c r="CW304" s="399"/>
      <c r="CX304" s="399"/>
      <c r="CY304" s="399"/>
      <c r="CZ304" s="399"/>
      <c r="DA304" s="399"/>
      <c r="DB304" s="399"/>
      <c r="DC304" s="399"/>
      <c r="DD304" s="399"/>
      <c r="DE304" s="399"/>
      <c r="DF304" s="399"/>
      <c r="DG304" s="399"/>
      <c r="DH304" s="399"/>
      <c r="DI304" s="399"/>
      <c r="DJ304" s="399"/>
      <c r="DK304" s="399"/>
      <c r="DL304" s="399"/>
      <c r="DM304" s="399"/>
      <c r="DN304" s="399"/>
      <c r="DO304" s="399"/>
      <c r="DP304" s="399"/>
      <c r="DQ304" s="399"/>
      <c r="DR304" s="399"/>
    </row>
    <row r="305" spans="2:122" s="480" customFormat="1" x14ac:dyDescent="0.2">
      <c r="B305" s="741"/>
      <c r="C305" s="1511"/>
      <c r="D305" s="1511"/>
      <c r="E305" s="1511"/>
      <c r="F305" s="1511"/>
      <c r="G305" s="1511"/>
      <c r="H305" s="1511"/>
      <c r="I305" s="1511"/>
      <c r="J305" s="1511"/>
      <c r="K305" s="1511"/>
      <c r="L305" s="1511"/>
      <c r="M305" s="1511"/>
      <c r="N305" s="1511"/>
      <c r="O305" s="1506"/>
      <c r="P305" s="1301"/>
      <c r="Q305" s="1301"/>
      <c r="R305" s="1301"/>
      <c r="S305" s="1302"/>
      <c r="T305" s="481"/>
      <c r="U305" s="481"/>
      <c r="V305" s="481"/>
      <c r="W305" s="481"/>
      <c r="X305" s="481"/>
      <c r="Y305" s="481"/>
      <c r="Z305" s="481"/>
      <c r="AA305" s="481"/>
      <c r="AB305" s="481"/>
      <c r="CQ305" s="399"/>
      <c r="CR305" s="399"/>
      <c r="CS305" s="399"/>
      <c r="CT305" s="399"/>
      <c r="CU305" s="483"/>
      <c r="CV305" s="483"/>
      <c r="CW305" s="399"/>
      <c r="CX305" s="399"/>
      <c r="CY305" s="399"/>
      <c r="CZ305" s="399"/>
      <c r="DA305" s="399"/>
      <c r="DB305" s="399"/>
      <c r="DC305" s="399"/>
      <c r="DD305" s="399"/>
      <c r="DE305" s="399"/>
      <c r="DF305" s="399"/>
      <c r="DG305" s="399"/>
      <c r="DH305" s="399"/>
      <c r="DI305" s="399"/>
      <c r="DJ305" s="399"/>
      <c r="DK305" s="399"/>
      <c r="DL305" s="399"/>
      <c r="DM305" s="399"/>
      <c r="DN305" s="399"/>
      <c r="DO305" s="399"/>
      <c r="DP305" s="399"/>
      <c r="DQ305" s="399"/>
      <c r="DR305" s="399"/>
    </row>
    <row r="306" spans="2:122" s="480" customFormat="1" x14ac:dyDescent="0.2">
      <c r="B306" s="741"/>
      <c r="C306" s="1511"/>
      <c r="D306" s="1511"/>
      <c r="E306" s="1511"/>
      <c r="F306" s="1511"/>
      <c r="G306" s="1511"/>
      <c r="H306" s="1511"/>
      <c r="I306" s="1511"/>
      <c r="J306" s="1511"/>
      <c r="K306" s="1511"/>
      <c r="L306" s="1511"/>
      <c r="M306" s="1511"/>
      <c r="N306" s="1511"/>
      <c r="O306" s="1506"/>
      <c r="P306" s="1301"/>
      <c r="Q306" s="1301"/>
      <c r="R306" s="1301"/>
      <c r="S306" s="1302"/>
      <c r="T306" s="481"/>
      <c r="U306" s="481"/>
      <c r="V306" s="481"/>
      <c r="W306" s="481"/>
      <c r="X306" s="481"/>
      <c r="Y306" s="481"/>
      <c r="Z306" s="481"/>
      <c r="AA306" s="481"/>
      <c r="AB306" s="481"/>
      <c r="CQ306" s="399"/>
      <c r="CR306" s="399"/>
      <c r="CS306" s="399"/>
      <c r="CT306" s="399"/>
      <c r="CU306" s="483"/>
      <c r="CV306" s="483"/>
      <c r="CW306" s="399"/>
      <c r="CX306" s="399"/>
      <c r="CY306" s="399"/>
      <c r="CZ306" s="399"/>
      <c r="DA306" s="399"/>
      <c r="DB306" s="399"/>
      <c r="DC306" s="399"/>
      <c r="DD306" s="399"/>
      <c r="DE306" s="399"/>
      <c r="DF306" s="399"/>
      <c r="DG306" s="399"/>
      <c r="DH306" s="399"/>
      <c r="DI306" s="399"/>
      <c r="DJ306" s="399"/>
      <c r="DK306" s="399"/>
      <c r="DL306" s="399"/>
      <c r="DM306" s="399"/>
      <c r="DN306" s="399"/>
      <c r="DO306" s="399"/>
      <c r="DP306" s="399"/>
      <c r="DQ306" s="399"/>
      <c r="DR306" s="399"/>
    </row>
    <row r="307" spans="2:122" s="480" customFormat="1" x14ac:dyDescent="0.2">
      <c r="B307" s="741"/>
      <c r="C307" s="1511"/>
      <c r="D307" s="1511"/>
      <c r="E307" s="1511"/>
      <c r="F307" s="1511"/>
      <c r="G307" s="1511"/>
      <c r="H307" s="1511"/>
      <c r="I307" s="1511"/>
      <c r="J307" s="1511"/>
      <c r="K307" s="1511"/>
      <c r="L307" s="1511"/>
      <c r="M307" s="1511"/>
      <c r="N307" s="1511"/>
      <c r="O307" s="1506"/>
      <c r="P307" s="1301"/>
      <c r="Q307" s="1301"/>
      <c r="R307" s="1301"/>
      <c r="S307" s="1302"/>
      <c r="T307" s="481"/>
      <c r="U307" s="481"/>
      <c r="V307" s="481"/>
      <c r="W307" s="481"/>
      <c r="X307" s="481"/>
      <c r="Y307" s="481"/>
      <c r="Z307" s="481"/>
      <c r="AA307" s="481"/>
      <c r="AB307" s="481"/>
      <c r="CQ307" s="399"/>
      <c r="CR307" s="399"/>
      <c r="CS307" s="399"/>
      <c r="CT307" s="399"/>
      <c r="CU307" s="483"/>
      <c r="CV307" s="483"/>
      <c r="CW307" s="399"/>
      <c r="CX307" s="399"/>
      <c r="CY307" s="399"/>
      <c r="CZ307" s="399"/>
      <c r="DA307" s="399"/>
      <c r="DB307" s="399"/>
      <c r="DC307" s="399"/>
      <c r="DD307" s="399"/>
      <c r="DE307" s="399"/>
      <c r="DF307" s="399"/>
      <c r="DG307" s="399"/>
      <c r="DH307" s="399"/>
      <c r="DI307" s="399"/>
      <c r="DJ307" s="399"/>
      <c r="DK307" s="399"/>
      <c r="DL307" s="399"/>
      <c r="DM307" s="399"/>
      <c r="DN307" s="399"/>
      <c r="DO307" s="399"/>
      <c r="DP307" s="399"/>
      <c r="DQ307" s="399"/>
      <c r="DR307" s="399"/>
    </row>
    <row r="308" spans="2:122" s="480" customFormat="1" x14ac:dyDescent="0.2">
      <c r="B308" s="741"/>
      <c r="C308" s="1511"/>
      <c r="D308" s="1511"/>
      <c r="E308" s="1511"/>
      <c r="F308" s="1511"/>
      <c r="G308" s="1511"/>
      <c r="H308" s="1511"/>
      <c r="I308" s="1511"/>
      <c r="J308" s="1511"/>
      <c r="K308" s="1511"/>
      <c r="L308" s="1511"/>
      <c r="M308" s="1511"/>
      <c r="N308" s="1511"/>
      <c r="O308" s="1506"/>
      <c r="P308" s="1301"/>
      <c r="Q308" s="1301"/>
      <c r="R308" s="1301"/>
      <c r="S308" s="1302"/>
      <c r="T308" s="481"/>
      <c r="U308" s="481"/>
      <c r="V308" s="481"/>
      <c r="W308" s="481"/>
      <c r="X308" s="481"/>
      <c r="Y308" s="481"/>
      <c r="Z308" s="481"/>
      <c r="AA308" s="481"/>
      <c r="AB308" s="481"/>
      <c r="CQ308" s="399"/>
      <c r="CR308" s="399"/>
      <c r="CS308" s="399"/>
      <c r="CT308" s="399"/>
      <c r="CU308" s="483"/>
      <c r="CV308" s="483"/>
      <c r="CW308" s="399"/>
      <c r="CX308" s="399"/>
      <c r="CY308" s="399"/>
      <c r="CZ308" s="399"/>
      <c r="DA308" s="399"/>
      <c r="DB308" s="399"/>
      <c r="DC308" s="399"/>
      <c r="DD308" s="399"/>
      <c r="DE308" s="399"/>
      <c r="DF308" s="399"/>
      <c r="DG308" s="399"/>
      <c r="DH308" s="399"/>
      <c r="DI308" s="399"/>
      <c r="DJ308" s="399"/>
      <c r="DK308" s="399"/>
      <c r="DL308" s="399"/>
      <c r="DM308" s="399"/>
      <c r="DN308" s="399"/>
      <c r="DO308" s="399"/>
      <c r="DP308" s="399"/>
      <c r="DQ308" s="399"/>
      <c r="DR308" s="399"/>
    </row>
    <row r="309" spans="2:122" s="480" customFormat="1" x14ac:dyDescent="0.2">
      <c r="B309" s="741"/>
      <c r="C309" s="1511"/>
      <c r="D309" s="1511"/>
      <c r="E309" s="1511"/>
      <c r="F309" s="1511"/>
      <c r="G309" s="1511"/>
      <c r="H309" s="1511"/>
      <c r="I309" s="1511"/>
      <c r="J309" s="1511"/>
      <c r="K309" s="1511"/>
      <c r="L309" s="1511"/>
      <c r="M309" s="1511"/>
      <c r="N309" s="1511"/>
      <c r="O309" s="1506"/>
      <c r="P309" s="1301"/>
      <c r="Q309" s="1301"/>
      <c r="R309" s="1301"/>
      <c r="S309" s="1302"/>
      <c r="T309" s="481"/>
      <c r="U309" s="481"/>
      <c r="V309" s="481"/>
      <c r="W309" s="481"/>
      <c r="X309" s="481"/>
      <c r="Y309" s="481"/>
      <c r="Z309" s="481"/>
      <c r="AA309" s="481"/>
      <c r="AB309" s="481"/>
      <c r="CQ309" s="399"/>
      <c r="CR309" s="399"/>
      <c r="CS309" s="399"/>
      <c r="CT309" s="399"/>
      <c r="CU309" s="483"/>
      <c r="CV309" s="483"/>
      <c r="CW309" s="399"/>
      <c r="CX309" s="399"/>
      <c r="CY309" s="399"/>
      <c r="CZ309" s="399"/>
      <c r="DA309" s="399"/>
      <c r="DB309" s="399"/>
      <c r="DC309" s="399"/>
      <c r="DD309" s="399"/>
      <c r="DE309" s="399"/>
      <c r="DF309" s="399"/>
      <c r="DG309" s="399"/>
      <c r="DH309" s="399"/>
      <c r="DI309" s="399"/>
      <c r="DJ309" s="399"/>
      <c r="DK309" s="399"/>
      <c r="DL309" s="399"/>
      <c r="DM309" s="399"/>
      <c r="DN309" s="399"/>
      <c r="DO309" s="399"/>
      <c r="DP309" s="399"/>
      <c r="DQ309" s="399"/>
      <c r="DR309" s="399"/>
    </row>
    <row r="310" spans="2:122" s="480" customFormat="1" x14ac:dyDescent="0.2">
      <c r="B310" s="741"/>
      <c r="C310" s="1511"/>
      <c r="D310" s="1511"/>
      <c r="E310" s="1511"/>
      <c r="F310" s="1511"/>
      <c r="G310" s="1511"/>
      <c r="H310" s="1511"/>
      <c r="I310" s="1511"/>
      <c r="J310" s="1511"/>
      <c r="K310" s="1511"/>
      <c r="L310" s="1511"/>
      <c r="M310" s="1511"/>
      <c r="N310" s="1511"/>
      <c r="O310" s="1506"/>
      <c r="P310" s="1301"/>
      <c r="Q310" s="1301"/>
      <c r="R310" s="1301"/>
      <c r="S310" s="1302"/>
      <c r="T310" s="481"/>
      <c r="U310" s="481"/>
      <c r="V310" s="481"/>
      <c r="W310" s="481"/>
      <c r="X310" s="481"/>
      <c r="Y310" s="481"/>
      <c r="Z310" s="481"/>
      <c r="AA310" s="481"/>
      <c r="AB310" s="481"/>
      <c r="CQ310" s="399"/>
      <c r="CR310" s="399"/>
      <c r="CS310" s="399"/>
      <c r="CT310" s="399"/>
      <c r="CU310" s="483"/>
      <c r="CV310" s="483"/>
      <c r="CW310" s="399"/>
      <c r="CX310" s="399"/>
      <c r="CY310" s="399"/>
      <c r="CZ310" s="399"/>
      <c r="DA310" s="399"/>
      <c r="DB310" s="399"/>
      <c r="DC310" s="399"/>
      <c r="DD310" s="399"/>
      <c r="DE310" s="399"/>
      <c r="DF310" s="399"/>
      <c r="DG310" s="399"/>
      <c r="DH310" s="399"/>
      <c r="DI310" s="399"/>
      <c r="DJ310" s="399"/>
      <c r="DK310" s="399"/>
      <c r="DL310" s="399"/>
      <c r="DM310" s="399"/>
      <c r="DN310" s="399"/>
      <c r="DO310" s="399"/>
      <c r="DP310" s="399"/>
      <c r="DQ310" s="399"/>
      <c r="DR310" s="399"/>
    </row>
    <row r="311" spans="2:122" s="480" customFormat="1" x14ac:dyDescent="0.2">
      <c r="B311" s="741"/>
      <c r="C311" s="1511"/>
      <c r="D311" s="1511"/>
      <c r="E311" s="1511"/>
      <c r="F311" s="1511"/>
      <c r="G311" s="1511"/>
      <c r="H311" s="1511"/>
      <c r="I311" s="1511"/>
      <c r="J311" s="1511"/>
      <c r="K311" s="1511"/>
      <c r="L311" s="1511"/>
      <c r="M311" s="1511"/>
      <c r="N311" s="1511"/>
      <c r="O311" s="1506"/>
      <c r="P311" s="1301"/>
      <c r="Q311" s="1301"/>
      <c r="R311" s="1301"/>
      <c r="S311" s="1302"/>
      <c r="T311" s="481"/>
      <c r="U311" s="481"/>
      <c r="V311" s="481"/>
      <c r="W311" s="481"/>
      <c r="X311" s="481"/>
      <c r="Y311" s="481"/>
      <c r="Z311" s="481"/>
      <c r="AA311" s="481"/>
      <c r="AB311" s="481"/>
      <c r="CQ311" s="399"/>
      <c r="CR311" s="399"/>
      <c r="CS311" s="399"/>
      <c r="CT311" s="399"/>
      <c r="CU311" s="483"/>
      <c r="CV311" s="483"/>
      <c r="CW311" s="399"/>
      <c r="CX311" s="399"/>
      <c r="CY311" s="399"/>
      <c r="CZ311" s="399"/>
      <c r="DA311" s="399"/>
      <c r="DB311" s="399"/>
      <c r="DC311" s="399"/>
      <c r="DD311" s="399"/>
      <c r="DE311" s="399"/>
      <c r="DF311" s="399"/>
      <c r="DG311" s="399"/>
      <c r="DH311" s="399"/>
      <c r="DI311" s="399"/>
      <c r="DJ311" s="399"/>
      <c r="DK311" s="399"/>
      <c r="DL311" s="399"/>
      <c r="DM311" s="399"/>
      <c r="DN311" s="399"/>
      <c r="DO311" s="399"/>
      <c r="DP311" s="399"/>
      <c r="DQ311" s="399"/>
      <c r="DR311" s="399"/>
    </row>
    <row r="312" spans="2:122" s="480" customFormat="1" x14ac:dyDescent="0.2">
      <c r="B312" s="741"/>
      <c r="C312" s="1511"/>
      <c r="D312" s="1511"/>
      <c r="E312" s="1511"/>
      <c r="F312" s="1511"/>
      <c r="G312" s="1511"/>
      <c r="H312" s="1511"/>
      <c r="I312" s="1511"/>
      <c r="J312" s="1511"/>
      <c r="K312" s="1511"/>
      <c r="L312" s="1511"/>
      <c r="M312" s="1511"/>
      <c r="N312" s="1511"/>
      <c r="O312" s="1506"/>
      <c r="P312" s="1301"/>
      <c r="Q312" s="1301"/>
      <c r="R312" s="1301"/>
      <c r="S312" s="1302"/>
      <c r="T312" s="481"/>
      <c r="U312" s="481"/>
      <c r="V312" s="481"/>
      <c r="W312" s="481"/>
      <c r="X312" s="481"/>
      <c r="Y312" s="481"/>
      <c r="Z312" s="481"/>
      <c r="AA312" s="481"/>
      <c r="AB312" s="481"/>
      <c r="CQ312" s="399"/>
      <c r="CR312" s="399"/>
      <c r="CS312" s="399"/>
      <c r="CT312" s="399"/>
      <c r="CU312" s="483"/>
      <c r="CV312" s="483"/>
      <c r="CW312" s="399"/>
      <c r="CX312" s="399"/>
      <c r="CY312" s="399"/>
      <c r="CZ312" s="399"/>
      <c r="DA312" s="399"/>
      <c r="DB312" s="399"/>
      <c r="DC312" s="399"/>
      <c r="DD312" s="399"/>
      <c r="DE312" s="399"/>
      <c r="DF312" s="399"/>
      <c r="DG312" s="399"/>
      <c r="DH312" s="399"/>
      <c r="DI312" s="399"/>
      <c r="DJ312" s="399"/>
      <c r="DK312" s="399"/>
      <c r="DL312" s="399"/>
      <c r="DM312" s="399"/>
      <c r="DN312" s="399"/>
      <c r="DO312" s="399"/>
      <c r="DP312" s="399"/>
      <c r="DQ312" s="399"/>
      <c r="DR312" s="399"/>
    </row>
    <row r="313" spans="2:122" s="480" customFormat="1" x14ac:dyDescent="0.2">
      <c r="B313" s="741"/>
      <c r="C313" s="1511"/>
      <c r="D313" s="1511"/>
      <c r="E313" s="1511"/>
      <c r="F313" s="1511"/>
      <c r="G313" s="1511"/>
      <c r="H313" s="1511"/>
      <c r="I313" s="1511"/>
      <c r="J313" s="1511"/>
      <c r="K313" s="1511"/>
      <c r="L313" s="1511"/>
      <c r="M313" s="1511"/>
      <c r="N313" s="1511"/>
      <c r="O313" s="1506"/>
      <c r="P313" s="1301"/>
      <c r="Q313" s="1301"/>
      <c r="R313" s="1301"/>
      <c r="S313" s="1302"/>
      <c r="T313" s="481"/>
      <c r="U313" s="481"/>
      <c r="V313" s="481"/>
      <c r="W313" s="481"/>
      <c r="X313" s="481"/>
      <c r="Y313" s="481"/>
      <c r="Z313" s="481"/>
      <c r="AA313" s="481"/>
      <c r="AB313" s="481"/>
      <c r="CQ313" s="399"/>
      <c r="CR313" s="399"/>
      <c r="CS313" s="399"/>
      <c r="CT313" s="399"/>
      <c r="CU313" s="483"/>
      <c r="CV313" s="483"/>
      <c r="CW313" s="399"/>
      <c r="CX313" s="399"/>
      <c r="CY313" s="399"/>
      <c r="CZ313" s="399"/>
      <c r="DA313" s="399"/>
      <c r="DB313" s="399"/>
      <c r="DC313" s="399"/>
      <c r="DD313" s="399"/>
      <c r="DE313" s="399"/>
      <c r="DF313" s="399"/>
      <c r="DG313" s="399"/>
      <c r="DH313" s="399"/>
      <c r="DI313" s="399"/>
      <c r="DJ313" s="399"/>
      <c r="DK313" s="399"/>
      <c r="DL313" s="399"/>
      <c r="DM313" s="399"/>
      <c r="DN313" s="399"/>
      <c r="DO313" s="399"/>
      <c r="DP313" s="399"/>
      <c r="DQ313" s="399"/>
      <c r="DR313" s="399"/>
    </row>
    <row r="314" spans="2:122" s="480" customFormat="1" x14ac:dyDescent="0.2">
      <c r="B314" s="741"/>
      <c r="C314" s="1511"/>
      <c r="D314" s="1511"/>
      <c r="E314" s="1511"/>
      <c r="F314" s="1511"/>
      <c r="G314" s="1511"/>
      <c r="H314" s="1511"/>
      <c r="I314" s="1511"/>
      <c r="J314" s="1511"/>
      <c r="K314" s="1511"/>
      <c r="L314" s="1511"/>
      <c r="M314" s="1511"/>
      <c r="N314" s="1511"/>
      <c r="O314" s="1506"/>
      <c r="P314" s="1301"/>
      <c r="Q314" s="1301"/>
      <c r="R314" s="1301"/>
      <c r="S314" s="1302"/>
      <c r="T314" s="481"/>
      <c r="U314" s="481"/>
      <c r="V314" s="481"/>
      <c r="W314" s="481"/>
      <c r="X314" s="481"/>
      <c r="Y314" s="481"/>
      <c r="Z314" s="481"/>
      <c r="AA314" s="481"/>
      <c r="AB314" s="481"/>
      <c r="CQ314" s="399"/>
      <c r="CR314" s="399"/>
      <c r="CS314" s="399"/>
      <c r="CT314" s="399"/>
      <c r="CU314" s="483"/>
      <c r="CV314" s="483"/>
      <c r="CW314" s="399"/>
      <c r="CX314" s="399"/>
      <c r="CY314" s="399"/>
      <c r="CZ314" s="399"/>
      <c r="DA314" s="399"/>
      <c r="DB314" s="399"/>
      <c r="DC314" s="399"/>
      <c r="DD314" s="399"/>
      <c r="DE314" s="399"/>
      <c r="DF314" s="399"/>
      <c r="DG314" s="399"/>
      <c r="DH314" s="399"/>
      <c r="DI314" s="399"/>
      <c r="DJ314" s="399"/>
      <c r="DK314" s="399"/>
      <c r="DL314" s="399"/>
      <c r="DM314" s="399"/>
      <c r="DN314" s="399"/>
      <c r="DO314" s="399"/>
      <c r="DP314" s="399"/>
      <c r="DQ314" s="399"/>
      <c r="DR314" s="399"/>
    </row>
    <row r="315" spans="2:122" s="480" customFormat="1" x14ac:dyDescent="0.2">
      <c r="B315" s="741"/>
      <c r="C315" s="1511"/>
      <c r="D315" s="1511"/>
      <c r="E315" s="1511"/>
      <c r="F315" s="1511"/>
      <c r="G315" s="1511"/>
      <c r="H315" s="1511"/>
      <c r="I315" s="1511"/>
      <c r="J315" s="1511"/>
      <c r="K315" s="1511"/>
      <c r="L315" s="1511"/>
      <c r="M315" s="1511"/>
      <c r="N315" s="1511"/>
      <c r="O315" s="1506"/>
      <c r="P315" s="1301"/>
      <c r="Q315" s="1301"/>
      <c r="R315" s="1301"/>
      <c r="S315" s="1302"/>
      <c r="T315" s="481"/>
      <c r="U315" s="481"/>
      <c r="V315" s="481"/>
      <c r="W315" s="481"/>
      <c r="X315" s="481"/>
      <c r="Y315" s="481"/>
      <c r="Z315" s="481"/>
      <c r="AA315" s="481"/>
      <c r="AB315" s="481"/>
      <c r="CQ315" s="399"/>
      <c r="CR315" s="399"/>
      <c r="CS315" s="399"/>
      <c r="CT315" s="399"/>
      <c r="CU315" s="483"/>
      <c r="CV315" s="483"/>
      <c r="CW315" s="399"/>
      <c r="CX315" s="399"/>
      <c r="CY315" s="399"/>
      <c r="CZ315" s="399"/>
      <c r="DA315" s="399"/>
      <c r="DB315" s="399"/>
      <c r="DC315" s="399"/>
      <c r="DD315" s="399"/>
      <c r="DE315" s="399"/>
      <c r="DF315" s="399"/>
      <c r="DG315" s="399"/>
      <c r="DH315" s="399"/>
      <c r="DI315" s="399"/>
      <c r="DJ315" s="399"/>
      <c r="DK315" s="399"/>
      <c r="DL315" s="399"/>
      <c r="DM315" s="399"/>
      <c r="DN315" s="399"/>
      <c r="DO315" s="399"/>
      <c r="DP315" s="399"/>
      <c r="DQ315" s="399"/>
      <c r="DR315" s="399"/>
    </row>
    <row r="316" spans="2:122" s="480" customFormat="1" x14ac:dyDescent="0.2">
      <c r="B316" s="741"/>
      <c r="C316" s="1511"/>
      <c r="D316" s="1511"/>
      <c r="E316" s="1511"/>
      <c r="F316" s="1511"/>
      <c r="G316" s="1511"/>
      <c r="H316" s="1511"/>
      <c r="I316" s="1511"/>
      <c r="J316" s="1511"/>
      <c r="K316" s="1511"/>
      <c r="L316" s="1511"/>
      <c r="M316" s="1511"/>
      <c r="N316" s="1511"/>
      <c r="O316" s="1506"/>
      <c r="P316" s="1301"/>
      <c r="Q316" s="1301"/>
      <c r="R316" s="1301"/>
      <c r="S316" s="1302"/>
      <c r="T316" s="481"/>
      <c r="U316" s="481"/>
      <c r="V316" s="481"/>
      <c r="W316" s="481"/>
      <c r="X316" s="481"/>
      <c r="Y316" s="481"/>
      <c r="Z316" s="481"/>
      <c r="AA316" s="481"/>
      <c r="AB316" s="481"/>
      <c r="CQ316" s="399"/>
      <c r="CR316" s="399"/>
      <c r="CS316" s="399"/>
      <c r="CT316" s="399"/>
      <c r="CU316" s="483"/>
      <c r="CV316" s="483"/>
      <c r="CW316" s="399"/>
      <c r="CX316" s="399"/>
      <c r="CY316" s="399"/>
      <c r="CZ316" s="399"/>
      <c r="DA316" s="399"/>
      <c r="DB316" s="399"/>
      <c r="DC316" s="399"/>
      <c r="DD316" s="399"/>
      <c r="DE316" s="399"/>
      <c r="DF316" s="399"/>
      <c r="DG316" s="399"/>
      <c r="DH316" s="399"/>
      <c r="DI316" s="399"/>
      <c r="DJ316" s="399"/>
      <c r="DK316" s="399"/>
      <c r="DL316" s="399"/>
      <c r="DM316" s="399"/>
      <c r="DN316" s="399"/>
      <c r="DO316" s="399"/>
      <c r="DP316" s="399"/>
      <c r="DQ316" s="399"/>
      <c r="DR316" s="399"/>
    </row>
    <row r="317" spans="2:122" s="480" customFormat="1" x14ac:dyDescent="0.2">
      <c r="B317" s="741"/>
      <c r="C317" s="1511"/>
      <c r="D317" s="1511"/>
      <c r="E317" s="1511"/>
      <c r="F317" s="1511"/>
      <c r="G317" s="1511"/>
      <c r="H317" s="1511"/>
      <c r="I317" s="1511"/>
      <c r="J317" s="1511"/>
      <c r="K317" s="1511"/>
      <c r="L317" s="1511"/>
      <c r="M317" s="1511"/>
      <c r="N317" s="1511"/>
      <c r="O317" s="1506"/>
      <c r="P317" s="1301"/>
      <c r="Q317" s="1301"/>
      <c r="R317" s="1301"/>
      <c r="S317" s="1302"/>
      <c r="T317" s="481"/>
      <c r="U317" s="481"/>
      <c r="V317" s="481"/>
      <c r="W317" s="481"/>
      <c r="X317" s="481"/>
      <c r="Y317" s="481"/>
      <c r="Z317" s="481"/>
      <c r="AA317" s="481"/>
      <c r="AB317" s="481"/>
      <c r="CQ317" s="399"/>
      <c r="CR317" s="399"/>
      <c r="CS317" s="399"/>
      <c r="CT317" s="399"/>
      <c r="CU317" s="483"/>
      <c r="CV317" s="483"/>
      <c r="CW317" s="399"/>
      <c r="CX317" s="399"/>
      <c r="CY317" s="399"/>
      <c r="CZ317" s="399"/>
      <c r="DA317" s="399"/>
      <c r="DB317" s="399"/>
      <c r="DC317" s="399"/>
      <c r="DD317" s="399"/>
      <c r="DE317" s="399"/>
      <c r="DF317" s="399"/>
      <c r="DG317" s="399"/>
      <c r="DH317" s="399"/>
      <c r="DI317" s="399"/>
      <c r="DJ317" s="399"/>
      <c r="DK317" s="399"/>
      <c r="DL317" s="399"/>
      <c r="DM317" s="399"/>
      <c r="DN317" s="399"/>
      <c r="DO317" s="399"/>
      <c r="DP317" s="399"/>
      <c r="DQ317" s="399"/>
      <c r="DR317" s="399"/>
    </row>
    <row r="318" spans="2:122" s="480" customFormat="1" x14ac:dyDescent="0.2">
      <c r="B318" s="741"/>
      <c r="C318" s="1511"/>
      <c r="D318" s="1511"/>
      <c r="E318" s="1511"/>
      <c r="F318" s="1511"/>
      <c r="G318" s="1511"/>
      <c r="H318" s="1511"/>
      <c r="I318" s="1511"/>
      <c r="J318" s="1511"/>
      <c r="K318" s="1511"/>
      <c r="L318" s="1511"/>
      <c r="M318" s="1511"/>
      <c r="N318" s="1511"/>
      <c r="O318" s="1506"/>
      <c r="P318" s="1301"/>
      <c r="Q318" s="1301"/>
      <c r="R318" s="1301"/>
      <c r="S318" s="1302"/>
      <c r="T318" s="481"/>
      <c r="U318" s="481"/>
      <c r="V318" s="481"/>
      <c r="W318" s="481"/>
      <c r="X318" s="481"/>
      <c r="Y318" s="481"/>
      <c r="Z318" s="481"/>
      <c r="AA318" s="481"/>
      <c r="AB318" s="481"/>
      <c r="CQ318" s="399"/>
      <c r="CR318" s="399"/>
      <c r="CS318" s="399"/>
      <c r="CT318" s="399"/>
      <c r="CU318" s="483"/>
      <c r="CV318" s="483"/>
      <c r="CW318" s="399"/>
      <c r="CX318" s="399"/>
      <c r="CY318" s="399"/>
      <c r="CZ318" s="399"/>
      <c r="DA318" s="399"/>
      <c r="DB318" s="399"/>
      <c r="DC318" s="399"/>
      <c r="DD318" s="399"/>
      <c r="DE318" s="399"/>
      <c r="DF318" s="399"/>
      <c r="DG318" s="399"/>
      <c r="DH318" s="399"/>
      <c r="DI318" s="399"/>
      <c r="DJ318" s="399"/>
      <c r="DK318" s="399"/>
      <c r="DL318" s="399"/>
      <c r="DM318" s="399"/>
      <c r="DN318" s="399"/>
      <c r="DO318" s="399"/>
      <c r="DP318" s="399"/>
      <c r="DQ318" s="399"/>
      <c r="DR318" s="399"/>
    </row>
    <row r="319" spans="2:122" s="480" customFormat="1" x14ac:dyDescent="0.2">
      <c r="B319" s="741"/>
      <c r="C319" s="1511"/>
      <c r="D319" s="1511"/>
      <c r="E319" s="1511"/>
      <c r="F319" s="1511"/>
      <c r="G319" s="1511"/>
      <c r="H319" s="1511"/>
      <c r="I319" s="1511"/>
      <c r="J319" s="1511"/>
      <c r="K319" s="1511"/>
      <c r="L319" s="1511"/>
      <c r="M319" s="1511"/>
      <c r="N319" s="1511"/>
      <c r="O319" s="1506"/>
      <c r="P319" s="1301"/>
      <c r="Q319" s="1301"/>
      <c r="R319" s="1301"/>
      <c r="S319" s="1302"/>
      <c r="T319" s="481"/>
      <c r="U319" s="481"/>
      <c r="V319" s="481"/>
      <c r="W319" s="481"/>
      <c r="X319" s="481"/>
      <c r="Y319" s="481"/>
      <c r="Z319" s="481"/>
      <c r="AA319" s="481"/>
      <c r="AB319" s="481"/>
      <c r="CQ319" s="399"/>
      <c r="CR319" s="399"/>
      <c r="CS319" s="399"/>
      <c r="CT319" s="399"/>
      <c r="CU319" s="483"/>
      <c r="CV319" s="483"/>
      <c r="CW319" s="399"/>
      <c r="CX319" s="399"/>
      <c r="CY319" s="399"/>
      <c r="CZ319" s="399"/>
      <c r="DA319" s="399"/>
      <c r="DB319" s="399"/>
      <c r="DC319" s="399"/>
      <c r="DD319" s="399"/>
      <c r="DE319" s="399"/>
      <c r="DF319" s="399"/>
      <c r="DG319" s="399"/>
      <c r="DH319" s="399"/>
      <c r="DI319" s="399"/>
      <c r="DJ319" s="399"/>
      <c r="DK319" s="399"/>
      <c r="DL319" s="399"/>
      <c r="DM319" s="399"/>
      <c r="DN319" s="399"/>
      <c r="DO319" s="399"/>
      <c r="DP319" s="399"/>
      <c r="DQ319" s="399"/>
      <c r="DR319" s="399"/>
    </row>
    <row r="320" spans="2:122" s="480" customFormat="1" x14ac:dyDescent="0.2">
      <c r="B320" s="741"/>
      <c r="C320" s="1511"/>
      <c r="D320" s="1511"/>
      <c r="E320" s="1511"/>
      <c r="F320" s="1511"/>
      <c r="G320" s="1511"/>
      <c r="H320" s="1511"/>
      <c r="I320" s="1511"/>
      <c r="J320" s="1511"/>
      <c r="K320" s="1511"/>
      <c r="L320" s="1511"/>
      <c r="M320" s="1511"/>
      <c r="N320" s="1511"/>
      <c r="O320" s="1506"/>
      <c r="P320" s="1301"/>
      <c r="Q320" s="1301"/>
      <c r="R320" s="1301"/>
      <c r="S320" s="1302"/>
      <c r="T320" s="481"/>
      <c r="U320" s="481"/>
      <c r="V320" s="481"/>
      <c r="W320" s="481"/>
      <c r="X320" s="481"/>
      <c r="Y320" s="481"/>
      <c r="Z320" s="481"/>
      <c r="AA320" s="481"/>
      <c r="AB320" s="481"/>
      <c r="CQ320" s="399"/>
      <c r="CR320" s="399"/>
      <c r="CS320" s="399"/>
      <c r="CT320" s="399"/>
      <c r="CU320" s="483"/>
      <c r="CV320" s="483"/>
      <c r="CW320" s="399"/>
      <c r="CX320" s="399"/>
      <c r="CY320" s="399"/>
      <c r="CZ320" s="399"/>
      <c r="DA320" s="399"/>
      <c r="DB320" s="399"/>
      <c r="DC320" s="399"/>
      <c r="DD320" s="399"/>
      <c r="DE320" s="399"/>
      <c r="DF320" s="399"/>
      <c r="DG320" s="399"/>
      <c r="DH320" s="399"/>
      <c r="DI320" s="399"/>
      <c r="DJ320" s="399"/>
      <c r="DK320" s="399"/>
      <c r="DL320" s="399"/>
      <c r="DM320" s="399"/>
      <c r="DN320" s="399"/>
      <c r="DO320" s="399"/>
      <c r="DP320" s="399"/>
      <c r="DQ320" s="399"/>
      <c r="DR320" s="399"/>
    </row>
    <row r="321" spans="2:122" s="480" customFormat="1" x14ac:dyDescent="0.2">
      <c r="B321" s="741"/>
      <c r="C321" s="1511"/>
      <c r="D321" s="1511"/>
      <c r="E321" s="1511"/>
      <c r="F321" s="1511"/>
      <c r="G321" s="1511"/>
      <c r="H321" s="1511"/>
      <c r="I321" s="1511"/>
      <c r="J321" s="1511"/>
      <c r="K321" s="1511"/>
      <c r="L321" s="1511"/>
      <c r="M321" s="1511"/>
      <c r="N321" s="1511"/>
      <c r="O321" s="1506"/>
      <c r="P321" s="1301"/>
      <c r="Q321" s="1301"/>
      <c r="R321" s="1301"/>
      <c r="S321" s="1302"/>
      <c r="T321" s="481"/>
      <c r="U321" s="481"/>
      <c r="V321" s="481"/>
      <c r="W321" s="481"/>
      <c r="X321" s="481"/>
      <c r="Y321" s="481"/>
      <c r="Z321" s="481"/>
      <c r="AA321" s="481"/>
      <c r="AB321" s="481"/>
      <c r="CQ321" s="399"/>
      <c r="CR321" s="399"/>
      <c r="CS321" s="399"/>
      <c r="CT321" s="399"/>
      <c r="CU321" s="483"/>
      <c r="CV321" s="483"/>
      <c r="CW321" s="399"/>
      <c r="CX321" s="399"/>
      <c r="CY321" s="399"/>
      <c r="CZ321" s="399"/>
      <c r="DA321" s="399"/>
      <c r="DB321" s="399"/>
      <c r="DC321" s="399"/>
      <c r="DD321" s="399"/>
      <c r="DE321" s="399"/>
      <c r="DF321" s="399"/>
      <c r="DG321" s="399"/>
      <c r="DH321" s="399"/>
      <c r="DI321" s="399"/>
      <c r="DJ321" s="399"/>
      <c r="DK321" s="399"/>
      <c r="DL321" s="399"/>
      <c r="DM321" s="399"/>
      <c r="DN321" s="399"/>
      <c r="DO321" s="399"/>
      <c r="DP321" s="399"/>
      <c r="DQ321" s="399"/>
      <c r="DR321" s="399"/>
    </row>
    <row r="322" spans="2:122" s="480" customFormat="1" x14ac:dyDescent="0.2">
      <c r="B322" s="741"/>
      <c r="C322" s="1511"/>
      <c r="D322" s="1511"/>
      <c r="E322" s="1511"/>
      <c r="F322" s="1511"/>
      <c r="G322" s="1511"/>
      <c r="H322" s="1511"/>
      <c r="I322" s="1511"/>
      <c r="J322" s="1511"/>
      <c r="K322" s="1511"/>
      <c r="L322" s="1511"/>
      <c r="M322" s="1511"/>
      <c r="N322" s="1511"/>
      <c r="O322" s="1506"/>
      <c r="P322" s="1301"/>
      <c r="Q322" s="1301"/>
      <c r="R322" s="1301"/>
      <c r="S322" s="1302"/>
      <c r="T322" s="481"/>
      <c r="U322" s="481"/>
      <c r="V322" s="481"/>
      <c r="W322" s="481"/>
      <c r="X322" s="481"/>
      <c r="Y322" s="481"/>
      <c r="Z322" s="481"/>
      <c r="AA322" s="481"/>
      <c r="AB322" s="481"/>
      <c r="CQ322" s="399"/>
      <c r="CR322" s="399"/>
      <c r="CS322" s="399"/>
      <c r="CT322" s="399"/>
      <c r="CU322" s="483"/>
      <c r="CV322" s="483"/>
      <c r="CW322" s="399"/>
      <c r="CX322" s="399"/>
      <c r="CY322" s="399"/>
      <c r="CZ322" s="399"/>
      <c r="DA322" s="399"/>
      <c r="DB322" s="399"/>
      <c r="DC322" s="399"/>
      <c r="DD322" s="399"/>
      <c r="DE322" s="399"/>
      <c r="DF322" s="399"/>
      <c r="DG322" s="399"/>
      <c r="DH322" s="399"/>
      <c r="DI322" s="399"/>
      <c r="DJ322" s="399"/>
      <c r="DK322" s="399"/>
      <c r="DL322" s="399"/>
      <c r="DM322" s="399"/>
      <c r="DN322" s="399"/>
      <c r="DO322" s="399"/>
      <c r="DP322" s="399"/>
      <c r="DQ322" s="399"/>
      <c r="DR322" s="399"/>
    </row>
    <row r="323" spans="2:122" s="480" customFormat="1" x14ac:dyDescent="0.2">
      <c r="B323" s="741"/>
      <c r="C323" s="1511"/>
      <c r="D323" s="1511"/>
      <c r="E323" s="1511"/>
      <c r="F323" s="1511"/>
      <c r="G323" s="1511"/>
      <c r="H323" s="1511"/>
      <c r="I323" s="1511"/>
      <c r="J323" s="1511"/>
      <c r="K323" s="1511"/>
      <c r="L323" s="1511"/>
      <c r="M323" s="1511"/>
      <c r="N323" s="1511"/>
      <c r="O323" s="1506"/>
      <c r="P323" s="1301"/>
      <c r="Q323" s="1301"/>
      <c r="R323" s="1301"/>
      <c r="S323" s="1302"/>
      <c r="T323" s="481"/>
      <c r="U323" s="481"/>
      <c r="V323" s="481"/>
      <c r="W323" s="481"/>
      <c r="X323" s="481"/>
      <c r="Y323" s="481"/>
      <c r="Z323" s="481"/>
      <c r="AA323" s="481"/>
      <c r="AB323" s="481"/>
      <c r="CQ323" s="399"/>
      <c r="CR323" s="399"/>
      <c r="CS323" s="399"/>
      <c r="CT323" s="399"/>
      <c r="CU323" s="483"/>
      <c r="CV323" s="483"/>
      <c r="CW323" s="399"/>
      <c r="CX323" s="399"/>
      <c r="CY323" s="399"/>
      <c r="CZ323" s="399"/>
      <c r="DA323" s="399"/>
      <c r="DB323" s="399"/>
      <c r="DC323" s="399"/>
      <c r="DD323" s="399"/>
      <c r="DE323" s="399"/>
      <c r="DF323" s="399"/>
      <c r="DG323" s="399"/>
      <c r="DH323" s="399"/>
      <c r="DI323" s="399"/>
      <c r="DJ323" s="399"/>
      <c r="DK323" s="399"/>
      <c r="DL323" s="399"/>
      <c r="DM323" s="399"/>
      <c r="DN323" s="399"/>
      <c r="DO323" s="399"/>
      <c r="DP323" s="399"/>
      <c r="DQ323" s="399"/>
      <c r="DR323" s="399"/>
    </row>
    <row r="324" spans="2:122" s="480" customFormat="1" x14ac:dyDescent="0.2">
      <c r="B324" s="741"/>
      <c r="C324" s="1511"/>
      <c r="D324" s="1511"/>
      <c r="E324" s="1511"/>
      <c r="F324" s="1511"/>
      <c r="G324" s="1511"/>
      <c r="H324" s="1511"/>
      <c r="I324" s="1511"/>
      <c r="J324" s="1511"/>
      <c r="K324" s="1511"/>
      <c r="L324" s="1511"/>
      <c r="M324" s="1511"/>
      <c r="N324" s="1511"/>
      <c r="O324" s="1506"/>
      <c r="P324" s="1301"/>
      <c r="Q324" s="1301"/>
      <c r="R324" s="1301"/>
      <c r="S324" s="1302"/>
      <c r="T324" s="481"/>
      <c r="U324" s="481"/>
      <c r="V324" s="481"/>
      <c r="W324" s="481"/>
      <c r="X324" s="481"/>
      <c r="Y324" s="481"/>
      <c r="Z324" s="481"/>
      <c r="AA324" s="481"/>
      <c r="AB324" s="481"/>
      <c r="CQ324" s="399"/>
      <c r="CR324" s="399"/>
      <c r="CS324" s="399"/>
      <c r="CT324" s="399"/>
      <c r="CU324" s="483"/>
      <c r="CV324" s="483"/>
      <c r="CW324" s="399"/>
      <c r="CX324" s="399"/>
      <c r="CY324" s="399"/>
      <c r="CZ324" s="399"/>
      <c r="DA324" s="399"/>
      <c r="DB324" s="399"/>
      <c r="DC324" s="399"/>
      <c r="DD324" s="399"/>
      <c r="DE324" s="399"/>
      <c r="DF324" s="399"/>
      <c r="DG324" s="399"/>
      <c r="DH324" s="399"/>
      <c r="DI324" s="399"/>
      <c r="DJ324" s="399"/>
      <c r="DK324" s="399"/>
      <c r="DL324" s="399"/>
      <c r="DM324" s="399"/>
      <c r="DN324" s="399"/>
      <c r="DO324" s="399"/>
      <c r="DP324" s="399"/>
      <c r="DQ324" s="399"/>
      <c r="DR324" s="399"/>
    </row>
    <row r="325" spans="2:122" s="480" customFormat="1" x14ac:dyDescent="0.2">
      <c r="B325" s="741"/>
      <c r="C325" s="1511"/>
      <c r="D325" s="1511"/>
      <c r="E325" s="1511"/>
      <c r="F325" s="1511"/>
      <c r="G325" s="1511"/>
      <c r="H325" s="1511"/>
      <c r="I325" s="1511"/>
      <c r="J325" s="1511"/>
      <c r="K325" s="1511"/>
      <c r="L325" s="1511"/>
      <c r="M325" s="1511"/>
      <c r="N325" s="1511"/>
      <c r="O325" s="1506"/>
      <c r="P325" s="1301"/>
      <c r="Q325" s="1301"/>
      <c r="R325" s="1301"/>
      <c r="S325" s="1302"/>
      <c r="T325" s="481"/>
      <c r="U325" s="481"/>
      <c r="V325" s="481"/>
      <c r="W325" s="481"/>
      <c r="X325" s="481"/>
      <c r="Y325" s="481"/>
      <c r="Z325" s="481"/>
      <c r="AA325" s="481"/>
      <c r="AB325" s="481"/>
      <c r="CQ325" s="399"/>
      <c r="CR325" s="399"/>
      <c r="CS325" s="399"/>
      <c r="CT325" s="399"/>
      <c r="CU325" s="483"/>
      <c r="CV325" s="483"/>
      <c r="CW325" s="399"/>
      <c r="CX325" s="399"/>
      <c r="CY325" s="399"/>
      <c r="CZ325" s="399"/>
      <c r="DA325" s="399"/>
      <c r="DB325" s="399"/>
      <c r="DC325" s="399"/>
      <c r="DD325" s="399"/>
      <c r="DE325" s="399"/>
      <c r="DF325" s="399"/>
      <c r="DG325" s="399"/>
      <c r="DH325" s="399"/>
      <c r="DI325" s="399"/>
      <c r="DJ325" s="399"/>
      <c r="DK325" s="399"/>
      <c r="DL325" s="399"/>
      <c r="DM325" s="399"/>
      <c r="DN325" s="399"/>
      <c r="DO325" s="399"/>
      <c r="DP325" s="399"/>
      <c r="DQ325" s="399"/>
      <c r="DR325" s="399"/>
    </row>
    <row r="326" spans="2:122" s="480" customFormat="1" x14ac:dyDescent="0.2">
      <c r="B326" s="741"/>
      <c r="C326" s="1511"/>
      <c r="D326" s="1511"/>
      <c r="E326" s="1511"/>
      <c r="F326" s="1511"/>
      <c r="G326" s="1511"/>
      <c r="H326" s="1511"/>
      <c r="I326" s="1511"/>
      <c r="J326" s="1511"/>
      <c r="K326" s="1511"/>
      <c r="L326" s="1511"/>
      <c r="M326" s="1511"/>
      <c r="N326" s="1511"/>
      <c r="O326" s="1506"/>
      <c r="P326" s="1301"/>
      <c r="Q326" s="1301"/>
      <c r="R326" s="1301"/>
      <c r="S326" s="1302"/>
      <c r="T326" s="481"/>
      <c r="U326" s="481"/>
      <c r="V326" s="481"/>
      <c r="W326" s="481"/>
      <c r="X326" s="481"/>
      <c r="Y326" s="481"/>
      <c r="Z326" s="481"/>
      <c r="AA326" s="481"/>
      <c r="AB326" s="481"/>
      <c r="CQ326" s="399"/>
      <c r="CR326" s="399"/>
      <c r="CS326" s="399"/>
      <c r="CT326" s="399"/>
      <c r="CU326" s="483"/>
      <c r="CV326" s="483"/>
      <c r="CW326" s="399"/>
      <c r="CX326" s="399"/>
      <c r="CY326" s="399"/>
      <c r="CZ326" s="399"/>
      <c r="DA326" s="399"/>
      <c r="DB326" s="399"/>
      <c r="DC326" s="399"/>
      <c r="DD326" s="399"/>
      <c r="DE326" s="399"/>
      <c r="DF326" s="399"/>
      <c r="DG326" s="399"/>
      <c r="DH326" s="399"/>
      <c r="DI326" s="399"/>
      <c r="DJ326" s="399"/>
      <c r="DK326" s="399"/>
      <c r="DL326" s="399"/>
      <c r="DM326" s="399"/>
      <c r="DN326" s="399"/>
      <c r="DO326" s="399"/>
      <c r="DP326" s="399"/>
      <c r="DQ326" s="399"/>
      <c r="DR326" s="399"/>
    </row>
    <row r="327" spans="2:122" s="480" customFormat="1" x14ac:dyDescent="0.2">
      <c r="B327" s="741"/>
      <c r="C327" s="1511"/>
      <c r="D327" s="1511"/>
      <c r="E327" s="1511"/>
      <c r="F327" s="1511"/>
      <c r="G327" s="1511"/>
      <c r="H327" s="1511"/>
      <c r="I327" s="1511"/>
      <c r="J327" s="1511"/>
      <c r="K327" s="1511"/>
      <c r="L327" s="1511"/>
      <c r="M327" s="1511"/>
      <c r="N327" s="1511"/>
      <c r="O327" s="1506"/>
      <c r="P327" s="1301"/>
      <c r="Q327" s="1301"/>
      <c r="R327" s="1301"/>
      <c r="S327" s="1302"/>
      <c r="T327" s="481"/>
      <c r="U327" s="481"/>
      <c r="V327" s="481"/>
      <c r="W327" s="481"/>
      <c r="X327" s="481"/>
      <c r="Y327" s="481"/>
      <c r="Z327" s="481"/>
      <c r="AA327" s="481"/>
      <c r="AB327" s="481"/>
      <c r="CQ327" s="399"/>
      <c r="CR327" s="399"/>
      <c r="CS327" s="399"/>
      <c r="CT327" s="399"/>
      <c r="CU327" s="483"/>
      <c r="CV327" s="483"/>
      <c r="CW327" s="399"/>
      <c r="CX327" s="399"/>
      <c r="CY327" s="399"/>
      <c r="CZ327" s="399"/>
      <c r="DA327" s="399"/>
      <c r="DB327" s="399"/>
      <c r="DC327" s="399"/>
      <c r="DD327" s="399"/>
      <c r="DE327" s="399"/>
      <c r="DF327" s="399"/>
      <c r="DG327" s="399"/>
      <c r="DH327" s="399"/>
      <c r="DI327" s="399"/>
      <c r="DJ327" s="399"/>
      <c r="DK327" s="399"/>
      <c r="DL327" s="399"/>
      <c r="DM327" s="399"/>
      <c r="DN327" s="399"/>
      <c r="DO327" s="399"/>
      <c r="DP327" s="399"/>
      <c r="DQ327" s="399"/>
      <c r="DR327" s="399"/>
    </row>
    <row r="328" spans="2:122" s="480" customFormat="1" x14ac:dyDescent="0.2">
      <c r="B328" s="741"/>
      <c r="C328" s="1511"/>
      <c r="D328" s="1511"/>
      <c r="E328" s="1511"/>
      <c r="F328" s="1511"/>
      <c r="G328" s="1511"/>
      <c r="H328" s="1511"/>
      <c r="I328" s="1511"/>
      <c r="J328" s="1511"/>
      <c r="K328" s="1511"/>
      <c r="L328" s="1511"/>
      <c r="M328" s="1511"/>
      <c r="N328" s="1511"/>
      <c r="O328" s="1506"/>
      <c r="P328" s="1301"/>
      <c r="Q328" s="1301"/>
      <c r="R328" s="1301"/>
      <c r="S328" s="1302"/>
      <c r="T328" s="481"/>
      <c r="U328" s="481"/>
      <c r="V328" s="481"/>
      <c r="W328" s="481"/>
      <c r="X328" s="481"/>
      <c r="Y328" s="481"/>
      <c r="Z328" s="481"/>
      <c r="AA328" s="481"/>
      <c r="AB328" s="481"/>
      <c r="CQ328" s="399"/>
      <c r="CR328" s="399"/>
      <c r="CS328" s="399"/>
      <c r="CT328" s="399"/>
      <c r="CU328" s="483"/>
      <c r="CV328" s="483"/>
      <c r="CW328" s="399"/>
      <c r="CX328" s="399"/>
      <c r="CY328" s="399"/>
      <c r="CZ328" s="399"/>
      <c r="DA328" s="399"/>
      <c r="DB328" s="399"/>
      <c r="DC328" s="399"/>
      <c r="DD328" s="399"/>
      <c r="DE328" s="399"/>
      <c r="DF328" s="399"/>
      <c r="DG328" s="399"/>
      <c r="DH328" s="399"/>
      <c r="DI328" s="399"/>
      <c r="DJ328" s="399"/>
      <c r="DK328" s="399"/>
      <c r="DL328" s="399"/>
      <c r="DM328" s="399"/>
      <c r="DN328" s="399"/>
      <c r="DO328" s="399"/>
      <c r="DP328" s="399"/>
      <c r="DQ328" s="399"/>
      <c r="DR328" s="399"/>
    </row>
    <row r="329" spans="2:122" s="480" customFormat="1" x14ac:dyDescent="0.2">
      <c r="B329" s="741"/>
      <c r="C329" s="1511"/>
      <c r="D329" s="1511"/>
      <c r="E329" s="1511"/>
      <c r="F329" s="1511"/>
      <c r="G329" s="1511"/>
      <c r="H329" s="1511"/>
      <c r="I329" s="1511"/>
      <c r="J329" s="1511"/>
      <c r="K329" s="1511"/>
      <c r="L329" s="1511"/>
      <c r="M329" s="1511"/>
      <c r="N329" s="1511"/>
      <c r="O329" s="1506"/>
      <c r="P329" s="1301"/>
      <c r="Q329" s="1301"/>
      <c r="R329" s="1301"/>
      <c r="S329" s="1302"/>
      <c r="T329" s="481"/>
      <c r="U329" s="481"/>
      <c r="V329" s="481"/>
      <c r="W329" s="481"/>
      <c r="X329" s="481"/>
      <c r="Y329" s="481"/>
      <c r="Z329" s="481"/>
      <c r="AA329" s="481"/>
      <c r="AB329" s="481"/>
      <c r="CQ329" s="399"/>
      <c r="CR329" s="399"/>
      <c r="CS329" s="399"/>
      <c r="CT329" s="399"/>
      <c r="CU329" s="483"/>
      <c r="CV329" s="483"/>
      <c r="CW329" s="399"/>
      <c r="CX329" s="399"/>
      <c r="CY329" s="399"/>
      <c r="CZ329" s="399"/>
      <c r="DA329" s="399"/>
      <c r="DB329" s="399"/>
      <c r="DC329" s="399"/>
      <c r="DD329" s="399"/>
      <c r="DE329" s="399"/>
      <c r="DF329" s="399"/>
      <c r="DG329" s="399"/>
      <c r="DH329" s="399"/>
      <c r="DI329" s="399"/>
      <c r="DJ329" s="399"/>
      <c r="DK329" s="399"/>
      <c r="DL329" s="399"/>
      <c r="DM329" s="399"/>
      <c r="DN329" s="399"/>
      <c r="DO329" s="399"/>
      <c r="DP329" s="399"/>
      <c r="DQ329" s="399"/>
      <c r="DR329" s="399"/>
    </row>
    <row r="330" spans="2:122" s="480" customFormat="1" x14ac:dyDescent="0.2">
      <c r="B330" s="741"/>
      <c r="C330" s="1511"/>
      <c r="D330" s="1511"/>
      <c r="E330" s="1511"/>
      <c r="F330" s="1511"/>
      <c r="G330" s="1511"/>
      <c r="H330" s="1511"/>
      <c r="I330" s="1511"/>
      <c r="J330" s="1511"/>
      <c r="K330" s="1511"/>
      <c r="L330" s="1511"/>
      <c r="M330" s="1511"/>
      <c r="N330" s="1511"/>
      <c r="O330" s="1506"/>
      <c r="P330" s="1301"/>
      <c r="Q330" s="1301"/>
      <c r="R330" s="1301"/>
      <c r="S330" s="1302"/>
      <c r="T330" s="481"/>
      <c r="U330" s="481"/>
      <c r="V330" s="481"/>
      <c r="W330" s="481"/>
      <c r="X330" s="481"/>
      <c r="Y330" s="481"/>
      <c r="Z330" s="481"/>
      <c r="AA330" s="481"/>
      <c r="AB330" s="481"/>
      <c r="CQ330" s="399"/>
      <c r="CR330" s="399"/>
      <c r="CS330" s="399"/>
      <c r="CT330" s="399"/>
      <c r="CU330" s="483"/>
      <c r="CV330" s="483"/>
      <c r="CW330" s="399"/>
      <c r="CX330" s="399"/>
      <c r="CY330" s="399"/>
      <c r="CZ330" s="399"/>
      <c r="DA330" s="399"/>
      <c r="DB330" s="399"/>
      <c r="DC330" s="399"/>
      <c r="DD330" s="399"/>
      <c r="DE330" s="399"/>
      <c r="DF330" s="399"/>
      <c r="DG330" s="399"/>
      <c r="DH330" s="399"/>
      <c r="DI330" s="399"/>
      <c r="DJ330" s="399"/>
      <c r="DK330" s="399"/>
      <c r="DL330" s="399"/>
      <c r="DM330" s="399"/>
      <c r="DN330" s="399"/>
      <c r="DO330" s="399"/>
      <c r="DP330" s="399"/>
      <c r="DQ330" s="399"/>
      <c r="DR330" s="399"/>
    </row>
    <row r="331" spans="2:122" s="480" customFormat="1" x14ac:dyDescent="0.2">
      <c r="B331" s="741"/>
      <c r="C331" s="1511"/>
      <c r="D331" s="1511"/>
      <c r="E331" s="1511"/>
      <c r="F331" s="1511"/>
      <c r="G331" s="1511"/>
      <c r="H331" s="1511"/>
      <c r="I331" s="1511"/>
      <c r="J331" s="1511"/>
      <c r="K331" s="1511"/>
      <c r="L331" s="1511"/>
      <c r="M331" s="1511"/>
      <c r="N331" s="1511"/>
      <c r="O331" s="1506"/>
      <c r="P331" s="1301"/>
      <c r="Q331" s="1301"/>
      <c r="R331" s="1301"/>
      <c r="S331" s="1302"/>
      <c r="T331" s="481"/>
      <c r="U331" s="481"/>
      <c r="V331" s="481"/>
      <c r="W331" s="481"/>
      <c r="X331" s="481"/>
      <c r="Y331" s="481"/>
      <c r="Z331" s="481"/>
      <c r="AA331" s="481"/>
      <c r="AB331" s="481"/>
      <c r="CQ331" s="399"/>
      <c r="CR331" s="399"/>
      <c r="CS331" s="399"/>
      <c r="CT331" s="399"/>
      <c r="CU331" s="483"/>
      <c r="CV331" s="483"/>
      <c r="CW331" s="399"/>
      <c r="CX331" s="399"/>
      <c r="CY331" s="399"/>
      <c r="CZ331" s="399"/>
      <c r="DA331" s="399"/>
      <c r="DB331" s="399"/>
      <c r="DC331" s="399"/>
      <c r="DD331" s="399"/>
      <c r="DE331" s="399"/>
      <c r="DF331" s="399"/>
      <c r="DG331" s="399"/>
      <c r="DH331" s="399"/>
      <c r="DI331" s="399"/>
      <c r="DJ331" s="399"/>
      <c r="DK331" s="399"/>
      <c r="DL331" s="399"/>
      <c r="DM331" s="399"/>
      <c r="DN331" s="399"/>
      <c r="DO331" s="399"/>
      <c r="DP331" s="399"/>
      <c r="DQ331" s="399"/>
      <c r="DR331" s="399"/>
    </row>
    <row r="332" spans="2:122" s="480" customFormat="1" x14ac:dyDescent="0.2">
      <c r="B332" s="741"/>
      <c r="C332" s="1511"/>
      <c r="D332" s="1511"/>
      <c r="E332" s="1511"/>
      <c r="F332" s="1511"/>
      <c r="G332" s="1511"/>
      <c r="H332" s="1511"/>
      <c r="I332" s="1511"/>
      <c r="J332" s="1511"/>
      <c r="K332" s="1511"/>
      <c r="L332" s="1511"/>
      <c r="M332" s="1511"/>
      <c r="N332" s="1511"/>
      <c r="O332" s="1506"/>
      <c r="P332" s="1301"/>
      <c r="Q332" s="1301"/>
      <c r="R332" s="1301"/>
      <c r="S332" s="1302"/>
      <c r="T332" s="481"/>
      <c r="U332" s="481"/>
      <c r="V332" s="481"/>
      <c r="W332" s="481"/>
      <c r="X332" s="481"/>
      <c r="Y332" s="481"/>
      <c r="Z332" s="481"/>
      <c r="AA332" s="481"/>
      <c r="AB332" s="481"/>
      <c r="CQ332" s="399"/>
      <c r="CR332" s="399"/>
      <c r="CS332" s="399"/>
      <c r="CT332" s="399"/>
      <c r="CU332" s="483"/>
      <c r="CV332" s="483"/>
      <c r="CW332" s="399"/>
      <c r="CX332" s="399"/>
      <c r="CY332" s="399"/>
      <c r="CZ332" s="399"/>
      <c r="DA332" s="399"/>
      <c r="DB332" s="399"/>
      <c r="DC332" s="399"/>
      <c r="DD332" s="399"/>
      <c r="DE332" s="399"/>
      <c r="DF332" s="399"/>
      <c r="DG332" s="399"/>
      <c r="DH332" s="399"/>
      <c r="DI332" s="399"/>
      <c r="DJ332" s="399"/>
      <c r="DK332" s="399"/>
      <c r="DL332" s="399"/>
      <c r="DM332" s="399"/>
      <c r="DN332" s="399"/>
      <c r="DO332" s="399"/>
      <c r="DP332" s="399"/>
      <c r="DQ332" s="399"/>
      <c r="DR332" s="399"/>
    </row>
    <row r="333" spans="2:122" s="480" customFormat="1" x14ac:dyDescent="0.2">
      <c r="B333" s="741"/>
      <c r="C333" s="1511"/>
      <c r="D333" s="1511"/>
      <c r="E333" s="1511"/>
      <c r="F333" s="1511"/>
      <c r="G333" s="1511"/>
      <c r="H333" s="1511"/>
      <c r="I333" s="1511"/>
      <c r="J333" s="1511"/>
      <c r="K333" s="1511"/>
      <c r="L333" s="1511"/>
      <c r="M333" s="1511"/>
      <c r="N333" s="1511"/>
      <c r="O333" s="1506"/>
      <c r="P333" s="1301"/>
      <c r="Q333" s="1301"/>
      <c r="R333" s="1301"/>
      <c r="S333" s="1302"/>
      <c r="T333" s="481"/>
      <c r="U333" s="481"/>
      <c r="V333" s="481"/>
      <c r="W333" s="481"/>
      <c r="X333" s="481"/>
      <c r="Y333" s="481"/>
      <c r="Z333" s="481"/>
      <c r="AA333" s="481"/>
      <c r="AB333" s="481"/>
      <c r="CQ333" s="399"/>
      <c r="CR333" s="399"/>
      <c r="CS333" s="399"/>
      <c r="CT333" s="399"/>
      <c r="CU333" s="483"/>
      <c r="CV333" s="483"/>
      <c r="CW333" s="399"/>
      <c r="CX333" s="399"/>
      <c r="CY333" s="399"/>
      <c r="CZ333" s="399"/>
      <c r="DA333" s="399"/>
      <c r="DB333" s="399"/>
      <c r="DC333" s="399"/>
      <c r="DD333" s="399"/>
      <c r="DE333" s="399"/>
      <c r="DF333" s="399"/>
      <c r="DG333" s="399"/>
      <c r="DH333" s="399"/>
      <c r="DI333" s="399"/>
      <c r="DJ333" s="399"/>
      <c r="DK333" s="399"/>
      <c r="DL333" s="399"/>
      <c r="DM333" s="399"/>
      <c r="DN333" s="399"/>
      <c r="DO333" s="399"/>
      <c r="DP333" s="399"/>
      <c r="DQ333" s="399"/>
      <c r="DR333" s="399"/>
    </row>
    <row r="334" spans="2:122" s="480" customFormat="1" x14ac:dyDescent="0.2">
      <c r="B334" s="741"/>
      <c r="C334" s="1511"/>
      <c r="D334" s="1511"/>
      <c r="E334" s="1511"/>
      <c r="F334" s="1511"/>
      <c r="G334" s="1511"/>
      <c r="H334" s="1511"/>
      <c r="I334" s="1511"/>
      <c r="J334" s="1511"/>
      <c r="K334" s="1511"/>
      <c r="L334" s="1511"/>
      <c r="M334" s="1511"/>
      <c r="N334" s="1511"/>
      <c r="O334" s="1506"/>
      <c r="P334" s="1301"/>
      <c r="Q334" s="1301"/>
      <c r="R334" s="1301"/>
      <c r="S334" s="1302"/>
      <c r="T334" s="481"/>
      <c r="U334" s="481"/>
      <c r="V334" s="481"/>
      <c r="W334" s="481"/>
      <c r="X334" s="481"/>
      <c r="Y334" s="481"/>
      <c r="Z334" s="481"/>
      <c r="AA334" s="481"/>
      <c r="AB334" s="481"/>
      <c r="CQ334" s="399"/>
      <c r="CR334" s="399"/>
      <c r="CS334" s="399"/>
      <c r="CT334" s="399"/>
      <c r="CU334" s="483"/>
      <c r="CV334" s="483"/>
      <c r="CW334" s="399"/>
      <c r="CX334" s="399"/>
      <c r="CY334" s="399"/>
      <c r="CZ334" s="399"/>
      <c r="DA334" s="399"/>
      <c r="DB334" s="399"/>
      <c r="DC334" s="399"/>
      <c r="DD334" s="399"/>
      <c r="DE334" s="399"/>
      <c r="DF334" s="399"/>
      <c r="DG334" s="399"/>
      <c r="DH334" s="399"/>
      <c r="DI334" s="399"/>
      <c r="DJ334" s="399"/>
      <c r="DK334" s="399"/>
      <c r="DL334" s="399"/>
      <c r="DM334" s="399"/>
      <c r="DN334" s="399"/>
      <c r="DO334" s="399"/>
      <c r="DP334" s="399"/>
      <c r="DQ334" s="399"/>
      <c r="DR334" s="399"/>
    </row>
    <row r="335" spans="2:122" s="480" customFormat="1" x14ac:dyDescent="0.2">
      <c r="B335" s="741"/>
      <c r="C335" s="1511"/>
      <c r="D335" s="1511"/>
      <c r="E335" s="1511"/>
      <c r="F335" s="1511"/>
      <c r="G335" s="1511"/>
      <c r="H335" s="1511"/>
      <c r="I335" s="1511"/>
      <c r="J335" s="1511"/>
      <c r="K335" s="1511"/>
      <c r="L335" s="1511"/>
      <c r="M335" s="1511"/>
      <c r="N335" s="1511"/>
      <c r="O335" s="1506"/>
      <c r="P335" s="1301"/>
      <c r="Q335" s="1301"/>
      <c r="R335" s="1301"/>
      <c r="S335" s="1302"/>
      <c r="T335" s="481"/>
      <c r="U335" s="481"/>
      <c r="V335" s="481"/>
      <c r="W335" s="481"/>
      <c r="X335" s="481"/>
      <c r="Y335" s="481"/>
      <c r="Z335" s="481"/>
      <c r="AA335" s="481"/>
      <c r="AB335" s="481"/>
      <c r="CQ335" s="399"/>
      <c r="CR335" s="399"/>
      <c r="CS335" s="399"/>
      <c r="CT335" s="399"/>
      <c r="CU335" s="483"/>
      <c r="CV335" s="483"/>
      <c r="CW335" s="399"/>
      <c r="CX335" s="399"/>
      <c r="CY335" s="399"/>
      <c r="CZ335" s="399"/>
      <c r="DA335" s="399"/>
      <c r="DB335" s="399"/>
      <c r="DC335" s="399"/>
      <c r="DD335" s="399"/>
      <c r="DE335" s="399"/>
      <c r="DF335" s="399"/>
      <c r="DG335" s="399"/>
      <c r="DH335" s="399"/>
      <c r="DI335" s="399"/>
      <c r="DJ335" s="399"/>
      <c r="DK335" s="399"/>
      <c r="DL335" s="399"/>
      <c r="DM335" s="399"/>
      <c r="DN335" s="399"/>
      <c r="DO335" s="399"/>
      <c r="DP335" s="399"/>
      <c r="DQ335" s="399"/>
      <c r="DR335" s="399"/>
    </row>
    <row r="336" spans="2:122" s="480" customFormat="1" x14ac:dyDescent="0.2">
      <c r="B336" s="741"/>
      <c r="C336" s="1511"/>
      <c r="D336" s="1511"/>
      <c r="E336" s="1511"/>
      <c r="F336" s="1511"/>
      <c r="G336" s="1511"/>
      <c r="H336" s="1511"/>
      <c r="I336" s="1511"/>
      <c r="J336" s="1511"/>
      <c r="K336" s="1511"/>
      <c r="L336" s="1511"/>
      <c r="M336" s="1511"/>
      <c r="N336" s="1511"/>
      <c r="O336" s="1506"/>
      <c r="P336" s="1301"/>
      <c r="Q336" s="1301"/>
      <c r="R336" s="1301"/>
      <c r="S336" s="1302"/>
      <c r="T336" s="481"/>
      <c r="U336" s="481"/>
      <c r="V336" s="481"/>
      <c r="W336" s="481"/>
      <c r="X336" s="481"/>
      <c r="Y336" s="481"/>
      <c r="Z336" s="481"/>
      <c r="AA336" s="481"/>
      <c r="AB336" s="481"/>
      <c r="CQ336" s="399"/>
      <c r="CR336" s="399"/>
      <c r="CS336" s="399"/>
      <c r="CT336" s="399"/>
      <c r="CU336" s="483"/>
      <c r="CV336" s="483"/>
      <c r="CW336" s="399"/>
      <c r="CX336" s="399"/>
      <c r="CY336" s="399"/>
      <c r="CZ336" s="399"/>
      <c r="DA336" s="399"/>
      <c r="DB336" s="399"/>
      <c r="DC336" s="399"/>
      <c r="DD336" s="399"/>
      <c r="DE336" s="399"/>
      <c r="DF336" s="399"/>
      <c r="DG336" s="399"/>
      <c r="DH336" s="399"/>
      <c r="DI336" s="399"/>
      <c r="DJ336" s="399"/>
      <c r="DK336" s="399"/>
      <c r="DL336" s="399"/>
      <c r="DM336" s="399"/>
      <c r="DN336" s="399"/>
      <c r="DO336" s="399"/>
      <c r="DP336" s="399"/>
      <c r="DQ336" s="399"/>
      <c r="DR336" s="399"/>
    </row>
    <row r="337" spans="1:122" s="480" customFormat="1" x14ac:dyDescent="0.2">
      <c r="B337" s="741"/>
      <c r="C337" s="1511"/>
      <c r="D337" s="1511"/>
      <c r="E337" s="1511"/>
      <c r="F337" s="1511"/>
      <c r="G337" s="1511"/>
      <c r="H337" s="1511"/>
      <c r="I337" s="1511"/>
      <c r="J337" s="1511"/>
      <c r="K337" s="1511"/>
      <c r="L337" s="1511"/>
      <c r="M337" s="1511"/>
      <c r="N337" s="1511"/>
      <c r="O337" s="1506"/>
      <c r="P337" s="1301"/>
      <c r="Q337" s="1301"/>
      <c r="R337" s="1301"/>
      <c r="S337" s="1302"/>
      <c r="T337" s="481"/>
      <c r="U337" s="481"/>
      <c r="V337" s="481"/>
      <c r="W337" s="481"/>
      <c r="X337" s="481"/>
      <c r="Y337" s="481"/>
      <c r="Z337" s="481"/>
      <c r="AA337" s="481"/>
      <c r="AB337" s="481"/>
      <c r="CQ337" s="399"/>
      <c r="CR337" s="399"/>
      <c r="CS337" s="399"/>
      <c r="CT337" s="399"/>
      <c r="CU337" s="483"/>
      <c r="CV337" s="483"/>
      <c r="CW337" s="399"/>
      <c r="CX337" s="399"/>
      <c r="CY337" s="399"/>
      <c r="CZ337" s="399"/>
      <c r="DA337" s="399"/>
      <c r="DB337" s="399"/>
      <c r="DC337" s="399"/>
      <c r="DD337" s="399"/>
      <c r="DE337" s="399"/>
      <c r="DF337" s="399"/>
      <c r="DG337" s="399"/>
      <c r="DH337" s="399"/>
      <c r="DI337" s="399"/>
      <c r="DJ337" s="399"/>
      <c r="DK337" s="399"/>
      <c r="DL337" s="399"/>
      <c r="DM337" s="399"/>
      <c r="DN337" s="399"/>
      <c r="DO337" s="399"/>
      <c r="DP337" s="399"/>
      <c r="DQ337" s="399"/>
      <c r="DR337" s="399"/>
    </row>
    <row r="338" spans="1:122" s="480" customFormat="1" x14ac:dyDescent="0.2">
      <c r="B338" s="741"/>
      <c r="C338" s="1511"/>
      <c r="D338" s="1511"/>
      <c r="E338" s="1511"/>
      <c r="F338" s="1511"/>
      <c r="G338" s="1511"/>
      <c r="H338" s="1511"/>
      <c r="I338" s="1511"/>
      <c r="J338" s="1511"/>
      <c r="K338" s="1511"/>
      <c r="L338" s="1511"/>
      <c r="M338" s="1511"/>
      <c r="N338" s="1511"/>
      <c r="O338" s="1506"/>
      <c r="P338" s="1301"/>
      <c r="Q338" s="1301"/>
      <c r="R338" s="1301"/>
      <c r="S338" s="1302"/>
      <c r="T338" s="481"/>
      <c r="U338" s="481"/>
      <c r="V338" s="481"/>
      <c r="W338" s="481"/>
      <c r="X338" s="481"/>
      <c r="Y338" s="481"/>
      <c r="Z338" s="481"/>
      <c r="AA338" s="481"/>
      <c r="AB338" s="481"/>
      <c r="CQ338" s="399"/>
      <c r="CR338" s="399"/>
      <c r="CS338" s="399"/>
      <c r="CT338" s="399"/>
      <c r="CU338" s="483"/>
      <c r="CV338" s="483"/>
      <c r="CW338" s="399"/>
      <c r="CX338" s="399"/>
      <c r="CY338" s="399"/>
      <c r="CZ338" s="399"/>
      <c r="DA338" s="399"/>
      <c r="DB338" s="399"/>
      <c r="DC338" s="399"/>
      <c r="DD338" s="399"/>
      <c r="DE338" s="399"/>
      <c r="DF338" s="399"/>
      <c r="DG338" s="399"/>
      <c r="DH338" s="399"/>
      <c r="DI338" s="399"/>
      <c r="DJ338" s="399"/>
      <c r="DK338" s="399"/>
      <c r="DL338" s="399"/>
      <c r="DM338" s="399"/>
      <c r="DN338" s="399"/>
      <c r="DO338" s="399"/>
      <c r="DP338" s="399"/>
      <c r="DQ338" s="399"/>
      <c r="DR338" s="399"/>
    </row>
    <row r="339" spans="1:122" s="480" customFormat="1" x14ac:dyDescent="0.2">
      <c r="B339" s="741"/>
      <c r="C339" s="1511"/>
      <c r="D339" s="1511"/>
      <c r="E339" s="1511"/>
      <c r="F339" s="1511"/>
      <c r="G339" s="1511"/>
      <c r="H339" s="1511"/>
      <c r="I339" s="1511"/>
      <c r="J339" s="1511"/>
      <c r="K339" s="1511"/>
      <c r="L339" s="1511"/>
      <c r="M339" s="1511"/>
      <c r="N339" s="1511"/>
      <c r="O339" s="1506"/>
      <c r="P339" s="1301"/>
      <c r="Q339" s="1301"/>
      <c r="R339" s="1301"/>
      <c r="S339" s="1302"/>
      <c r="T339" s="481"/>
      <c r="U339" s="481"/>
      <c r="V339" s="481"/>
      <c r="W339" s="481"/>
      <c r="X339" s="481"/>
      <c r="Y339" s="481"/>
      <c r="Z339" s="481"/>
      <c r="AA339" s="481"/>
      <c r="AB339" s="481"/>
      <c r="CQ339" s="399"/>
      <c r="CR339" s="399"/>
      <c r="CS339" s="399"/>
      <c r="CT339" s="399"/>
      <c r="CU339" s="483"/>
      <c r="CV339" s="483"/>
      <c r="CW339" s="399"/>
      <c r="CX339" s="399"/>
      <c r="CY339" s="399"/>
      <c r="CZ339" s="399"/>
      <c r="DA339" s="399"/>
      <c r="DB339" s="399"/>
      <c r="DC339" s="399"/>
      <c r="DD339" s="399"/>
      <c r="DE339" s="399"/>
      <c r="DF339" s="399"/>
      <c r="DG339" s="399"/>
      <c r="DH339" s="399"/>
      <c r="DI339" s="399"/>
      <c r="DJ339" s="399"/>
      <c r="DK339" s="399"/>
      <c r="DL339" s="399"/>
      <c r="DM339" s="399"/>
      <c r="DN339" s="399"/>
      <c r="DO339" s="399"/>
      <c r="DP339" s="399"/>
      <c r="DQ339" s="399"/>
      <c r="DR339" s="399"/>
    </row>
    <row r="340" spans="1:122" s="480" customFormat="1" x14ac:dyDescent="0.2">
      <c r="B340" s="741"/>
      <c r="C340" s="1511"/>
      <c r="D340" s="1511"/>
      <c r="E340" s="1511"/>
      <c r="F340" s="1511"/>
      <c r="G340" s="1511"/>
      <c r="H340" s="1511"/>
      <c r="I340" s="1511"/>
      <c r="J340" s="1511"/>
      <c r="K340" s="1511"/>
      <c r="L340" s="1511"/>
      <c r="M340" s="1511"/>
      <c r="N340" s="1511"/>
      <c r="O340" s="1506"/>
      <c r="P340" s="1301"/>
      <c r="Q340" s="1301"/>
      <c r="R340" s="1301"/>
      <c r="S340" s="1302"/>
      <c r="T340" s="481"/>
      <c r="U340" s="481"/>
      <c r="V340" s="481"/>
      <c r="W340" s="481"/>
      <c r="X340" s="481"/>
      <c r="Y340" s="481"/>
      <c r="Z340" s="481"/>
      <c r="AA340" s="481"/>
      <c r="AB340" s="481"/>
      <c r="CQ340" s="399"/>
      <c r="CR340" s="399"/>
      <c r="CS340" s="399"/>
      <c r="CT340" s="399"/>
      <c r="CU340" s="483"/>
      <c r="CV340" s="483"/>
      <c r="CW340" s="399"/>
      <c r="CX340" s="399"/>
      <c r="CY340" s="399"/>
      <c r="CZ340" s="399"/>
      <c r="DA340" s="399"/>
      <c r="DB340" s="399"/>
      <c r="DC340" s="399"/>
      <c r="DD340" s="399"/>
      <c r="DE340" s="399"/>
      <c r="DF340" s="399"/>
      <c r="DG340" s="399"/>
      <c r="DH340" s="399"/>
      <c r="DI340" s="399"/>
      <c r="DJ340" s="399"/>
      <c r="DK340" s="399"/>
      <c r="DL340" s="399"/>
      <c r="DM340" s="399"/>
      <c r="DN340" s="399"/>
      <c r="DO340" s="399"/>
      <c r="DP340" s="399"/>
      <c r="DQ340" s="399"/>
      <c r="DR340" s="399"/>
    </row>
    <row r="341" spans="1:122" s="480" customFormat="1" x14ac:dyDescent="0.2">
      <c r="B341" s="741"/>
      <c r="C341" s="1511"/>
      <c r="D341" s="1511"/>
      <c r="E341" s="1511"/>
      <c r="F341" s="1511"/>
      <c r="G341" s="1511"/>
      <c r="H341" s="1511"/>
      <c r="I341" s="1511"/>
      <c r="J341" s="1511"/>
      <c r="K341" s="1511"/>
      <c r="L341" s="1511"/>
      <c r="M341" s="1511"/>
      <c r="N341" s="1511"/>
      <c r="O341" s="1506"/>
      <c r="P341" s="1301"/>
      <c r="Q341" s="1301"/>
      <c r="R341" s="1301"/>
      <c r="S341" s="1302"/>
      <c r="T341" s="481"/>
      <c r="U341" s="481"/>
      <c r="V341" s="481"/>
      <c r="W341" s="481"/>
      <c r="X341" s="481"/>
      <c r="Y341" s="481"/>
      <c r="Z341" s="481"/>
      <c r="AA341" s="481"/>
      <c r="AB341" s="481"/>
      <c r="CQ341" s="399"/>
      <c r="CR341" s="399"/>
      <c r="CS341" s="399"/>
      <c r="CT341" s="399"/>
      <c r="CU341" s="483"/>
      <c r="CV341" s="483"/>
      <c r="CW341" s="399"/>
      <c r="CX341" s="399"/>
      <c r="CY341" s="399"/>
      <c r="CZ341" s="399"/>
      <c r="DA341" s="399"/>
      <c r="DB341" s="399"/>
      <c r="DC341" s="399"/>
      <c r="DD341" s="399"/>
      <c r="DE341" s="399"/>
      <c r="DF341" s="399"/>
      <c r="DG341" s="399"/>
      <c r="DH341" s="399"/>
      <c r="DI341" s="399"/>
      <c r="DJ341" s="399"/>
      <c r="DK341" s="399"/>
      <c r="DL341" s="399"/>
      <c r="DM341" s="399"/>
      <c r="DN341" s="399"/>
      <c r="DO341" s="399"/>
      <c r="DP341" s="399"/>
      <c r="DQ341" s="399"/>
      <c r="DR341" s="399"/>
    </row>
    <row r="342" spans="1:122" s="480" customFormat="1" x14ac:dyDescent="0.2">
      <c r="B342" s="741"/>
      <c r="C342" s="1511"/>
      <c r="D342" s="1511"/>
      <c r="E342" s="1511"/>
      <c r="F342" s="1511"/>
      <c r="G342" s="1511"/>
      <c r="H342" s="1511"/>
      <c r="I342" s="1511"/>
      <c r="J342" s="1511"/>
      <c r="K342" s="1511"/>
      <c r="L342" s="1511"/>
      <c r="M342" s="1511"/>
      <c r="N342" s="1511"/>
      <c r="O342" s="1506"/>
      <c r="P342" s="1301"/>
      <c r="Q342" s="1301"/>
      <c r="R342" s="1301"/>
      <c r="S342" s="1302"/>
      <c r="T342" s="481"/>
      <c r="U342" s="481"/>
      <c r="V342" s="481"/>
      <c r="W342" s="481"/>
      <c r="X342" s="481"/>
      <c r="Y342" s="481"/>
      <c r="Z342" s="481"/>
      <c r="AA342" s="481"/>
      <c r="AB342" s="481"/>
      <c r="CQ342" s="399"/>
      <c r="CR342" s="399"/>
      <c r="CS342" s="399"/>
      <c r="CT342" s="399"/>
      <c r="CU342" s="483"/>
      <c r="CV342" s="483"/>
      <c r="CW342" s="399"/>
      <c r="CX342" s="399"/>
      <c r="CY342" s="399"/>
      <c r="CZ342" s="399"/>
      <c r="DA342" s="399"/>
      <c r="DB342" s="399"/>
      <c r="DC342" s="399"/>
      <c r="DD342" s="399"/>
      <c r="DE342" s="399"/>
      <c r="DF342" s="399"/>
      <c r="DG342" s="399"/>
      <c r="DH342" s="399"/>
      <c r="DI342" s="399"/>
      <c r="DJ342" s="399"/>
      <c r="DK342" s="399"/>
      <c r="DL342" s="399"/>
      <c r="DM342" s="399"/>
      <c r="DN342" s="399"/>
      <c r="DO342" s="399"/>
      <c r="DP342" s="399"/>
      <c r="DQ342" s="399"/>
      <c r="DR342" s="399"/>
    </row>
    <row r="343" spans="1:122" s="480" customFormat="1" x14ac:dyDescent="0.2">
      <c r="B343" s="741"/>
      <c r="C343" s="1511"/>
      <c r="D343" s="1511"/>
      <c r="E343" s="1511"/>
      <c r="F343" s="1511"/>
      <c r="G343" s="1511"/>
      <c r="H343" s="1511"/>
      <c r="I343" s="1511"/>
      <c r="J343" s="1511"/>
      <c r="K343" s="1511"/>
      <c r="L343" s="1511"/>
      <c r="M343" s="1511"/>
      <c r="N343" s="1511"/>
      <c r="O343" s="1506"/>
      <c r="P343" s="1301"/>
      <c r="Q343" s="1301"/>
      <c r="R343" s="1301"/>
      <c r="S343" s="1302"/>
      <c r="T343" s="481"/>
      <c r="U343" s="481"/>
      <c r="V343" s="481"/>
      <c r="W343" s="481"/>
      <c r="X343" s="481"/>
      <c r="Y343" s="481"/>
      <c r="Z343" s="481"/>
      <c r="AA343" s="481"/>
      <c r="AB343" s="481"/>
      <c r="CQ343" s="399"/>
      <c r="CR343" s="399"/>
      <c r="CS343" s="399"/>
      <c r="CT343" s="399"/>
      <c r="CU343" s="483"/>
      <c r="CV343" s="483"/>
      <c r="CW343" s="399"/>
      <c r="CX343" s="399"/>
      <c r="CY343" s="399"/>
      <c r="CZ343" s="399"/>
      <c r="DA343" s="399"/>
      <c r="DB343" s="399"/>
      <c r="DC343" s="399"/>
      <c r="DD343" s="399"/>
      <c r="DE343" s="399"/>
      <c r="DF343" s="399"/>
      <c r="DG343" s="399"/>
      <c r="DH343" s="399"/>
      <c r="DI343" s="399"/>
      <c r="DJ343" s="399"/>
      <c r="DK343" s="399"/>
      <c r="DL343" s="399"/>
      <c r="DM343" s="399"/>
      <c r="DN343" s="399"/>
      <c r="DO343" s="399"/>
      <c r="DP343" s="399"/>
      <c r="DQ343" s="399"/>
      <c r="DR343" s="399"/>
    </row>
    <row r="344" spans="1:122" s="480" customFormat="1" x14ac:dyDescent="0.2">
      <c r="B344" s="741"/>
      <c r="C344" s="1511"/>
      <c r="D344" s="1511"/>
      <c r="E344" s="1511"/>
      <c r="F344" s="1511"/>
      <c r="G344" s="1511"/>
      <c r="H344" s="1511"/>
      <c r="I344" s="1511"/>
      <c r="J344" s="1511"/>
      <c r="K344" s="1511"/>
      <c r="L344" s="1511"/>
      <c r="M344" s="1511"/>
      <c r="N344" s="1511"/>
      <c r="O344" s="1506"/>
      <c r="P344" s="1301"/>
      <c r="Q344" s="1301"/>
      <c r="R344" s="1301"/>
      <c r="S344" s="1302"/>
      <c r="T344" s="481"/>
      <c r="U344" s="481"/>
      <c r="V344" s="481"/>
      <c r="W344" s="481"/>
      <c r="X344" s="481"/>
      <c r="Y344" s="481"/>
      <c r="Z344" s="481"/>
      <c r="AA344" s="481"/>
      <c r="AB344" s="481"/>
      <c r="CQ344" s="399"/>
      <c r="CR344" s="399"/>
      <c r="CS344" s="399"/>
      <c r="CT344" s="399"/>
      <c r="CU344" s="483"/>
      <c r="CV344" s="483"/>
      <c r="CW344" s="399"/>
      <c r="CX344" s="399"/>
      <c r="CY344" s="399"/>
      <c r="CZ344" s="399"/>
      <c r="DA344" s="399"/>
      <c r="DB344" s="399"/>
      <c r="DC344" s="399"/>
      <c r="DD344" s="399"/>
      <c r="DE344" s="399"/>
      <c r="DF344" s="399"/>
      <c r="DG344" s="399"/>
      <c r="DH344" s="399"/>
      <c r="DI344" s="399"/>
      <c r="DJ344" s="399"/>
      <c r="DK344" s="399"/>
      <c r="DL344" s="399"/>
      <c r="DM344" s="399"/>
      <c r="DN344" s="399"/>
      <c r="DO344" s="399"/>
      <c r="DP344" s="399"/>
      <c r="DQ344" s="399"/>
      <c r="DR344" s="399"/>
    </row>
    <row r="345" spans="1:122" s="208" customFormat="1" x14ac:dyDescent="0.2">
      <c r="B345" s="562"/>
      <c r="C345" s="1300"/>
      <c r="D345" s="1301"/>
      <c r="E345" s="1302"/>
      <c r="F345" s="1301"/>
      <c r="G345" s="1302"/>
      <c r="H345" s="1301"/>
      <c r="I345" s="1302"/>
      <c r="J345" s="1301"/>
      <c r="K345" s="1303"/>
      <c r="L345" s="1300"/>
      <c r="M345" s="1303"/>
      <c r="N345" s="1300"/>
      <c r="O345" s="1301"/>
      <c r="P345" s="1301"/>
      <c r="Q345" s="1301"/>
      <c r="R345" s="1301"/>
      <c r="S345" s="1302"/>
      <c r="T345" s="1222"/>
      <c r="U345" s="1222"/>
      <c r="V345" s="1222"/>
      <c r="W345" s="1222"/>
      <c r="X345" s="1222"/>
      <c r="Y345" s="1222"/>
      <c r="Z345" s="1222"/>
      <c r="AA345" s="1222"/>
      <c r="AB345" s="1222"/>
      <c r="CQ345" s="382"/>
      <c r="CR345" s="382"/>
      <c r="CS345" s="382"/>
      <c r="CT345" s="382"/>
      <c r="CU345" s="568"/>
      <c r="CV345" s="568"/>
      <c r="CW345" s="382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</row>
    <row r="346" spans="1:122" s="480" customFormat="1" ht="14.45" customHeight="1" x14ac:dyDescent="0.2">
      <c r="B346" s="482"/>
      <c r="C346" s="1300"/>
      <c r="D346" s="1301"/>
      <c r="E346" s="1302"/>
      <c r="F346" s="1301"/>
      <c r="G346" s="1302"/>
      <c r="H346" s="1301"/>
      <c r="I346" s="1302"/>
      <c r="J346" s="1301"/>
      <c r="K346" s="1303"/>
      <c r="L346" s="1300"/>
      <c r="M346" s="1303"/>
      <c r="N346" s="1300"/>
      <c r="S346" s="481"/>
      <c r="T346" s="481"/>
      <c r="U346" s="481"/>
      <c r="V346" s="481"/>
      <c r="W346" s="481"/>
      <c r="X346" s="481"/>
      <c r="Y346" s="481"/>
      <c r="Z346" s="481"/>
      <c r="AA346" s="481"/>
      <c r="AB346" s="481"/>
      <c r="CQ346" s="399"/>
      <c r="CR346" s="399"/>
      <c r="CS346" s="399"/>
      <c r="CT346" s="399"/>
      <c r="CU346" s="483"/>
      <c r="CV346" s="568"/>
      <c r="CW346" s="382"/>
      <c r="CX346" s="399"/>
      <c r="CY346" s="399"/>
      <c r="CZ346" s="399"/>
      <c r="DA346" s="399"/>
      <c r="DB346" s="399"/>
      <c r="DC346" s="399"/>
      <c r="DD346" s="399"/>
      <c r="DE346" s="399"/>
      <c r="DF346" s="399"/>
      <c r="DG346" s="399"/>
      <c r="DH346" s="399"/>
      <c r="DI346" s="399"/>
      <c r="DJ346" s="399"/>
      <c r="DK346" s="399"/>
      <c r="DL346" s="399"/>
      <c r="DM346" s="399"/>
      <c r="DN346" s="399"/>
      <c r="DO346" s="399"/>
      <c r="DP346" s="399"/>
      <c r="DQ346" s="399"/>
      <c r="DR346" s="399"/>
    </row>
    <row r="347" spans="1:122" s="409" customFormat="1" ht="15" customHeight="1" thickBot="1" x14ac:dyDescent="0.25">
      <c r="A347" s="206"/>
      <c r="C347" s="1317"/>
      <c r="D347" s="1317"/>
      <c r="E347" s="1318" t="str">
        <f ca="1">E349</f>
        <v>Betrag    2019</v>
      </c>
      <c r="F347" s="1638" t="str">
        <f ca="1">G349</f>
        <v>Betrag    2020</v>
      </c>
      <c r="G347" s="1640"/>
      <c r="H347" s="1638" t="str">
        <f ca="1">J349</f>
        <v>Betrag    2021</v>
      </c>
      <c r="I347" s="1639"/>
      <c r="J347" s="1640"/>
      <c r="K347" s="1638" t="str">
        <f ca="1">N349</f>
        <v>Betrag    2022</v>
      </c>
      <c r="L347" s="1639"/>
      <c r="M347" s="1639"/>
      <c r="N347" s="1640"/>
      <c r="O347" s="1641" t="str">
        <f ca="1">T349</f>
        <v>Betrag    2023</v>
      </c>
      <c r="P347" s="1642"/>
      <c r="Q347" s="1642"/>
      <c r="R347" s="1642"/>
      <c r="S347" s="1642"/>
      <c r="T347" s="1643"/>
      <c r="U347" s="477" t="s">
        <v>183</v>
      </c>
      <c r="V347" s="477"/>
      <c r="W347" s="477"/>
      <c r="X347" s="477"/>
      <c r="Y347" s="477"/>
      <c r="Z347" s="477"/>
      <c r="AA347" s="477"/>
      <c r="AB347" s="477"/>
      <c r="AC347" s="206"/>
      <c r="AD347" s="206"/>
      <c r="AE347" s="206"/>
      <c r="AF347" s="206"/>
      <c r="AG347" s="484" t="s">
        <v>184</v>
      </c>
      <c r="AH347" s="206"/>
      <c r="AI347" s="206"/>
      <c r="AJ347" s="206"/>
      <c r="AK347" s="206"/>
      <c r="AL347" s="206"/>
      <c r="AM347" s="206"/>
      <c r="AN347" s="206"/>
      <c r="CU347" s="382"/>
      <c r="CV347" s="382"/>
      <c r="CW347" s="382"/>
      <c r="DH347" s="382"/>
      <c r="DI347" s="382"/>
      <c r="DJ347" s="382"/>
      <c r="DK347" s="382"/>
      <c r="DL347" s="382"/>
      <c r="DM347" s="382"/>
      <c r="DN347" s="382"/>
      <c r="DO347" s="382"/>
      <c r="DP347" s="382"/>
      <c r="DQ347" s="382"/>
      <c r="DR347" s="382"/>
    </row>
    <row r="348" spans="1:122" s="409" customFormat="1" ht="15" customHeight="1" thickBot="1" x14ac:dyDescent="0.25">
      <c r="A348" s="206"/>
      <c r="C348" s="1317"/>
      <c r="D348" s="1319" t="s">
        <v>132</v>
      </c>
      <c r="E348" s="1320">
        <v>1</v>
      </c>
      <c r="F348" s="1321">
        <v>2</v>
      </c>
      <c r="G348" s="1322">
        <v>1</v>
      </c>
      <c r="H348" s="1321">
        <v>3</v>
      </c>
      <c r="I348" s="1323">
        <v>2</v>
      </c>
      <c r="J348" s="1324">
        <v>1</v>
      </c>
      <c r="K348" s="1325">
        <v>4</v>
      </c>
      <c r="L348" s="1326">
        <v>3</v>
      </c>
      <c r="M348" s="1323">
        <v>2</v>
      </c>
      <c r="N348" s="1327">
        <v>1</v>
      </c>
      <c r="O348" s="485">
        <v>5</v>
      </c>
      <c r="P348" s="486">
        <v>4</v>
      </c>
      <c r="Q348" s="486"/>
      <c r="R348" s="487">
        <v>3</v>
      </c>
      <c r="S348" s="488">
        <v>2</v>
      </c>
      <c r="T348" s="489">
        <v>1</v>
      </c>
      <c r="U348" s="490" t="str">
        <f ca="1">E349</f>
        <v>Betrag    2019</v>
      </c>
      <c r="V348" s="491" t="s">
        <v>129</v>
      </c>
      <c r="W348" s="491"/>
      <c r="X348" s="491"/>
      <c r="Y348" s="491"/>
      <c r="Z348" s="491"/>
      <c r="AA348" s="491"/>
      <c r="AB348" s="491"/>
      <c r="AC348" s="492"/>
      <c r="AD348" s="492"/>
      <c r="AE348" s="492"/>
      <c r="AF348" s="492"/>
      <c r="AG348" s="493" t="str">
        <f ca="1">R349</f>
        <v>Betrag    2021</v>
      </c>
      <c r="AH348" s="491" t="s">
        <v>129</v>
      </c>
      <c r="AI348" s="491"/>
      <c r="AJ348" s="491"/>
      <c r="AK348" s="491"/>
      <c r="AL348" s="491"/>
      <c r="AM348" s="491"/>
      <c r="AN348" s="491"/>
      <c r="AO348" s="494"/>
      <c r="AP348" s="494"/>
      <c r="AQ348" s="494"/>
      <c r="AR348" s="495"/>
      <c r="CU348" s="382"/>
      <c r="CV348" s="382"/>
      <c r="CW348" s="496" t="s">
        <v>132</v>
      </c>
      <c r="DH348" s="382"/>
      <c r="DI348" s="382"/>
      <c r="DJ348" s="382"/>
      <c r="DK348" s="382"/>
      <c r="DL348" s="382"/>
      <c r="DM348" s="382"/>
      <c r="DN348" s="382"/>
      <c r="DO348" s="382"/>
      <c r="DP348" s="382"/>
      <c r="DQ348" s="382"/>
      <c r="DR348" s="382"/>
    </row>
    <row r="349" spans="1:122" s="409" customFormat="1" ht="15" customHeight="1" thickBot="1" x14ac:dyDescent="0.25">
      <c r="A349" s="206"/>
      <c r="C349" s="1317"/>
      <c r="D349" s="1328" t="s">
        <v>131</v>
      </c>
      <c r="E349" s="1329" t="str">
        <f ca="1">E5</f>
        <v>Betrag    2019</v>
      </c>
      <c r="F349" s="1330" t="str">
        <f ca="1">E5</f>
        <v>Betrag    2019</v>
      </c>
      <c r="G349" s="1331" t="str">
        <f ca="1">G5</f>
        <v>Betrag    2020</v>
      </c>
      <c r="H349" s="1330" t="str">
        <f ca="1">E5</f>
        <v>Betrag    2019</v>
      </c>
      <c r="I349" s="1332" t="str">
        <f ca="1">G5</f>
        <v>Betrag    2020</v>
      </c>
      <c r="J349" s="1331" t="str">
        <f ca="1">I5</f>
        <v>Betrag    2021</v>
      </c>
      <c r="K349" s="1330" t="str">
        <f ca="1">E5</f>
        <v>Betrag    2019</v>
      </c>
      <c r="L349" s="1332" t="str">
        <f ca="1">G5</f>
        <v>Betrag    2020</v>
      </c>
      <c r="M349" s="1332" t="str">
        <f ca="1">I5</f>
        <v>Betrag    2021</v>
      </c>
      <c r="N349" s="1333" t="str">
        <f ca="1">K5</f>
        <v>Betrag    2022</v>
      </c>
      <c r="O349" s="498" t="str">
        <f ca="1">E5</f>
        <v>Betrag    2019</v>
      </c>
      <c r="P349" s="497" t="str">
        <f ca="1">G5</f>
        <v>Betrag    2020</v>
      </c>
      <c r="Q349" s="497"/>
      <c r="R349" s="499" t="str">
        <f ca="1">I5</f>
        <v>Betrag    2021</v>
      </c>
      <c r="S349" s="499" t="str">
        <f ca="1">K5</f>
        <v>Betrag    2022</v>
      </c>
      <c r="T349" s="500" t="str">
        <f ca="1">M5</f>
        <v>Betrag    2023</v>
      </c>
      <c r="U349" s="480" t="s">
        <v>73</v>
      </c>
      <c r="V349" s="480" t="s">
        <v>74</v>
      </c>
      <c r="W349" s="480" t="s">
        <v>75</v>
      </c>
      <c r="X349" s="480" t="s">
        <v>76</v>
      </c>
      <c r="Y349" s="480" t="s">
        <v>5</v>
      </c>
      <c r="Z349" s="480" t="s">
        <v>77</v>
      </c>
      <c r="AA349" s="480" t="s">
        <v>78</v>
      </c>
      <c r="AB349" s="480" t="s">
        <v>79</v>
      </c>
      <c r="AC349" s="480" t="s">
        <v>80</v>
      </c>
      <c r="AD349" s="480" t="s">
        <v>81</v>
      </c>
      <c r="AE349" s="480" t="s">
        <v>82</v>
      </c>
      <c r="AF349" s="480" t="s">
        <v>83</v>
      </c>
      <c r="AG349" s="501" t="s">
        <v>73</v>
      </c>
      <c r="AH349" s="480" t="s">
        <v>74</v>
      </c>
      <c r="AI349" s="480" t="s">
        <v>75</v>
      </c>
      <c r="AJ349" s="480" t="s">
        <v>76</v>
      </c>
      <c r="AK349" s="480" t="s">
        <v>5</v>
      </c>
      <c r="AL349" s="480" t="s">
        <v>77</v>
      </c>
      <c r="AM349" s="480" t="s">
        <v>78</v>
      </c>
      <c r="AN349" s="480" t="s">
        <v>79</v>
      </c>
      <c r="AO349" s="502" t="s">
        <v>80</v>
      </c>
      <c r="AP349" s="502" t="s">
        <v>81</v>
      </c>
      <c r="AQ349" s="502" t="s">
        <v>82</v>
      </c>
      <c r="AR349" s="503" t="s">
        <v>83</v>
      </c>
      <c r="CU349" s="382"/>
      <c r="CV349" s="382"/>
      <c r="CW349" s="496" t="s">
        <v>131</v>
      </c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</row>
    <row r="350" spans="1:122" s="409" customFormat="1" ht="15" customHeight="1" thickTop="1" x14ac:dyDescent="0.2">
      <c r="A350" s="206"/>
      <c r="C350" s="1317"/>
      <c r="D350" s="1334" t="s">
        <v>134</v>
      </c>
      <c r="E350" s="1335"/>
      <c r="F350" s="1336"/>
      <c r="G350" s="1337"/>
      <c r="H350" s="1338"/>
      <c r="I350" s="1339"/>
      <c r="J350" s="1340"/>
      <c r="K350" s="1338"/>
      <c r="L350" s="1339"/>
      <c r="M350" s="1339"/>
      <c r="N350" s="1340"/>
      <c r="O350" s="504"/>
      <c r="P350" s="505"/>
      <c r="Q350" s="505"/>
      <c r="R350" s="506"/>
      <c r="S350" s="506"/>
      <c r="T350" s="507"/>
      <c r="U350" s="508">
        <v>1</v>
      </c>
      <c r="V350" s="509">
        <v>2</v>
      </c>
      <c r="W350" s="509">
        <v>3</v>
      </c>
      <c r="X350" s="509">
        <v>4</v>
      </c>
      <c r="Y350" s="509">
        <v>5</v>
      </c>
      <c r="Z350" s="509">
        <v>6</v>
      </c>
      <c r="AA350" s="509">
        <v>7</v>
      </c>
      <c r="AB350" s="509">
        <v>8</v>
      </c>
      <c r="AC350" s="509">
        <v>9</v>
      </c>
      <c r="AD350" s="509">
        <v>10</v>
      </c>
      <c r="AE350" s="509">
        <v>11</v>
      </c>
      <c r="AF350" s="510">
        <v>12</v>
      </c>
      <c r="AG350" s="511">
        <v>1</v>
      </c>
      <c r="AH350" s="509">
        <v>2</v>
      </c>
      <c r="AI350" s="509">
        <v>3</v>
      </c>
      <c r="AJ350" s="509">
        <v>4</v>
      </c>
      <c r="AK350" s="509">
        <v>5</v>
      </c>
      <c r="AL350" s="509">
        <v>6</v>
      </c>
      <c r="AM350" s="509">
        <v>7</v>
      </c>
      <c r="AN350" s="509">
        <v>8</v>
      </c>
      <c r="AO350" s="512">
        <v>9</v>
      </c>
      <c r="AP350" s="512">
        <v>10</v>
      </c>
      <c r="AQ350" s="512">
        <v>11</v>
      </c>
      <c r="AR350" s="512">
        <v>12</v>
      </c>
      <c r="CU350" s="382"/>
      <c r="CV350" s="382"/>
      <c r="CW350" s="496" t="s">
        <v>134</v>
      </c>
      <c r="DH350" s="382"/>
      <c r="DI350" s="382"/>
      <c r="DJ350" s="382"/>
      <c r="DK350" s="382"/>
      <c r="DL350" s="382"/>
      <c r="DM350" s="382"/>
      <c r="DN350" s="382"/>
      <c r="DO350" s="382"/>
      <c r="DP350" s="382"/>
      <c r="DQ350" s="382"/>
      <c r="DR350" s="382"/>
    </row>
    <row r="351" spans="1:122" s="409" customFormat="1" ht="14.25" customHeight="1" x14ac:dyDescent="0.2">
      <c r="A351" s="206"/>
      <c r="C351" s="1317"/>
      <c r="D351" s="1317">
        <f>SUM(V381:Z381)</f>
        <v>0</v>
      </c>
      <c r="E351" s="1341" t="str">
        <f>IF(OR($P6="",P6="x"),"",(13-IF(F6=0,1,F6))/12/P6*E6)</f>
        <v/>
      </c>
      <c r="F351" s="1342" t="str">
        <f t="shared" ref="F351:F357" si="202">IF(OR($P6="",P6="x"),"",IF(F$348&lt;$D351,$E6/$P6,IF(F$348=$D351,IF($F6=1,$E6/$P6,$E6/$P6-$E351),0)))</f>
        <v/>
      </c>
      <c r="G351" s="1343" t="str">
        <f t="shared" ref="G351:G357" si="203">IF(OR($P6="",P6="x"),"",(13-IF(H6=0,1,H6))/12/P6*G6)</f>
        <v/>
      </c>
      <c r="H351" s="1342" t="str">
        <f t="shared" ref="H351:H357" si="204">IF(OR($P6="",P6="x"),"",IF(H$348&lt;$D351,$E6/$P6,IF(H$348=$D351,IF($F6=1,$E6/$P6,$E6/$P6-$E351),0)))</f>
        <v/>
      </c>
      <c r="I351" s="1344" t="str">
        <f t="shared" ref="I351:I357" si="205">IF(OR($P6="",P6="x"),"",IF(I$348&lt;$D351,$G6/$P6,IF(I$348=$D351,IF($H6=1,$G6/$P6,$G6/$P6-$E351),0)))</f>
        <v/>
      </c>
      <c r="J351" s="1345" t="str">
        <f t="shared" ref="J351:J357" si="206">IF(OR($P6="",P6="x"),"",(13-IF(J6=0,1,J6))/12*I6/P6)</f>
        <v/>
      </c>
      <c r="K351" s="1342" t="str">
        <f t="shared" ref="K351:K357" si="207">IF(OR($P6="",P6="x"),"",IF(K$348&lt;$D351,$E6/$P6,IF(K$348=$D351,IF($F6=1,$E6/$P6,$E6/$P6-$E351),0)))</f>
        <v/>
      </c>
      <c r="L351" s="1344" t="str">
        <f t="shared" ref="L351:L357" si="208">IF(OR($P6="",P6="x"),"",IF(L$348&lt;$D351,$G6/$P6,IF(L$348=$D351,IF($H6=1,$G6/$P6,$G6/$P6-$E351),0)))</f>
        <v/>
      </c>
      <c r="M351" s="1344" t="str">
        <f t="shared" ref="M351:M357" si="209">IF(OR($P6="",P6="x"),"",IF(M$348&lt;$D351,$I6/$P6,IF(M$348=$D351,IF($J6=1,$I6/$P6,$I6/$P6-$J351),0)))</f>
        <v/>
      </c>
      <c r="N351" s="1345" t="str">
        <f t="shared" ref="N351:N357" si="210">IF(OR($P6="",P6="x"),"",(13-IF(L6=0,1,L6))/12*K6/P6)</f>
        <v/>
      </c>
      <c r="O351" s="513" t="str">
        <f t="shared" ref="O351:O357" si="211">IF(OR($P6="",P6="x"),"",IF(O$348&lt;$D351,$E6/$P6,IF(O$348=$D351,IF($F6=1,$E6/$P6,$E6/$P6-$E351),0)))</f>
        <v/>
      </c>
      <c r="P351" s="514" t="str">
        <f t="shared" ref="P351:P357" si="212">IF(OR($P6="",P6="x"),"",IF(P$348&lt;$D351,$G6/$P6,IF(P$348=$D351,IF($H6=1,$G6/$P6,$G6/$P6-$G351),0)))</f>
        <v/>
      </c>
      <c r="Q351" s="514"/>
      <c r="R351" s="515" t="str">
        <f t="shared" ref="R351:R357" si="213">IF(OR($P6="",P6="x"),"",IF(R$348&lt;$D351,$I6/$P6,IF(R$348=$D351,IF($J6=1,$I6/$P6,$I6/$P6-$J351),0)))</f>
        <v/>
      </c>
      <c r="S351" s="515" t="str">
        <f t="shared" ref="S351:S357" si="214">IF(OR($P6="",P6="x"),"",IF(S$348&lt;$D351,$K6/$P6,IF(S$348=$D351,IF($L6=1,$K6/$P6,$K6/$P6-$N351),0)))</f>
        <v/>
      </c>
      <c r="T351" s="516" t="str">
        <f t="shared" ref="T351:T357" si="215">IF(OR($P6="",P6="x"),"",(13-IF(N6=0,1,N6))/P6*M6/12)</f>
        <v/>
      </c>
      <c r="U351" s="517">
        <f t="shared" ref="U351:AF351" si="216">IF($F6=U$350,$E351,0)</f>
        <v>0</v>
      </c>
      <c r="V351" s="518">
        <f t="shared" si="216"/>
        <v>0</v>
      </c>
      <c r="W351" s="518">
        <f t="shared" si="216"/>
        <v>0</v>
      </c>
      <c r="X351" s="518">
        <f t="shared" si="216"/>
        <v>0</v>
      </c>
      <c r="Y351" s="518">
        <f t="shared" si="216"/>
        <v>0</v>
      </c>
      <c r="Z351" s="518">
        <f t="shared" si="216"/>
        <v>0</v>
      </c>
      <c r="AA351" s="518">
        <f t="shared" si="216"/>
        <v>0</v>
      </c>
      <c r="AB351" s="518">
        <f t="shared" si="216"/>
        <v>0</v>
      </c>
      <c r="AC351" s="518">
        <f t="shared" si="216"/>
        <v>0</v>
      </c>
      <c r="AD351" s="518">
        <f t="shared" si="216"/>
        <v>0</v>
      </c>
      <c r="AE351" s="518">
        <f t="shared" si="216"/>
        <v>0</v>
      </c>
      <c r="AF351" s="519">
        <f t="shared" si="216"/>
        <v>0</v>
      </c>
      <c r="AG351" s="511">
        <f t="shared" ref="AG351:AR351" si="217">IF($H6=AG$350,$G351,0)</f>
        <v>0</v>
      </c>
      <c r="AH351" s="509">
        <f t="shared" si="217"/>
        <v>0</v>
      </c>
      <c r="AI351" s="509">
        <f t="shared" si="217"/>
        <v>0</v>
      </c>
      <c r="AJ351" s="509">
        <f t="shared" si="217"/>
        <v>0</v>
      </c>
      <c r="AK351" s="509">
        <f t="shared" si="217"/>
        <v>0</v>
      </c>
      <c r="AL351" s="509">
        <f t="shared" si="217"/>
        <v>0</v>
      </c>
      <c r="AM351" s="509">
        <f t="shared" si="217"/>
        <v>0</v>
      </c>
      <c r="AN351" s="509">
        <f t="shared" si="217"/>
        <v>0</v>
      </c>
      <c r="AO351" s="512">
        <f t="shared" si="217"/>
        <v>0</v>
      </c>
      <c r="AP351" s="512">
        <f t="shared" si="217"/>
        <v>0</v>
      </c>
      <c r="AQ351" s="512">
        <f t="shared" si="217"/>
        <v>0</v>
      </c>
      <c r="AR351" s="520">
        <f t="shared" si="217"/>
        <v>0</v>
      </c>
      <c r="CU351" s="382"/>
      <c r="CV351" s="382"/>
      <c r="CW351" s="382">
        <f t="shared" ref="CW351:CW358" si="218">SUM(DO381:DS381)</f>
        <v>0</v>
      </c>
      <c r="DH351" s="382"/>
      <c r="DI351" s="382"/>
      <c r="DJ351" s="382"/>
      <c r="DK351" s="382"/>
      <c r="DL351" s="382"/>
      <c r="DM351" s="382"/>
      <c r="DN351" s="382"/>
      <c r="DO351" s="382"/>
      <c r="DP351" s="382"/>
      <c r="DQ351" s="382"/>
      <c r="DR351" s="382"/>
    </row>
    <row r="352" spans="1:122" s="409" customFormat="1" ht="14.25" customHeight="1" x14ac:dyDescent="0.2">
      <c r="A352" s="206"/>
      <c r="C352" s="1317"/>
      <c r="D352" s="1317">
        <f>SUM(V382:Z382)</f>
        <v>0</v>
      </c>
      <c r="E352" s="1341" t="str">
        <f t="shared" ref="E352:E357" si="219">IF(OR($P7="",$P7="x"),"",(13-IF(F7=0,1,F7))/12/P7*E7)</f>
        <v/>
      </c>
      <c r="F352" s="1342" t="str">
        <f t="shared" si="202"/>
        <v/>
      </c>
      <c r="G352" s="1343" t="str">
        <f t="shared" si="203"/>
        <v/>
      </c>
      <c r="H352" s="1342" t="str">
        <f t="shared" si="204"/>
        <v/>
      </c>
      <c r="I352" s="1344" t="str">
        <f t="shared" si="205"/>
        <v/>
      </c>
      <c r="J352" s="1345" t="str">
        <f t="shared" si="206"/>
        <v/>
      </c>
      <c r="K352" s="1342" t="str">
        <f t="shared" si="207"/>
        <v/>
      </c>
      <c r="L352" s="1344" t="str">
        <f t="shared" si="208"/>
        <v/>
      </c>
      <c r="M352" s="1344" t="str">
        <f t="shared" si="209"/>
        <v/>
      </c>
      <c r="N352" s="1345" t="str">
        <f t="shared" si="210"/>
        <v/>
      </c>
      <c r="O352" s="513" t="str">
        <f t="shared" si="211"/>
        <v/>
      </c>
      <c r="P352" s="514" t="str">
        <f t="shared" si="212"/>
        <v/>
      </c>
      <c r="Q352" s="514"/>
      <c r="R352" s="515" t="str">
        <f t="shared" si="213"/>
        <v/>
      </c>
      <c r="S352" s="515" t="str">
        <f t="shared" si="214"/>
        <v/>
      </c>
      <c r="T352" s="516" t="str">
        <f t="shared" si="215"/>
        <v/>
      </c>
      <c r="U352" s="517">
        <f t="shared" ref="U352:AF352" si="220">IF($F7=U$350,$E352,0)</f>
        <v>0</v>
      </c>
      <c r="V352" s="518">
        <f t="shared" si="220"/>
        <v>0</v>
      </c>
      <c r="W352" s="518">
        <f t="shared" si="220"/>
        <v>0</v>
      </c>
      <c r="X352" s="518">
        <f t="shared" si="220"/>
        <v>0</v>
      </c>
      <c r="Y352" s="518">
        <f t="shared" si="220"/>
        <v>0</v>
      </c>
      <c r="Z352" s="518">
        <f t="shared" si="220"/>
        <v>0</v>
      </c>
      <c r="AA352" s="518">
        <f t="shared" si="220"/>
        <v>0</v>
      </c>
      <c r="AB352" s="518">
        <f t="shared" si="220"/>
        <v>0</v>
      </c>
      <c r="AC352" s="518">
        <f t="shared" si="220"/>
        <v>0</v>
      </c>
      <c r="AD352" s="518">
        <f t="shared" si="220"/>
        <v>0</v>
      </c>
      <c r="AE352" s="518">
        <f t="shared" si="220"/>
        <v>0</v>
      </c>
      <c r="AF352" s="519">
        <f t="shared" si="220"/>
        <v>0</v>
      </c>
      <c r="AG352" s="521">
        <f t="shared" ref="AG352:AR352" si="221">IF($H7=AG$350,$G352,0)</f>
        <v>0</v>
      </c>
      <c r="AH352" s="518">
        <f t="shared" si="221"/>
        <v>0</v>
      </c>
      <c r="AI352" s="518">
        <f t="shared" si="221"/>
        <v>0</v>
      </c>
      <c r="AJ352" s="518">
        <f t="shared" si="221"/>
        <v>0</v>
      </c>
      <c r="AK352" s="518">
        <f t="shared" si="221"/>
        <v>0</v>
      </c>
      <c r="AL352" s="518">
        <f t="shared" si="221"/>
        <v>0</v>
      </c>
      <c r="AM352" s="518">
        <f t="shared" si="221"/>
        <v>0</v>
      </c>
      <c r="AN352" s="518">
        <f t="shared" si="221"/>
        <v>0</v>
      </c>
      <c r="AO352" s="522">
        <f t="shared" si="221"/>
        <v>0</v>
      </c>
      <c r="AP352" s="522">
        <f t="shared" si="221"/>
        <v>0</v>
      </c>
      <c r="AQ352" s="522">
        <f t="shared" si="221"/>
        <v>0</v>
      </c>
      <c r="AR352" s="523">
        <f t="shared" si="221"/>
        <v>0</v>
      </c>
      <c r="CU352" s="382"/>
      <c r="CV352" s="382"/>
      <c r="CW352" s="382">
        <f t="shared" si="218"/>
        <v>0</v>
      </c>
      <c r="DH352" s="382"/>
      <c r="DI352" s="382"/>
      <c r="DJ352" s="382"/>
      <c r="DK352" s="382"/>
      <c r="DL352" s="382"/>
      <c r="DM352" s="382"/>
      <c r="DN352" s="382"/>
      <c r="DO352" s="382"/>
      <c r="DP352" s="382"/>
      <c r="DQ352" s="382"/>
      <c r="DR352" s="382"/>
    </row>
    <row r="353" spans="1:122" s="409" customFormat="1" ht="14.25" customHeight="1" x14ac:dyDescent="0.2">
      <c r="A353" s="206"/>
      <c r="C353" s="1317"/>
      <c r="D353" s="1317">
        <f t="shared" ref="D353:D358" si="222">SUM(V383:Z383)</f>
        <v>0</v>
      </c>
      <c r="E353" s="1341" t="str">
        <f t="shared" si="219"/>
        <v/>
      </c>
      <c r="F353" s="1342" t="str">
        <f t="shared" si="202"/>
        <v/>
      </c>
      <c r="G353" s="1343" t="str">
        <f t="shared" si="203"/>
        <v/>
      </c>
      <c r="H353" s="1342" t="str">
        <f t="shared" si="204"/>
        <v/>
      </c>
      <c r="I353" s="1344" t="str">
        <f t="shared" si="205"/>
        <v/>
      </c>
      <c r="J353" s="1345" t="str">
        <f t="shared" si="206"/>
        <v/>
      </c>
      <c r="K353" s="1342" t="str">
        <f t="shared" si="207"/>
        <v/>
      </c>
      <c r="L353" s="1344" t="str">
        <f t="shared" si="208"/>
        <v/>
      </c>
      <c r="M353" s="1344" t="str">
        <f t="shared" si="209"/>
        <v/>
      </c>
      <c r="N353" s="1345" t="str">
        <f t="shared" si="210"/>
        <v/>
      </c>
      <c r="O353" s="513" t="str">
        <f t="shared" si="211"/>
        <v/>
      </c>
      <c r="P353" s="514" t="str">
        <f t="shared" si="212"/>
        <v/>
      </c>
      <c r="Q353" s="514"/>
      <c r="R353" s="515" t="str">
        <f t="shared" si="213"/>
        <v/>
      </c>
      <c r="S353" s="515" t="str">
        <f t="shared" si="214"/>
        <v/>
      </c>
      <c r="T353" s="516" t="str">
        <f t="shared" si="215"/>
        <v/>
      </c>
      <c r="U353" s="517">
        <f t="shared" ref="U353:AF353" si="223">IF($F8=U$350,$E353,0)</f>
        <v>0</v>
      </c>
      <c r="V353" s="518">
        <f t="shared" si="223"/>
        <v>0</v>
      </c>
      <c r="W353" s="518">
        <f t="shared" si="223"/>
        <v>0</v>
      </c>
      <c r="X353" s="518">
        <f t="shared" si="223"/>
        <v>0</v>
      </c>
      <c r="Y353" s="518">
        <f t="shared" si="223"/>
        <v>0</v>
      </c>
      <c r="Z353" s="518">
        <f t="shared" si="223"/>
        <v>0</v>
      </c>
      <c r="AA353" s="518">
        <f t="shared" si="223"/>
        <v>0</v>
      </c>
      <c r="AB353" s="518">
        <f t="shared" si="223"/>
        <v>0</v>
      </c>
      <c r="AC353" s="518">
        <f t="shared" si="223"/>
        <v>0</v>
      </c>
      <c r="AD353" s="518">
        <f t="shared" si="223"/>
        <v>0</v>
      </c>
      <c r="AE353" s="518">
        <f t="shared" si="223"/>
        <v>0</v>
      </c>
      <c r="AF353" s="519">
        <f t="shared" si="223"/>
        <v>0</v>
      </c>
      <c r="AG353" s="521">
        <f t="shared" ref="AG353:AR353" si="224">IF($H8=AG$350,$G353,0)</f>
        <v>0</v>
      </c>
      <c r="AH353" s="518">
        <f t="shared" si="224"/>
        <v>0</v>
      </c>
      <c r="AI353" s="518">
        <f t="shared" si="224"/>
        <v>0</v>
      </c>
      <c r="AJ353" s="518">
        <f t="shared" si="224"/>
        <v>0</v>
      </c>
      <c r="AK353" s="518">
        <f t="shared" si="224"/>
        <v>0</v>
      </c>
      <c r="AL353" s="518">
        <f t="shared" si="224"/>
        <v>0</v>
      </c>
      <c r="AM353" s="518">
        <f t="shared" si="224"/>
        <v>0</v>
      </c>
      <c r="AN353" s="518">
        <f t="shared" si="224"/>
        <v>0</v>
      </c>
      <c r="AO353" s="522">
        <f t="shared" si="224"/>
        <v>0</v>
      </c>
      <c r="AP353" s="522">
        <f t="shared" si="224"/>
        <v>0</v>
      </c>
      <c r="AQ353" s="522">
        <f t="shared" si="224"/>
        <v>0</v>
      </c>
      <c r="AR353" s="523">
        <f t="shared" si="224"/>
        <v>0</v>
      </c>
      <c r="CU353" s="382"/>
      <c r="CV353" s="382"/>
      <c r="CW353" s="382">
        <f t="shared" si="218"/>
        <v>0</v>
      </c>
      <c r="DH353" s="382"/>
      <c r="DI353" s="382"/>
      <c r="DJ353" s="382"/>
      <c r="DK353" s="382"/>
      <c r="DL353" s="382"/>
      <c r="DM353" s="382"/>
      <c r="DN353" s="382"/>
      <c r="DO353" s="382"/>
      <c r="DP353" s="382"/>
      <c r="DQ353" s="382"/>
      <c r="DR353" s="382"/>
    </row>
    <row r="354" spans="1:122" s="409" customFormat="1" ht="14.25" customHeight="1" x14ac:dyDescent="0.2">
      <c r="A354" s="206"/>
      <c r="C354" s="1317"/>
      <c r="D354" s="1317">
        <f t="shared" si="222"/>
        <v>0</v>
      </c>
      <c r="E354" s="1341" t="str">
        <f t="shared" si="219"/>
        <v/>
      </c>
      <c r="F354" s="1342" t="str">
        <f t="shared" si="202"/>
        <v/>
      </c>
      <c r="G354" s="1343" t="str">
        <f t="shared" si="203"/>
        <v/>
      </c>
      <c r="H354" s="1342" t="str">
        <f t="shared" si="204"/>
        <v/>
      </c>
      <c r="I354" s="1344" t="str">
        <f t="shared" si="205"/>
        <v/>
      </c>
      <c r="J354" s="1345" t="str">
        <f t="shared" si="206"/>
        <v/>
      </c>
      <c r="K354" s="1342" t="str">
        <f t="shared" si="207"/>
        <v/>
      </c>
      <c r="L354" s="1344" t="str">
        <f t="shared" si="208"/>
        <v/>
      </c>
      <c r="M354" s="1344" t="str">
        <f t="shared" si="209"/>
        <v/>
      </c>
      <c r="N354" s="1345" t="str">
        <f t="shared" si="210"/>
        <v/>
      </c>
      <c r="O354" s="513" t="str">
        <f t="shared" si="211"/>
        <v/>
      </c>
      <c r="P354" s="514" t="str">
        <f t="shared" si="212"/>
        <v/>
      </c>
      <c r="Q354" s="514"/>
      <c r="R354" s="515" t="str">
        <f t="shared" si="213"/>
        <v/>
      </c>
      <c r="S354" s="515" t="str">
        <f t="shared" si="214"/>
        <v/>
      </c>
      <c r="T354" s="516" t="str">
        <f t="shared" si="215"/>
        <v/>
      </c>
      <c r="U354" s="517">
        <f t="shared" ref="U354:AF354" si="225">IF($F9=U$350,$E354,0)</f>
        <v>0</v>
      </c>
      <c r="V354" s="518">
        <f t="shared" si="225"/>
        <v>0</v>
      </c>
      <c r="W354" s="518">
        <f t="shared" si="225"/>
        <v>0</v>
      </c>
      <c r="X354" s="518">
        <f t="shared" si="225"/>
        <v>0</v>
      </c>
      <c r="Y354" s="518">
        <f t="shared" si="225"/>
        <v>0</v>
      </c>
      <c r="Z354" s="518">
        <f t="shared" si="225"/>
        <v>0</v>
      </c>
      <c r="AA354" s="518">
        <f t="shared" si="225"/>
        <v>0</v>
      </c>
      <c r="AB354" s="518">
        <f t="shared" si="225"/>
        <v>0</v>
      </c>
      <c r="AC354" s="518">
        <f t="shared" si="225"/>
        <v>0</v>
      </c>
      <c r="AD354" s="518">
        <f t="shared" si="225"/>
        <v>0</v>
      </c>
      <c r="AE354" s="518">
        <f t="shared" si="225"/>
        <v>0</v>
      </c>
      <c r="AF354" s="519">
        <f t="shared" si="225"/>
        <v>0</v>
      </c>
      <c r="AG354" s="521">
        <f t="shared" ref="AG354:AR354" si="226">IF($H9=AG$350,$G354,0)</f>
        <v>0</v>
      </c>
      <c r="AH354" s="518">
        <f t="shared" si="226"/>
        <v>0</v>
      </c>
      <c r="AI354" s="518">
        <f t="shared" si="226"/>
        <v>0</v>
      </c>
      <c r="AJ354" s="518">
        <f t="shared" si="226"/>
        <v>0</v>
      </c>
      <c r="AK354" s="518">
        <f t="shared" si="226"/>
        <v>0</v>
      </c>
      <c r="AL354" s="518">
        <f t="shared" si="226"/>
        <v>0</v>
      </c>
      <c r="AM354" s="518">
        <f t="shared" si="226"/>
        <v>0</v>
      </c>
      <c r="AN354" s="518">
        <f t="shared" si="226"/>
        <v>0</v>
      </c>
      <c r="AO354" s="522">
        <f t="shared" si="226"/>
        <v>0</v>
      </c>
      <c r="AP354" s="522">
        <f t="shared" si="226"/>
        <v>0</v>
      </c>
      <c r="AQ354" s="522">
        <f t="shared" si="226"/>
        <v>0</v>
      </c>
      <c r="AR354" s="523">
        <f t="shared" si="226"/>
        <v>0</v>
      </c>
      <c r="CU354" s="382"/>
      <c r="CV354" s="382"/>
      <c r="CW354" s="382">
        <f t="shared" si="218"/>
        <v>0</v>
      </c>
      <c r="DH354" s="382"/>
      <c r="DI354" s="382"/>
      <c r="DJ354" s="382"/>
      <c r="DK354" s="382"/>
      <c r="DL354" s="382"/>
      <c r="DM354" s="382"/>
      <c r="DN354" s="382"/>
      <c r="DO354" s="382"/>
      <c r="DP354" s="382"/>
      <c r="DQ354" s="382"/>
      <c r="DR354" s="382"/>
    </row>
    <row r="355" spans="1:122" s="409" customFormat="1" ht="14.25" customHeight="1" x14ac:dyDescent="0.2">
      <c r="A355" s="206"/>
      <c r="C355" s="1317"/>
      <c r="D355" s="1317">
        <f t="shared" si="222"/>
        <v>0</v>
      </c>
      <c r="E355" s="1341" t="str">
        <f t="shared" si="219"/>
        <v/>
      </c>
      <c r="F355" s="1342" t="str">
        <f t="shared" si="202"/>
        <v/>
      </c>
      <c r="G355" s="1343" t="str">
        <f t="shared" si="203"/>
        <v/>
      </c>
      <c r="H355" s="1342" t="str">
        <f t="shared" si="204"/>
        <v/>
      </c>
      <c r="I355" s="1344" t="str">
        <f t="shared" si="205"/>
        <v/>
      </c>
      <c r="J355" s="1345" t="str">
        <f t="shared" si="206"/>
        <v/>
      </c>
      <c r="K355" s="1342" t="str">
        <f t="shared" si="207"/>
        <v/>
      </c>
      <c r="L355" s="1344" t="str">
        <f t="shared" si="208"/>
        <v/>
      </c>
      <c r="M355" s="1344" t="str">
        <f t="shared" si="209"/>
        <v/>
      </c>
      <c r="N355" s="1345" t="str">
        <f t="shared" si="210"/>
        <v/>
      </c>
      <c r="O355" s="513" t="str">
        <f t="shared" si="211"/>
        <v/>
      </c>
      <c r="P355" s="514" t="str">
        <f t="shared" si="212"/>
        <v/>
      </c>
      <c r="Q355" s="514"/>
      <c r="R355" s="515" t="str">
        <f t="shared" si="213"/>
        <v/>
      </c>
      <c r="S355" s="515" t="str">
        <f t="shared" si="214"/>
        <v/>
      </c>
      <c r="T355" s="516" t="str">
        <f t="shared" si="215"/>
        <v/>
      </c>
      <c r="U355" s="517">
        <f t="shared" ref="U355:AF355" si="227">IF($F10=U$350,$E355,0)</f>
        <v>0</v>
      </c>
      <c r="V355" s="518">
        <f t="shared" si="227"/>
        <v>0</v>
      </c>
      <c r="W355" s="518">
        <f t="shared" si="227"/>
        <v>0</v>
      </c>
      <c r="X355" s="518">
        <f t="shared" si="227"/>
        <v>0</v>
      </c>
      <c r="Y355" s="518">
        <f t="shared" si="227"/>
        <v>0</v>
      </c>
      <c r="Z355" s="518">
        <f t="shared" si="227"/>
        <v>0</v>
      </c>
      <c r="AA355" s="518">
        <f t="shared" si="227"/>
        <v>0</v>
      </c>
      <c r="AB355" s="518">
        <f t="shared" si="227"/>
        <v>0</v>
      </c>
      <c r="AC355" s="518">
        <f t="shared" si="227"/>
        <v>0</v>
      </c>
      <c r="AD355" s="518">
        <f t="shared" si="227"/>
        <v>0</v>
      </c>
      <c r="AE355" s="518">
        <f t="shared" si="227"/>
        <v>0</v>
      </c>
      <c r="AF355" s="519">
        <f t="shared" si="227"/>
        <v>0</v>
      </c>
      <c r="AG355" s="521">
        <f t="shared" ref="AG355:AR355" si="228">IF($H10=AG$350,$G355,0)</f>
        <v>0</v>
      </c>
      <c r="AH355" s="518">
        <f t="shared" si="228"/>
        <v>0</v>
      </c>
      <c r="AI355" s="518">
        <f t="shared" si="228"/>
        <v>0</v>
      </c>
      <c r="AJ355" s="518">
        <f t="shared" si="228"/>
        <v>0</v>
      </c>
      <c r="AK355" s="518">
        <f t="shared" si="228"/>
        <v>0</v>
      </c>
      <c r="AL355" s="518">
        <f t="shared" si="228"/>
        <v>0</v>
      </c>
      <c r="AM355" s="518">
        <f t="shared" si="228"/>
        <v>0</v>
      </c>
      <c r="AN355" s="518">
        <f t="shared" si="228"/>
        <v>0</v>
      </c>
      <c r="AO355" s="522">
        <f t="shared" si="228"/>
        <v>0</v>
      </c>
      <c r="AP355" s="522">
        <f t="shared" si="228"/>
        <v>0</v>
      </c>
      <c r="AQ355" s="522">
        <f t="shared" si="228"/>
        <v>0</v>
      </c>
      <c r="AR355" s="523">
        <f t="shared" si="228"/>
        <v>0</v>
      </c>
      <c r="CU355" s="382"/>
      <c r="CV355" s="382"/>
      <c r="CW355" s="382">
        <f t="shared" si="218"/>
        <v>0</v>
      </c>
      <c r="DH355" s="382"/>
      <c r="DI355" s="382"/>
      <c r="DJ355" s="382"/>
      <c r="DK355" s="382"/>
      <c r="DL355" s="382"/>
      <c r="DM355" s="382"/>
      <c r="DN355" s="382"/>
      <c r="DO355" s="382"/>
      <c r="DP355" s="382"/>
      <c r="DQ355" s="382"/>
      <c r="DR355" s="382"/>
    </row>
    <row r="356" spans="1:122" s="409" customFormat="1" ht="14.25" customHeight="1" x14ac:dyDescent="0.2">
      <c r="A356" s="206"/>
      <c r="C356" s="1317"/>
      <c r="D356" s="1317">
        <f t="shared" si="222"/>
        <v>0</v>
      </c>
      <c r="E356" s="1341" t="str">
        <f t="shared" si="219"/>
        <v/>
      </c>
      <c r="F356" s="1342" t="str">
        <f t="shared" si="202"/>
        <v/>
      </c>
      <c r="G356" s="1343" t="str">
        <f t="shared" si="203"/>
        <v/>
      </c>
      <c r="H356" s="1342" t="str">
        <f t="shared" si="204"/>
        <v/>
      </c>
      <c r="I356" s="1344" t="str">
        <f t="shared" si="205"/>
        <v/>
      </c>
      <c r="J356" s="1345" t="str">
        <f t="shared" si="206"/>
        <v/>
      </c>
      <c r="K356" s="1342" t="str">
        <f t="shared" si="207"/>
        <v/>
      </c>
      <c r="L356" s="1344" t="str">
        <f t="shared" si="208"/>
        <v/>
      </c>
      <c r="M356" s="1344" t="str">
        <f t="shared" si="209"/>
        <v/>
      </c>
      <c r="N356" s="1345" t="str">
        <f t="shared" si="210"/>
        <v/>
      </c>
      <c r="O356" s="513" t="str">
        <f t="shared" si="211"/>
        <v/>
      </c>
      <c r="P356" s="514" t="str">
        <f t="shared" si="212"/>
        <v/>
      </c>
      <c r="Q356" s="514"/>
      <c r="R356" s="515" t="str">
        <f t="shared" si="213"/>
        <v/>
      </c>
      <c r="S356" s="515" t="str">
        <f t="shared" si="214"/>
        <v/>
      </c>
      <c r="T356" s="516" t="str">
        <f t="shared" si="215"/>
        <v/>
      </c>
      <c r="U356" s="517">
        <f t="shared" ref="U356:AF356" si="229">IF($F11=U$350,$E356,0)</f>
        <v>0</v>
      </c>
      <c r="V356" s="518">
        <f t="shared" si="229"/>
        <v>0</v>
      </c>
      <c r="W356" s="518">
        <f t="shared" si="229"/>
        <v>0</v>
      </c>
      <c r="X356" s="518">
        <f t="shared" si="229"/>
        <v>0</v>
      </c>
      <c r="Y356" s="518">
        <f t="shared" si="229"/>
        <v>0</v>
      </c>
      <c r="Z356" s="518">
        <f t="shared" si="229"/>
        <v>0</v>
      </c>
      <c r="AA356" s="518">
        <f t="shared" si="229"/>
        <v>0</v>
      </c>
      <c r="AB356" s="518">
        <f t="shared" si="229"/>
        <v>0</v>
      </c>
      <c r="AC356" s="518">
        <f t="shared" si="229"/>
        <v>0</v>
      </c>
      <c r="AD356" s="518">
        <f t="shared" si="229"/>
        <v>0</v>
      </c>
      <c r="AE356" s="518">
        <f t="shared" si="229"/>
        <v>0</v>
      </c>
      <c r="AF356" s="519">
        <f t="shared" si="229"/>
        <v>0</v>
      </c>
      <c r="AG356" s="521">
        <f t="shared" ref="AG356:AR356" si="230">IF($H11=AG$350,$G356,0)</f>
        <v>0</v>
      </c>
      <c r="AH356" s="518">
        <f t="shared" si="230"/>
        <v>0</v>
      </c>
      <c r="AI356" s="518">
        <f t="shared" si="230"/>
        <v>0</v>
      </c>
      <c r="AJ356" s="518">
        <f t="shared" si="230"/>
        <v>0</v>
      </c>
      <c r="AK356" s="518">
        <f t="shared" si="230"/>
        <v>0</v>
      </c>
      <c r="AL356" s="518">
        <f t="shared" si="230"/>
        <v>0</v>
      </c>
      <c r="AM356" s="518">
        <f t="shared" si="230"/>
        <v>0</v>
      </c>
      <c r="AN356" s="518">
        <f t="shared" si="230"/>
        <v>0</v>
      </c>
      <c r="AO356" s="522">
        <f t="shared" si="230"/>
        <v>0</v>
      </c>
      <c r="AP356" s="522">
        <f t="shared" si="230"/>
        <v>0</v>
      </c>
      <c r="AQ356" s="522">
        <f t="shared" si="230"/>
        <v>0</v>
      </c>
      <c r="AR356" s="523">
        <f t="shared" si="230"/>
        <v>0</v>
      </c>
      <c r="CU356" s="382"/>
      <c r="CV356" s="382"/>
      <c r="CW356" s="382">
        <f t="shared" si="218"/>
        <v>0</v>
      </c>
      <c r="DH356" s="382"/>
      <c r="DI356" s="382"/>
      <c r="DJ356" s="382"/>
      <c r="DK356" s="382"/>
      <c r="DL356" s="382"/>
      <c r="DM356" s="382"/>
      <c r="DN356" s="382"/>
      <c r="DO356" s="382"/>
      <c r="DP356" s="382"/>
      <c r="DQ356" s="382"/>
      <c r="DR356" s="382"/>
    </row>
    <row r="357" spans="1:122" s="409" customFormat="1" ht="14.25" customHeight="1" x14ac:dyDescent="0.2">
      <c r="A357" s="206"/>
      <c r="C357" s="1317"/>
      <c r="D357" s="1317">
        <f t="shared" si="222"/>
        <v>0</v>
      </c>
      <c r="E357" s="1341" t="str">
        <f t="shared" si="219"/>
        <v/>
      </c>
      <c r="F357" s="1342" t="str">
        <f t="shared" si="202"/>
        <v/>
      </c>
      <c r="G357" s="1343" t="str">
        <f t="shared" si="203"/>
        <v/>
      </c>
      <c r="H357" s="1342" t="str">
        <f t="shared" si="204"/>
        <v/>
      </c>
      <c r="I357" s="1344" t="str">
        <f t="shared" si="205"/>
        <v/>
      </c>
      <c r="J357" s="1345" t="str">
        <f t="shared" si="206"/>
        <v/>
      </c>
      <c r="K357" s="1342" t="str">
        <f t="shared" si="207"/>
        <v/>
      </c>
      <c r="L357" s="1344" t="str">
        <f t="shared" si="208"/>
        <v/>
      </c>
      <c r="M357" s="1344" t="str">
        <f t="shared" si="209"/>
        <v/>
      </c>
      <c r="N357" s="1345" t="str">
        <f t="shared" si="210"/>
        <v/>
      </c>
      <c r="O357" s="513" t="str">
        <f t="shared" si="211"/>
        <v/>
      </c>
      <c r="P357" s="514" t="str">
        <f t="shared" si="212"/>
        <v/>
      </c>
      <c r="Q357" s="514"/>
      <c r="R357" s="515" t="str">
        <f t="shared" si="213"/>
        <v/>
      </c>
      <c r="S357" s="515" t="str">
        <f t="shared" si="214"/>
        <v/>
      </c>
      <c r="T357" s="516" t="str">
        <f t="shared" si="215"/>
        <v/>
      </c>
      <c r="U357" s="517">
        <f t="shared" ref="U357:AF357" si="231">IF($F12=U$350,$E357,0)</f>
        <v>0</v>
      </c>
      <c r="V357" s="518">
        <f t="shared" si="231"/>
        <v>0</v>
      </c>
      <c r="W357" s="518">
        <f t="shared" si="231"/>
        <v>0</v>
      </c>
      <c r="X357" s="518">
        <f t="shared" si="231"/>
        <v>0</v>
      </c>
      <c r="Y357" s="518">
        <f t="shared" si="231"/>
        <v>0</v>
      </c>
      <c r="Z357" s="518">
        <f t="shared" si="231"/>
        <v>0</v>
      </c>
      <c r="AA357" s="518">
        <f t="shared" si="231"/>
        <v>0</v>
      </c>
      <c r="AB357" s="518">
        <f t="shared" si="231"/>
        <v>0</v>
      </c>
      <c r="AC357" s="518">
        <f t="shared" si="231"/>
        <v>0</v>
      </c>
      <c r="AD357" s="518">
        <f t="shared" si="231"/>
        <v>0</v>
      </c>
      <c r="AE357" s="518">
        <f t="shared" si="231"/>
        <v>0</v>
      </c>
      <c r="AF357" s="519">
        <f t="shared" si="231"/>
        <v>0</v>
      </c>
      <c r="AG357" s="521">
        <f t="shared" ref="AG357:AR357" si="232">IF($H12=AG$350,$G357,0)</f>
        <v>0</v>
      </c>
      <c r="AH357" s="518">
        <f t="shared" si="232"/>
        <v>0</v>
      </c>
      <c r="AI357" s="518">
        <f t="shared" si="232"/>
        <v>0</v>
      </c>
      <c r="AJ357" s="518">
        <f t="shared" si="232"/>
        <v>0</v>
      </c>
      <c r="AK357" s="518">
        <f t="shared" si="232"/>
        <v>0</v>
      </c>
      <c r="AL357" s="518">
        <f t="shared" si="232"/>
        <v>0</v>
      </c>
      <c r="AM357" s="518">
        <f t="shared" si="232"/>
        <v>0</v>
      </c>
      <c r="AN357" s="518">
        <f t="shared" si="232"/>
        <v>0</v>
      </c>
      <c r="AO357" s="522">
        <f t="shared" si="232"/>
        <v>0</v>
      </c>
      <c r="AP357" s="522">
        <f t="shared" si="232"/>
        <v>0</v>
      </c>
      <c r="AQ357" s="522">
        <f t="shared" si="232"/>
        <v>0</v>
      </c>
      <c r="AR357" s="523">
        <f t="shared" si="232"/>
        <v>0</v>
      </c>
      <c r="CU357" s="382"/>
      <c r="CV357" s="382"/>
      <c r="CW357" s="382">
        <f t="shared" si="218"/>
        <v>0</v>
      </c>
      <c r="DH357" s="382"/>
      <c r="DI357" s="382"/>
      <c r="DJ357" s="382"/>
      <c r="DK357" s="382"/>
      <c r="DL357" s="382"/>
      <c r="DM357" s="382"/>
      <c r="DN357" s="382"/>
      <c r="DO357" s="382"/>
      <c r="DP357" s="382"/>
      <c r="DQ357" s="382"/>
      <c r="DR357" s="382"/>
    </row>
    <row r="358" spans="1:122" s="409" customFormat="1" ht="15" customHeight="1" thickBot="1" x14ac:dyDescent="0.25">
      <c r="A358" s="206"/>
      <c r="C358" s="1317"/>
      <c r="D358" s="1346">
        <f t="shared" si="222"/>
        <v>0</v>
      </c>
      <c r="E358" s="1341">
        <f>E27/5</f>
        <v>0</v>
      </c>
      <c r="F358" s="1342">
        <f>E27/5</f>
        <v>0</v>
      </c>
      <c r="G358" s="1343">
        <f>H27/5</f>
        <v>0</v>
      </c>
      <c r="H358" s="1347">
        <f>E27/5</f>
        <v>0</v>
      </c>
      <c r="I358" s="1348">
        <f>H27/5</f>
        <v>0</v>
      </c>
      <c r="J358" s="1349">
        <f>K27/5</f>
        <v>0</v>
      </c>
      <c r="K358" s="1347">
        <f>E27/5</f>
        <v>0</v>
      </c>
      <c r="L358" s="1348">
        <f>H27/5</f>
        <v>0</v>
      </c>
      <c r="M358" s="1348">
        <f>K27/5</f>
        <v>0</v>
      </c>
      <c r="N358" s="1349">
        <f>N27/5</f>
        <v>0</v>
      </c>
      <c r="O358" s="524">
        <f>E27/5</f>
        <v>0</v>
      </c>
      <c r="P358" s="525">
        <f>H27/5</f>
        <v>0</v>
      </c>
      <c r="Q358" s="525"/>
      <c r="R358" s="526">
        <f>K27/5</f>
        <v>0</v>
      </c>
      <c r="S358" s="526">
        <f>N27/12</f>
        <v>0</v>
      </c>
      <c r="T358" s="527">
        <f>R27/12</f>
        <v>0</v>
      </c>
      <c r="U358" s="517"/>
      <c r="V358" s="517"/>
      <c r="W358" s="517"/>
      <c r="X358" s="517"/>
      <c r="Y358" s="517"/>
      <c r="Z358" s="517"/>
      <c r="AA358" s="517"/>
      <c r="AB358" s="517"/>
      <c r="AC358" s="517"/>
      <c r="AD358" s="517"/>
      <c r="AE358" s="517"/>
      <c r="AF358" s="528">
        <f>F358</f>
        <v>0</v>
      </c>
      <c r="AG358" s="521"/>
      <c r="AH358" s="518"/>
      <c r="AI358" s="518"/>
      <c r="AJ358" s="518"/>
      <c r="AK358" s="518"/>
      <c r="AL358" s="518"/>
      <c r="AM358" s="518"/>
      <c r="AN358" s="518"/>
      <c r="AO358" s="522"/>
      <c r="AP358" s="522"/>
      <c r="AQ358" s="522"/>
      <c r="AR358" s="523">
        <f>H358</f>
        <v>0</v>
      </c>
      <c r="CU358" s="382"/>
      <c r="CV358" s="382"/>
      <c r="CW358" s="382">
        <f t="shared" si="218"/>
        <v>0</v>
      </c>
      <c r="DH358" s="382"/>
      <c r="DI358" s="382"/>
      <c r="DJ358" s="382"/>
      <c r="DK358" s="382"/>
      <c r="DL358" s="382"/>
      <c r="DM358" s="382"/>
      <c r="DN358" s="382"/>
      <c r="DO358" s="382"/>
      <c r="DP358" s="382"/>
      <c r="DQ358" s="382"/>
      <c r="DR358" s="382"/>
    </row>
    <row r="359" spans="1:122" s="409" customFormat="1" ht="15" customHeight="1" thickTop="1" x14ac:dyDescent="0.2">
      <c r="A359" s="206"/>
      <c r="C359" s="1317"/>
      <c r="D359" s="1317"/>
      <c r="E359" s="1350">
        <f>SUM(E350:E357)</f>
        <v>0</v>
      </c>
      <c r="F359" s="1351">
        <f t="shared" ref="F359:T359" si="233">SUM(F350:F358)</f>
        <v>0</v>
      </c>
      <c r="G359" s="1352">
        <f t="shared" si="233"/>
        <v>0</v>
      </c>
      <c r="H359" s="1353">
        <f t="shared" si="233"/>
        <v>0</v>
      </c>
      <c r="I359" s="1354">
        <f t="shared" si="233"/>
        <v>0</v>
      </c>
      <c r="J359" s="1355">
        <f t="shared" si="233"/>
        <v>0</v>
      </c>
      <c r="K359" s="1353">
        <f t="shared" si="233"/>
        <v>0</v>
      </c>
      <c r="L359" s="1354">
        <f t="shared" si="233"/>
        <v>0</v>
      </c>
      <c r="M359" s="1354">
        <f t="shared" si="233"/>
        <v>0</v>
      </c>
      <c r="N359" s="1355">
        <f t="shared" si="233"/>
        <v>0</v>
      </c>
      <c r="O359" s="529">
        <f t="shared" si="233"/>
        <v>0</v>
      </c>
      <c r="P359" s="530">
        <f t="shared" si="233"/>
        <v>0</v>
      </c>
      <c r="Q359" s="530"/>
      <c r="R359" s="531">
        <f t="shared" si="233"/>
        <v>0</v>
      </c>
      <c r="S359" s="531">
        <f t="shared" si="233"/>
        <v>0</v>
      </c>
      <c r="T359" s="532">
        <f t="shared" si="233"/>
        <v>0</v>
      </c>
      <c r="U359" s="533">
        <f>SUM(U351:U358)</f>
        <v>0</v>
      </c>
      <c r="V359" s="534">
        <f t="shared" ref="V359:AF359" si="234">SUM(V351:V358)</f>
        <v>0</v>
      </c>
      <c r="W359" s="534">
        <f t="shared" si="234"/>
        <v>0</v>
      </c>
      <c r="X359" s="534">
        <f t="shared" si="234"/>
        <v>0</v>
      </c>
      <c r="Y359" s="534">
        <f t="shared" si="234"/>
        <v>0</v>
      </c>
      <c r="Z359" s="534">
        <f t="shared" si="234"/>
        <v>0</v>
      </c>
      <c r="AA359" s="534">
        <f t="shared" si="234"/>
        <v>0</v>
      </c>
      <c r="AB359" s="534">
        <f t="shared" si="234"/>
        <v>0</v>
      </c>
      <c r="AC359" s="534">
        <f t="shared" si="234"/>
        <v>0</v>
      </c>
      <c r="AD359" s="534">
        <f t="shared" si="234"/>
        <v>0</v>
      </c>
      <c r="AE359" s="534">
        <f t="shared" si="234"/>
        <v>0</v>
      </c>
      <c r="AF359" s="535">
        <f t="shared" si="234"/>
        <v>0</v>
      </c>
      <c r="AG359" s="536">
        <f>SUM(AG351:AG358)</f>
        <v>0</v>
      </c>
      <c r="AH359" s="534">
        <f t="shared" ref="AH359:AR359" si="235">SUM(AH351:AH358)</f>
        <v>0</v>
      </c>
      <c r="AI359" s="534">
        <f t="shared" si="235"/>
        <v>0</v>
      </c>
      <c r="AJ359" s="534">
        <f t="shared" si="235"/>
        <v>0</v>
      </c>
      <c r="AK359" s="534">
        <f t="shared" si="235"/>
        <v>0</v>
      </c>
      <c r="AL359" s="534">
        <f t="shared" si="235"/>
        <v>0</v>
      </c>
      <c r="AM359" s="534">
        <f t="shared" si="235"/>
        <v>0</v>
      </c>
      <c r="AN359" s="534">
        <f t="shared" si="235"/>
        <v>0</v>
      </c>
      <c r="AO359" s="537">
        <f t="shared" si="235"/>
        <v>0</v>
      </c>
      <c r="AP359" s="537">
        <f t="shared" si="235"/>
        <v>0</v>
      </c>
      <c r="AQ359" s="537">
        <f t="shared" si="235"/>
        <v>0</v>
      </c>
      <c r="AR359" s="537">
        <f t="shared" si="235"/>
        <v>0</v>
      </c>
      <c r="CU359" s="382"/>
      <c r="CV359" s="382"/>
      <c r="CW359" s="382"/>
      <c r="DH359" s="382"/>
      <c r="DI359" s="382"/>
      <c r="DJ359" s="382"/>
      <c r="DK359" s="382"/>
      <c r="DL359" s="382"/>
      <c r="DM359" s="382"/>
      <c r="DN359" s="382"/>
      <c r="DO359" s="382"/>
      <c r="DP359" s="382"/>
      <c r="DQ359" s="382"/>
      <c r="DR359" s="382"/>
    </row>
    <row r="360" spans="1:122" s="409" customFormat="1" ht="15" customHeight="1" thickBot="1" x14ac:dyDescent="0.25">
      <c r="A360" s="206"/>
      <c r="C360" s="1317"/>
      <c r="D360" s="1356" t="s">
        <v>130</v>
      </c>
      <c r="E360" s="1357">
        <f>E359</f>
        <v>0</v>
      </c>
      <c r="F360" s="1358"/>
      <c r="G360" s="1359">
        <f>G359+F359</f>
        <v>0</v>
      </c>
      <c r="H360" s="1358"/>
      <c r="I360" s="1360"/>
      <c r="J360" s="1359">
        <f>SUM(H359:J359)</f>
        <v>0</v>
      </c>
      <c r="K360" s="1358"/>
      <c r="L360" s="1360"/>
      <c r="M360" s="1360"/>
      <c r="N360" s="1359">
        <f>SUM(L359:N359)</f>
        <v>0</v>
      </c>
      <c r="O360" s="539"/>
      <c r="P360" s="538"/>
      <c r="Q360" s="538"/>
      <c r="R360" s="540"/>
      <c r="S360" s="540"/>
      <c r="T360" s="541">
        <f>SUM(O359:T359)</f>
        <v>0</v>
      </c>
      <c r="U360" s="542">
        <f>U359/12</f>
        <v>0</v>
      </c>
      <c r="V360" s="543">
        <f>V359/11</f>
        <v>0</v>
      </c>
      <c r="W360" s="543">
        <f>W359/10</f>
        <v>0</v>
      </c>
      <c r="X360" s="543">
        <f>X359/9</f>
        <v>0</v>
      </c>
      <c r="Y360" s="543">
        <f>Y359/8</f>
        <v>0</v>
      </c>
      <c r="Z360" s="543">
        <f>Z359/7</f>
        <v>0</v>
      </c>
      <c r="AA360" s="543">
        <f>AA359/6</f>
        <v>0</v>
      </c>
      <c r="AB360" s="543">
        <f>AB359/5</f>
        <v>0</v>
      </c>
      <c r="AC360" s="543">
        <f>AC359/4</f>
        <v>0</v>
      </c>
      <c r="AD360" s="543">
        <f>AD359/3</f>
        <v>0</v>
      </c>
      <c r="AE360" s="543">
        <f>AE359/2</f>
        <v>0</v>
      </c>
      <c r="AF360" s="544">
        <f>AF359/1</f>
        <v>0</v>
      </c>
      <c r="AG360" s="545">
        <f>AG359/12</f>
        <v>0</v>
      </c>
      <c r="AH360" s="543">
        <f>AH359/11</f>
        <v>0</v>
      </c>
      <c r="AI360" s="543">
        <f>AI359/10</f>
        <v>0</v>
      </c>
      <c r="AJ360" s="543">
        <f>AJ359/9</f>
        <v>0</v>
      </c>
      <c r="AK360" s="543">
        <f>AK359/8</f>
        <v>0</v>
      </c>
      <c r="AL360" s="543">
        <f>AL359/7</f>
        <v>0</v>
      </c>
      <c r="AM360" s="543">
        <f>AM359/6</f>
        <v>0</v>
      </c>
      <c r="AN360" s="543">
        <f>AN359/5</f>
        <v>0</v>
      </c>
      <c r="AO360" s="546">
        <f>AO359/4</f>
        <v>0</v>
      </c>
      <c r="AP360" s="546">
        <f>AP359/3</f>
        <v>0</v>
      </c>
      <c r="AQ360" s="546">
        <f>AQ359/2</f>
        <v>0</v>
      </c>
      <c r="AR360" s="546">
        <f>AR359/1</f>
        <v>0</v>
      </c>
      <c r="CU360" s="382"/>
      <c r="CV360" s="382"/>
      <c r="CW360" s="496" t="s">
        <v>130</v>
      </c>
      <c r="DH360" s="382"/>
      <c r="DI360" s="382"/>
      <c r="DJ360" s="382"/>
      <c r="DK360" s="382"/>
      <c r="DL360" s="382"/>
      <c r="DM360" s="382"/>
      <c r="DN360" s="382"/>
      <c r="DO360" s="382"/>
      <c r="DP360" s="382"/>
      <c r="DQ360" s="382"/>
      <c r="DR360" s="382"/>
    </row>
    <row r="361" spans="1:122" s="409" customFormat="1" ht="15" customHeight="1" thickBot="1" x14ac:dyDescent="0.25">
      <c r="A361" s="206"/>
      <c r="C361" s="1317"/>
      <c r="D361" s="1317"/>
      <c r="E361" s="1361"/>
      <c r="F361" s="1317"/>
      <c r="G361" s="1361"/>
      <c r="H361" s="1317"/>
      <c r="I361" s="1361"/>
      <c r="J361" s="1317"/>
      <c r="K361" s="1361"/>
      <c r="L361" s="1317"/>
      <c r="M361" s="1361"/>
      <c r="N361" s="1317"/>
      <c r="R361" s="206"/>
      <c r="S361" s="477"/>
      <c r="T361" s="477"/>
      <c r="U361" s="547">
        <f>T361+U360</f>
        <v>0</v>
      </c>
      <c r="V361" s="547">
        <f>U361+V360</f>
        <v>0</v>
      </c>
      <c r="W361" s="547">
        <f t="shared" ref="W361:AE361" si="236">V361+W360</f>
        <v>0</v>
      </c>
      <c r="X361" s="547">
        <f t="shared" si="236"/>
        <v>0</v>
      </c>
      <c r="Y361" s="547">
        <f t="shared" si="236"/>
        <v>0</v>
      </c>
      <c r="Z361" s="547">
        <f t="shared" si="236"/>
        <v>0</v>
      </c>
      <c r="AA361" s="547">
        <f t="shared" si="236"/>
        <v>0</v>
      </c>
      <c r="AB361" s="547">
        <f t="shared" si="236"/>
        <v>0</v>
      </c>
      <c r="AC361" s="547">
        <f t="shared" si="236"/>
        <v>0</v>
      </c>
      <c r="AD361" s="547">
        <f t="shared" si="236"/>
        <v>0</v>
      </c>
      <c r="AE361" s="547">
        <f t="shared" si="236"/>
        <v>0</v>
      </c>
      <c r="AF361" s="548">
        <f>AE361+AF359</f>
        <v>0</v>
      </c>
      <c r="AG361" s="549">
        <f>AF361-AF359+AG359-AG360</f>
        <v>0</v>
      </c>
      <c r="AH361" s="549">
        <f t="shared" ref="AH361:AR361" si="237">AG361-AG359+AH359-AH360</f>
        <v>0</v>
      </c>
      <c r="AI361" s="549">
        <f t="shared" si="237"/>
        <v>0</v>
      </c>
      <c r="AJ361" s="549">
        <f t="shared" si="237"/>
        <v>0</v>
      </c>
      <c r="AK361" s="549">
        <f t="shared" si="237"/>
        <v>0</v>
      </c>
      <c r="AL361" s="549">
        <f t="shared" si="237"/>
        <v>0</v>
      </c>
      <c r="AM361" s="549">
        <f t="shared" si="237"/>
        <v>0</v>
      </c>
      <c r="AN361" s="549">
        <f t="shared" si="237"/>
        <v>0</v>
      </c>
      <c r="AO361" s="549">
        <f t="shared" si="237"/>
        <v>0</v>
      </c>
      <c r="AP361" s="549">
        <f t="shared" si="237"/>
        <v>0</v>
      </c>
      <c r="AQ361" s="549">
        <f t="shared" si="237"/>
        <v>0</v>
      </c>
      <c r="AR361" s="549">
        <f t="shared" si="237"/>
        <v>0</v>
      </c>
      <c r="CU361" s="382"/>
      <c r="CV361" s="382"/>
      <c r="CW361" s="382"/>
      <c r="DH361" s="382"/>
      <c r="DI361" s="382"/>
      <c r="DJ361" s="382"/>
      <c r="DK361" s="382"/>
      <c r="DL361" s="382"/>
      <c r="DM361" s="382"/>
      <c r="DN361" s="382"/>
      <c r="DO361" s="382"/>
      <c r="DP361" s="382"/>
      <c r="DQ361" s="382"/>
      <c r="DR361" s="382"/>
    </row>
    <row r="362" spans="1:122" s="409" customFormat="1" ht="15" customHeight="1" thickBot="1" x14ac:dyDescent="0.25">
      <c r="A362" s="206"/>
      <c r="C362" s="1317"/>
      <c r="D362" s="1317"/>
      <c r="E362" s="1362"/>
      <c r="F362" s="1362"/>
      <c r="G362" s="1362"/>
      <c r="H362" s="1362"/>
      <c r="I362" s="854"/>
      <c r="J362" s="854"/>
      <c r="K362" s="854"/>
      <c r="L362" s="854"/>
      <c r="M362" s="854"/>
      <c r="N362" s="854"/>
      <c r="O362" s="382"/>
      <c r="P362" s="382"/>
      <c r="Q362" s="382"/>
      <c r="R362" s="208"/>
      <c r="S362" s="208"/>
      <c r="T362" s="208"/>
      <c r="U362" s="550"/>
      <c r="V362" s="206"/>
      <c r="W362" s="206"/>
      <c r="X362" s="206"/>
      <c r="Y362" s="206"/>
      <c r="Z362" s="206"/>
      <c r="AA362" s="206"/>
      <c r="AB362" s="206"/>
      <c r="AC362" s="206"/>
      <c r="AD362" s="206"/>
      <c r="AE362" s="206"/>
      <c r="AF362" s="549">
        <f>AF361</f>
        <v>0</v>
      </c>
      <c r="AG362" s="551">
        <f>AG360+AF362</f>
        <v>0</v>
      </c>
      <c r="AH362" s="547">
        <f t="shared" ref="AH362:AR362" si="238">AG362+AH360</f>
        <v>0</v>
      </c>
      <c r="AI362" s="547">
        <f t="shared" si="238"/>
        <v>0</v>
      </c>
      <c r="AJ362" s="547">
        <f t="shared" si="238"/>
        <v>0</v>
      </c>
      <c r="AK362" s="547">
        <f t="shared" si="238"/>
        <v>0</v>
      </c>
      <c r="AL362" s="547">
        <f t="shared" si="238"/>
        <v>0</v>
      </c>
      <c r="AM362" s="547">
        <f t="shared" si="238"/>
        <v>0</v>
      </c>
      <c r="AN362" s="547">
        <f t="shared" si="238"/>
        <v>0</v>
      </c>
      <c r="AO362" s="552">
        <f t="shared" si="238"/>
        <v>0</v>
      </c>
      <c r="AP362" s="552">
        <f t="shared" si="238"/>
        <v>0</v>
      </c>
      <c r="AQ362" s="552">
        <f t="shared" si="238"/>
        <v>0</v>
      </c>
      <c r="AR362" s="553">
        <f t="shared" si="238"/>
        <v>0</v>
      </c>
      <c r="CU362" s="382"/>
      <c r="CV362" s="382"/>
      <c r="CW362" s="382"/>
      <c r="DH362" s="382"/>
      <c r="DI362" s="382"/>
      <c r="DJ362" s="382"/>
      <c r="DK362" s="382"/>
      <c r="DL362" s="382"/>
      <c r="DM362" s="382"/>
      <c r="DN362" s="382"/>
      <c r="DO362" s="382"/>
      <c r="DP362" s="382"/>
      <c r="DQ362" s="382"/>
      <c r="DR362" s="382"/>
    </row>
    <row r="363" spans="1:122" s="409" customFormat="1" ht="14.25" customHeight="1" x14ac:dyDescent="0.2">
      <c r="A363" s="206"/>
      <c r="C363" s="1317"/>
      <c r="D363" s="1317"/>
      <c r="E363" s="1317"/>
      <c r="F363" s="1317"/>
      <c r="G363" s="1317"/>
      <c r="H363" s="1317"/>
      <c r="I363" s="1317"/>
      <c r="J363" s="1317"/>
      <c r="K363" s="1317"/>
      <c r="L363" s="1317"/>
      <c r="M363" s="1317"/>
      <c r="N363" s="1317"/>
      <c r="R363" s="206"/>
      <c r="S363" s="206"/>
      <c r="T363" s="206"/>
      <c r="U363" s="550"/>
      <c r="V363" s="206"/>
      <c r="W363" s="206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549">
        <f>AG362+AG361</f>
        <v>0</v>
      </c>
      <c r="AH363" s="549">
        <f t="shared" ref="AH363:AR363" si="239">AH362+AH361</f>
        <v>0</v>
      </c>
      <c r="AI363" s="549">
        <f t="shared" si="239"/>
        <v>0</v>
      </c>
      <c r="AJ363" s="549">
        <f t="shared" si="239"/>
        <v>0</v>
      </c>
      <c r="AK363" s="549">
        <f t="shared" si="239"/>
        <v>0</v>
      </c>
      <c r="AL363" s="549">
        <f t="shared" si="239"/>
        <v>0</v>
      </c>
      <c r="AM363" s="549">
        <f t="shared" si="239"/>
        <v>0</v>
      </c>
      <c r="AN363" s="549">
        <f t="shared" si="239"/>
        <v>0</v>
      </c>
      <c r="AO363" s="549">
        <f t="shared" si="239"/>
        <v>0</v>
      </c>
      <c r="AP363" s="549">
        <f t="shared" si="239"/>
        <v>0</v>
      </c>
      <c r="AQ363" s="549">
        <f t="shared" si="239"/>
        <v>0</v>
      </c>
      <c r="AR363" s="549">
        <f t="shared" si="239"/>
        <v>0</v>
      </c>
      <c r="CU363" s="382"/>
      <c r="CV363" s="382"/>
      <c r="CW363" s="382"/>
      <c r="DH363" s="382"/>
      <c r="DI363" s="382"/>
      <c r="DJ363" s="382"/>
      <c r="DK363" s="382"/>
      <c r="DL363" s="382"/>
      <c r="DM363" s="382"/>
      <c r="DN363" s="382"/>
      <c r="DO363" s="382"/>
      <c r="DP363" s="382"/>
      <c r="DQ363" s="382"/>
      <c r="DR363" s="382"/>
    </row>
    <row r="364" spans="1:122" s="409" customFormat="1" ht="14.25" customHeight="1" x14ac:dyDescent="0.2">
      <c r="A364" s="206"/>
      <c r="C364" s="1317"/>
      <c r="D364" s="1317"/>
      <c r="E364" s="1363"/>
      <c r="F364" s="1363"/>
      <c r="G364" s="1363"/>
      <c r="H364" s="1363"/>
      <c r="I364" s="1317"/>
      <c r="J364" s="1317"/>
      <c r="K364" s="1317"/>
      <c r="L364" s="1317"/>
      <c r="M364" s="1317"/>
      <c r="N364" s="1317"/>
      <c r="R364" s="206"/>
      <c r="S364" s="206"/>
      <c r="T364" s="206"/>
      <c r="U364" s="550"/>
      <c r="V364" s="206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CU364" s="382"/>
      <c r="CV364" s="382"/>
      <c r="CW364" s="382"/>
      <c r="DH364" s="382"/>
      <c r="DI364" s="382"/>
      <c r="DJ364" s="382"/>
      <c r="DK364" s="382"/>
      <c r="DL364" s="382"/>
      <c r="DM364" s="382"/>
      <c r="DN364" s="382"/>
      <c r="DO364" s="382"/>
      <c r="DP364" s="382"/>
      <c r="DQ364" s="382"/>
      <c r="DR364" s="382"/>
    </row>
    <row r="365" spans="1:122" s="409" customFormat="1" ht="14.25" customHeight="1" x14ac:dyDescent="0.2">
      <c r="A365" s="206"/>
      <c r="C365" s="1364" t="s">
        <v>128</v>
      </c>
      <c r="D365" s="1364"/>
      <c r="E365" s="1364" t="s">
        <v>128</v>
      </c>
      <c r="F365" s="1364"/>
      <c r="G365" s="1364"/>
      <c r="H365" s="1364" t="str">
        <f ca="1">"Anschaffungen " &amp; C366 &amp; " auf die Monate zugeordnet"</f>
        <v>Anschaffungen Betrag    2019 auf die Monate zugeordnet</v>
      </c>
      <c r="I365" s="1363"/>
      <c r="J365" s="1363"/>
      <c r="K365" s="1363"/>
      <c r="L365" s="1363"/>
      <c r="M365" s="1363"/>
      <c r="N365" s="1363"/>
      <c r="O365" s="423"/>
      <c r="P365" s="423"/>
      <c r="Q365" s="423"/>
      <c r="R365" s="419"/>
      <c r="S365" s="419"/>
      <c r="T365" s="419"/>
      <c r="U365" s="419" t="s">
        <v>184</v>
      </c>
      <c r="V365" s="477"/>
      <c r="W365" s="477"/>
      <c r="X365" s="477"/>
      <c r="Y365" s="477"/>
      <c r="Z365" s="477"/>
      <c r="AA365" s="477"/>
      <c r="AB365" s="419"/>
      <c r="AC365" s="419"/>
      <c r="AD365" s="419"/>
      <c r="AE365" s="419"/>
      <c r="AF365" s="419"/>
      <c r="AG365" s="206"/>
      <c r="AH365" s="206"/>
      <c r="AI365" s="206"/>
      <c r="AJ365" s="206"/>
      <c r="AK365" s="206"/>
      <c r="AL365" s="206"/>
      <c r="AM365" s="206"/>
      <c r="AN365" s="206"/>
      <c r="CU365" s="382"/>
      <c r="CV365" s="426" t="s">
        <v>128</v>
      </c>
      <c r="CW365" s="426"/>
      <c r="DH365" s="382"/>
      <c r="DI365" s="382"/>
      <c r="DJ365" s="382"/>
      <c r="DK365" s="382"/>
      <c r="DL365" s="382"/>
      <c r="DM365" s="382"/>
      <c r="DN365" s="382"/>
      <c r="DO365" s="382"/>
      <c r="DP365" s="382"/>
      <c r="DQ365" s="382"/>
      <c r="DR365" s="382"/>
    </row>
    <row r="366" spans="1:122" s="409" customFormat="1" ht="14.25" customHeight="1" x14ac:dyDescent="0.2">
      <c r="A366" s="206"/>
      <c r="C366" s="1646" t="str">
        <f t="shared" ref="C366:C374" ca="1" si="240">E5</f>
        <v>Betrag    2019</v>
      </c>
      <c r="D366" s="1647"/>
      <c r="E366" s="1646" t="str">
        <f t="shared" ref="E366:E374" ca="1" si="241">G5</f>
        <v>Betrag    2020</v>
      </c>
      <c r="F366" s="1647"/>
      <c r="G366" s="1363"/>
      <c r="H366" s="1365">
        <v>1</v>
      </c>
      <c r="I366" s="1365">
        <v>2</v>
      </c>
      <c r="J366" s="1365">
        <v>3</v>
      </c>
      <c r="K366" s="1365">
        <v>4</v>
      </c>
      <c r="L366" s="1365">
        <v>5</v>
      </c>
      <c r="M366" s="1365">
        <v>6</v>
      </c>
      <c r="N366" s="1365">
        <v>7</v>
      </c>
      <c r="O366" s="554">
        <v>8</v>
      </c>
      <c r="P366" s="554">
        <v>9</v>
      </c>
      <c r="Q366" s="835"/>
      <c r="R366" s="834">
        <v>10</v>
      </c>
      <c r="S366" s="834">
        <v>11</v>
      </c>
      <c r="T366" s="834">
        <v>12</v>
      </c>
      <c r="U366" s="834">
        <v>1</v>
      </c>
      <c r="V366" s="834">
        <v>2</v>
      </c>
      <c r="W366" s="834">
        <v>3</v>
      </c>
      <c r="X366" s="834">
        <v>4</v>
      </c>
      <c r="Y366" s="834">
        <v>5</v>
      </c>
      <c r="Z366" s="834">
        <v>6</v>
      </c>
      <c r="AA366" s="834">
        <v>7</v>
      </c>
      <c r="AB366" s="834">
        <v>8</v>
      </c>
      <c r="AC366" s="834">
        <v>9</v>
      </c>
      <c r="AD366" s="834">
        <v>10</v>
      </c>
      <c r="AE366" s="834">
        <v>11</v>
      </c>
      <c r="AF366" s="834">
        <v>12</v>
      </c>
      <c r="AG366" s="206"/>
      <c r="AH366" s="206"/>
      <c r="AI366" s="206"/>
      <c r="AJ366" s="206"/>
      <c r="AK366" s="206"/>
      <c r="AL366" s="206"/>
      <c r="AM366" s="206"/>
      <c r="AN366" s="206"/>
      <c r="CU366" s="382"/>
      <c r="CV366" s="412">
        <f t="shared" ref="CV366:CV374" si="242">CX5</f>
        <v>0</v>
      </c>
      <c r="CW366" s="412"/>
      <c r="DH366" s="382"/>
      <c r="DI366" s="382"/>
      <c r="DJ366" s="382"/>
      <c r="DK366" s="382"/>
      <c r="DL366" s="382"/>
      <c r="DM366" s="382"/>
      <c r="DN366" s="382"/>
      <c r="DO366" s="382"/>
      <c r="DP366" s="382"/>
      <c r="DQ366" s="382"/>
      <c r="DR366" s="382"/>
    </row>
    <row r="367" spans="1:122" s="409" customFormat="1" ht="14.25" customHeight="1" x14ac:dyDescent="0.2">
      <c r="A367" s="206"/>
      <c r="C367" s="1366">
        <f t="shared" ref="C367:F373" si="243">E6</f>
        <v>0</v>
      </c>
      <c r="D367" s="1366">
        <f t="shared" si="243"/>
        <v>0</v>
      </c>
      <c r="E367" s="1366">
        <f t="shared" si="243"/>
        <v>0</v>
      </c>
      <c r="F367" s="1366">
        <f t="shared" si="243"/>
        <v>0</v>
      </c>
      <c r="G367" s="1364"/>
      <c r="H367" s="1367">
        <f t="shared" ref="H367:T374" si="244">IF($D367=H$366,$C367,0)</f>
        <v>0</v>
      </c>
      <c r="I367" s="1367">
        <f t="shared" si="244"/>
        <v>0</v>
      </c>
      <c r="J367" s="1367">
        <f t="shared" si="244"/>
        <v>0</v>
      </c>
      <c r="K367" s="1367">
        <f t="shared" si="244"/>
        <v>0</v>
      </c>
      <c r="L367" s="1367">
        <f t="shared" si="244"/>
        <v>0</v>
      </c>
      <c r="M367" s="1367">
        <f t="shared" si="244"/>
        <v>0</v>
      </c>
      <c r="N367" s="1367">
        <f t="shared" si="244"/>
        <v>0</v>
      </c>
      <c r="O367" s="556">
        <f t="shared" si="244"/>
        <v>0</v>
      </c>
      <c r="P367" s="556">
        <f t="shared" si="244"/>
        <v>0</v>
      </c>
      <c r="Q367" s="556"/>
      <c r="R367" s="557">
        <f t="shared" si="244"/>
        <v>0</v>
      </c>
      <c r="S367" s="557">
        <f t="shared" si="244"/>
        <v>0</v>
      </c>
      <c r="T367" s="557">
        <f t="shared" si="244"/>
        <v>0</v>
      </c>
      <c r="U367" s="557">
        <f>IF($F367=U$366,$E367,0)</f>
        <v>0</v>
      </c>
      <c r="V367" s="557">
        <f t="shared" ref="V367:AF367" si="245">IF($F367=V$366,$E367,0)</f>
        <v>0</v>
      </c>
      <c r="W367" s="557">
        <f t="shared" si="245"/>
        <v>0</v>
      </c>
      <c r="X367" s="557">
        <f t="shared" si="245"/>
        <v>0</v>
      </c>
      <c r="Y367" s="557">
        <f t="shared" si="245"/>
        <v>0</v>
      </c>
      <c r="Z367" s="557">
        <f t="shared" si="245"/>
        <v>0</v>
      </c>
      <c r="AA367" s="557">
        <f t="shared" si="245"/>
        <v>0</v>
      </c>
      <c r="AB367" s="557">
        <f t="shared" si="245"/>
        <v>0</v>
      </c>
      <c r="AC367" s="557">
        <f t="shared" si="245"/>
        <v>0</v>
      </c>
      <c r="AD367" s="557">
        <f t="shared" si="245"/>
        <v>0</v>
      </c>
      <c r="AE367" s="557">
        <f t="shared" si="245"/>
        <v>0</v>
      </c>
      <c r="AF367" s="557">
        <f t="shared" si="245"/>
        <v>0</v>
      </c>
      <c r="AG367" s="206"/>
      <c r="AH367" s="206"/>
      <c r="AI367" s="206"/>
      <c r="AJ367" s="206"/>
      <c r="AK367" s="206"/>
      <c r="AL367" s="206"/>
      <c r="AM367" s="206"/>
      <c r="AN367" s="206"/>
      <c r="CU367" s="382"/>
      <c r="CV367" s="558">
        <f t="shared" si="242"/>
        <v>0</v>
      </c>
      <c r="CW367" s="558">
        <f t="shared" ref="CW367:CW373" si="246">CY6</f>
        <v>0</v>
      </c>
      <c r="DH367" s="382"/>
      <c r="DI367" s="382"/>
      <c r="DJ367" s="382"/>
      <c r="DK367" s="382"/>
      <c r="DL367" s="382"/>
      <c r="DM367" s="382"/>
      <c r="DN367" s="382"/>
      <c r="DO367" s="382"/>
      <c r="DP367" s="382"/>
      <c r="DQ367" s="382"/>
      <c r="DR367" s="382"/>
    </row>
    <row r="368" spans="1:122" s="409" customFormat="1" ht="14.25" customHeight="1" x14ac:dyDescent="0.2">
      <c r="A368" s="206"/>
      <c r="C368" s="1366">
        <f t="shared" si="243"/>
        <v>0</v>
      </c>
      <c r="D368" s="1366">
        <f t="shared" si="243"/>
        <v>0</v>
      </c>
      <c r="E368" s="1366">
        <f t="shared" si="243"/>
        <v>0</v>
      </c>
      <c r="F368" s="1366">
        <f t="shared" si="243"/>
        <v>0</v>
      </c>
      <c r="G368" s="1363"/>
      <c r="H368" s="1367">
        <f t="shared" si="244"/>
        <v>0</v>
      </c>
      <c r="I368" s="1367">
        <f t="shared" si="244"/>
        <v>0</v>
      </c>
      <c r="J368" s="1367">
        <f t="shared" si="244"/>
        <v>0</v>
      </c>
      <c r="K368" s="1367">
        <f t="shared" si="244"/>
        <v>0</v>
      </c>
      <c r="L368" s="1367">
        <f t="shared" si="244"/>
        <v>0</v>
      </c>
      <c r="M368" s="1367">
        <f t="shared" si="244"/>
        <v>0</v>
      </c>
      <c r="N368" s="1367">
        <f t="shared" si="244"/>
        <v>0</v>
      </c>
      <c r="O368" s="556">
        <f t="shared" si="244"/>
        <v>0</v>
      </c>
      <c r="P368" s="556">
        <f t="shared" si="244"/>
        <v>0</v>
      </c>
      <c r="Q368" s="556"/>
      <c r="R368" s="557">
        <f t="shared" si="244"/>
        <v>0</v>
      </c>
      <c r="S368" s="557">
        <f t="shared" si="244"/>
        <v>0</v>
      </c>
      <c r="T368" s="557">
        <f t="shared" si="244"/>
        <v>0</v>
      </c>
      <c r="U368" s="557">
        <f t="shared" ref="U368:AF374" si="247">IF($F368=U$366,$E368,0)</f>
        <v>0</v>
      </c>
      <c r="V368" s="557">
        <f t="shared" si="247"/>
        <v>0</v>
      </c>
      <c r="W368" s="557">
        <f t="shared" si="247"/>
        <v>0</v>
      </c>
      <c r="X368" s="557">
        <f t="shared" si="247"/>
        <v>0</v>
      </c>
      <c r="Y368" s="557">
        <f t="shared" si="247"/>
        <v>0</v>
      </c>
      <c r="Z368" s="557">
        <f t="shared" si="247"/>
        <v>0</v>
      </c>
      <c r="AA368" s="557">
        <f t="shared" si="247"/>
        <v>0</v>
      </c>
      <c r="AB368" s="557">
        <f t="shared" si="247"/>
        <v>0</v>
      </c>
      <c r="AC368" s="557">
        <f t="shared" si="247"/>
        <v>0</v>
      </c>
      <c r="AD368" s="557">
        <f t="shared" si="247"/>
        <v>0</v>
      </c>
      <c r="AE368" s="557">
        <f t="shared" si="247"/>
        <v>0</v>
      </c>
      <c r="AF368" s="557">
        <f t="shared" si="247"/>
        <v>0</v>
      </c>
      <c r="AG368" s="206"/>
      <c r="AH368" s="206"/>
      <c r="AI368" s="206"/>
      <c r="AJ368" s="206"/>
      <c r="AK368" s="206"/>
      <c r="AL368" s="206"/>
      <c r="AM368" s="206"/>
      <c r="AN368" s="206"/>
      <c r="CU368" s="382"/>
      <c r="CV368" s="558">
        <f t="shared" si="242"/>
        <v>0</v>
      </c>
      <c r="CW368" s="558">
        <f t="shared" si="246"/>
        <v>0</v>
      </c>
      <c r="DH368" s="382"/>
      <c r="DI368" s="382"/>
      <c r="DJ368" s="382"/>
      <c r="DK368" s="382"/>
      <c r="DL368" s="382"/>
      <c r="DM368" s="382"/>
      <c r="DN368" s="382"/>
      <c r="DO368" s="382"/>
      <c r="DP368" s="382"/>
      <c r="DQ368" s="382"/>
      <c r="DR368" s="382"/>
    </row>
    <row r="369" spans="1:122" s="409" customFormat="1" ht="14.25" customHeight="1" x14ac:dyDescent="0.2">
      <c r="A369" s="206"/>
      <c r="C369" s="1366">
        <f t="shared" si="243"/>
        <v>0</v>
      </c>
      <c r="D369" s="1366">
        <f t="shared" si="243"/>
        <v>0</v>
      </c>
      <c r="E369" s="1366">
        <f t="shared" si="243"/>
        <v>0</v>
      </c>
      <c r="F369" s="1366">
        <f t="shared" si="243"/>
        <v>0</v>
      </c>
      <c r="G369" s="1317"/>
      <c r="H369" s="1367">
        <f t="shared" si="244"/>
        <v>0</v>
      </c>
      <c r="I369" s="1367">
        <f t="shared" si="244"/>
        <v>0</v>
      </c>
      <c r="J369" s="1367">
        <f t="shared" si="244"/>
        <v>0</v>
      </c>
      <c r="K369" s="1367">
        <f t="shared" si="244"/>
        <v>0</v>
      </c>
      <c r="L369" s="1367">
        <f t="shared" si="244"/>
        <v>0</v>
      </c>
      <c r="M369" s="1367">
        <f t="shared" si="244"/>
        <v>0</v>
      </c>
      <c r="N369" s="1367">
        <f t="shared" si="244"/>
        <v>0</v>
      </c>
      <c r="O369" s="556">
        <f t="shared" si="244"/>
        <v>0</v>
      </c>
      <c r="P369" s="556">
        <f t="shared" si="244"/>
        <v>0</v>
      </c>
      <c r="Q369" s="556"/>
      <c r="R369" s="557">
        <f t="shared" si="244"/>
        <v>0</v>
      </c>
      <c r="S369" s="557">
        <f t="shared" si="244"/>
        <v>0</v>
      </c>
      <c r="T369" s="557">
        <f t="shared" si="244"/>
        <v>0</v>
      </c>
      <c r="U369" s="557">
        <f t="shared" si="247"/>
        <v>0</v>
      </c>
      <c r="V369" s="557">
        <f t="shared" si="247"/>
        <v>0</v>
      </c>
      <c r="W369" s="557">
        <f t="shared" si="247"/>
        <v>0</v>
      </c>
      <c r="X369" s="557">
        <f t="shared" si="247"/>
        <v>0</v>
      </c>
      <c r="Y369" s="557">
        <f t="shared" si="247"/>
        <v>0</v>
      </c>
      <c r="Z369" s="557">
        <f t="shared" si="247"/>
        <v>0</v>
      </c>
      <c r="AA369" s="557">
        <f t="shared" si="247"/>
        <v>0</v>
      </c>
      <c r="AB369" s="557">
        <f t="shared" si="247"/>
        <v>0</v>
      </c>
      <c r="AC369" s="557">
        <f t="shared" si="247"/>
        <v>0</v>
      </c>
      <c r="AD369" s="557">
        <f t="shared" si="247"/>
        <v>0</v>
      </c>
      <c r="AE369" s="557">
        <f t="shared" si="247"/>
        <v>0</v>
      </c>
      <c r="AF369" s="557">
        <f t="shared" si="247"/>
        <v>0</v>
      </c>
      <c r="AG369" s="206"/>
      <c r="AH369" s="206"/>
      <c r="AI369" s="206"/>
      <c r="AJ369" s="206"/>
      <c r="AK369" s="206"/>
      <c r="AL369" s="206"/>
      <c r="AM369" s="206"/>
      <c r="AN369" s="206"/>
      <c r="CU369" s="382"/>
      <c r="CV369" s="558">
        <f t="shared" si="242"/>
        <v>0</v>
      </c>
      <c r="CW369" s="558">
        <f t="shared" si="246"/>
        <v>0</v>
      </c>
      <c r="DH369" s="382"/>
      <c r="DI369" s="382"/>
      <c r="DJ369" s="382"/>
      <c r="DK369" s="382"/>
      <c r="DL369" s="382"/>
      <c r="DM369" s="382"/>
      <c r="DN369" s="382"/>
      <c r="DO369" s="382"/>
      <c r="DP369" s="382"/>
      <c r="DQ369" s="382"/>
      <c r="DR369" s="382"/>
    </row>
    <row r="370" spans="1:122" s="409" customFormat="1" ht="14.25" customHeight="1" x14ac:dyDescent="0.2">
      <c r="A370" s="206"/>
      <c r="C370" s="1366">
        <f t="shared" si="243"/>
        <v>0</v>
      </c>
      <c r="D370" s="1366">
        <f t="shared" si="243"/>
        <v>0</v>
      </c>
      <c r="E370" s="1366">
        <f t="shared" si="243"/>
        <v>0</v>
      </c>
      <c r="F370" s="1366">
        <f t="shared" si="243"/>
        <v>0</v>
      </c>
      <c r="G370" s="1317"/>
      <c r="H370" s="1367">
        <f t="shared" si="244"/>
        <v>0</v>
      </c>
      <c r="I370" s="1367">
        <f t="shared" si="244"/>
        <v>0</v>
      </c>
      <c r="J370" s="1367">
        <f t="shared" si="244"/>
        <v>0</v>
      </c>
      <c r="K370" s="1367">
        <f t="shared" si="244"/>
        <v>0</v>
      </c>
      <c r="L370" s="1367">
        <f t="shared" si="244"/>
        <v>0</v>
      </c>
      <c r="M370" s="1367">
        <f t="shared" si="244"/>
        <v>0</v>
      </c>
      <c r="N370" s="1367">
        <f t="shared" si="244"/>
        <v>0</v>
      </c>
      <c r="O370" s="556">
        <f t="shared" si="244"/>
        <v>0</v>
      </c>
      <c r="P370" s="556">
        <f t="shared" si="244"/>
        <v>0</v>
      </c>
      <c r="Q370" s="556"/>
      <c r="R370" s="557">
        <f t="shared" si="244"/>
        <v>0</v>
      </c>
      <c r="S370" s="557">
        <f t="shared" si="244"/>
        <v>0</v>
      </c>
      <c r="T370" s="557">
        <f t="shared" si="244"/>
        <v>0</v>
      </c>
      <c r="U370" s="557">
        <f t="shared" si="247"/>
        <v>0</v>
      </c>
      <c r="V370" s="557">
        <f t="shared" si="247"/>
        <v>0</v>
      </c>
      <c r="W370" s="557">
        <f t="shared" si="247"/>
        <v>0</v>
      </c>
      <c r="X370" s="557">
        <f t="shared" si="247"/>
        <v>0</v>
      </c>
      <c r="Y370" s="557">
        <f t="shared" si="247"/>
        <v>0</v>
      </c>
      <c r="Z370" s="557">
        <f t="shared" si="247"/>
        <v>0</v>
      </c>
      <c r="AA370" s="557">
        <f t="shared" si="247"/>
        <v>0</v>
      </c>
      <c r="AB370" s="557">
        <f t="shared" si="247"/>
        <v>0</v>
      </c>
      <c r="AC370" s="557">
        <f t="shared" si="247"/>
        <v>0</v>
      </c>
      <c r="AD370" s="557">
        <f t="shared" si="247"/>
        <v>0</v>
      </c>
      <c r="AE370" s="557">
        <f t="shared" si="247"/>
        <v>0</v>
      </c>
      <c r="AF370" s="557">
        <f t="shared" si="247"/>
        <v>0</v>
      </c>
      <c r="AG370" s="206"/>
      <c r="AH370" s="206"/>
      <c r="AI370" s="206"/>
      <c r="AJ370" s="206"/>
      <c r="AK370" s="206"/>
      <c r="AL370" s="206"/>
      <c r="AM370" s="206"/>
      <c r="AN370" s="206"/>
      <c r="CU370" s="382"/>
      <c r="CV370" s="558">
        <f t="shared" si="242"/>
        <v>0</v>
      </c>
      <c r="CW370" s="558">
        <f t="shared" si="246"/>
        <v>0</v>
      </c>
      <c r="DH370" s="382"/>
      <c r="DI370" s="382"/>
      <c r="DJ370" s="382"/>
      <c r="DK370" s="382"/>
      <c r="DL370" s="382"/>
      <c r="DM370" s="382"/>
      <c r="DN370" s="382"/>
      <c r="DO370" s="382"/>
      <c r="DP370" s="382"/>
      <c r="DQ370" s="382"/>
      <c r="DR370" s="382"/>
    </row>
    <row r="371" spans="1:122" s="409" customFormat="1" ht="14.25" customHeight="1" x14ac:dyDescent="0.2">
      <c r="A371" s="206"/>
      <c r="C371" s="1366">
        <f t="shared" si="243"/>
        <v>0</v>
      </c>
      <c r="D371" s="1366">
        <f t="shared" si="243"/>
        <v>0</v>
      </c>
      <c r="E371" s="1366">
        <f t="shared" si="243"/>
        <v>0</v>
      </c>
      <c r="F371" s="1366">
        <f t="shared" si="243"/>
        <v>0</v>
      </c>
      <c r="G371" s="1317"/>
      <c r="H371" s="1367">
        <f t="shared" si="244"/>
        <v>0</v>
      </c>
      <c r="I371" s="1367">
        <f t="shared" si="244"/>
        <v>0</v>
      </c>
      <c r="J371" s="1367">
        <f t="shared" si="244"/>
        <v>0</v>
      </c>
      <c r="K371" s="1367">
        <f t="shared" si="244"/>
        <v>0</v>
      </c>
      <c r="L371" s="1367">
        <f t="shared" si="244"/>
        <v>0</v>
      </c>
      <c r="M371" s="1367">
        <f t="shared" si="244"/>
        <v>0</v>
      </c>
      <c r="N371" s="1367">
        <f t="shared" si="244"/>
        <v>0</v>
      </c>
      <c r="O371" s="556">
        <f t="shared" si="244"/>
        <v>0</v>
      </c>
      <c r="P371" s="556">
        <f t="shared" si="244"/>
        <v>0</v>
      </c>
      <c r="Q371" s="556"/>
      <c r="R371" s="557">
        <f t="shared" si="244"/>
        <v>0</v>
      </c>
      <c r="S371" s="557">
        <f t="shared" si="244"/>
        <v>0</v>
      </c>
      <c r="T371" s="557">
        <f t="shared" si="244"/>
        <v>0</v>
      </c>
      <c r="U371" s="557">
        <f t="shared" si="247"/>
        <v>0</v>
      </c>
      <c r="V371" s="557">
        <f t="shared" si="247"/>
        <v>0</v>
      </c>
      <c r="W371" s="557">
        <f t="shared" si="247"/>
        <v>0</v>
      </c>
      <c r="X371" s="557">
        <f t="shared" si="247"/>
        <v>0</v>
      </c>
      <c r="Y371" s="557">
        <f t="shared" si="247"/>
        <v>0</v>
      </c>
      <c r="Z371" s="557">
        <f t="shared" si="247"/>
        <v>0</v>
      </c>
      <c r="AA371" s="557">
        <f t="shared" si="247"/>
        <v>0</v>
      </c>
      <c r="AB371" s="557">
        <f t="shared" si="247"/>
        <v>0</v>
      </c>
      <c r="AC371" s="557">
        <f t="shared" si="247"/>
        <v>0</v>
      </c>
      <c r="AD371" s="557">
        <f t="shared" si="247"/>
        <v>0</v>
      </c>
      <c r="AE371" s="557">
        <f t="shared" si="247"/>
        <v>0</v>
      </c>
      <c r="AF371" s="557">
        <f t="shared" si="247"/>
        <v>0</v>
      </c>
      <c r="AG371" s="206"/>
      <c r="AH371" s="206"/>
      <c r="AI371" s="206"/>
      <c r="AJ371" s="206"/>
      <c r="AK371" s="206"/>
      <c r="AL371" s="206"/>
      <c r="AM371" s="206"/>
      <c r="AN371" s="206"/>
      <c r="CU371" s="382"/>
      <c r="CV371" s="558">
        <f t="shared" si="242"/>
        <v>0</v>
      </c>
      <c r="CW371" s="558">
        <f t="shared" si="246"/>
        <v>0</v>
      </c>
      <c r="DH371" s="382"/>
      <c r="DI371" s="382"/>
      <c r="DJ371" s="382"/>
      <c r="DK371" s="382"/>
      <c r="DL371" s="382"/>
      <c r="DM371" s="382"/>
      <c r="DN371" s="382"/>
      <c r="DO371" s="382"/>
      <c r="DP371" s="382"/>
      <c r="DQ371" s="382"/>
      <c r="DR371" s="382"/>
    </row>
    <row r="372" spans="1:122" s="409" customFormat="1" ht="14.25" customHeight="1" x14ac:dyDescent="0.2">
      <c r="A372" s="206"/>
      <c r="C372" s="1366">
        <f t="shared" si="243"/>
        <v>0</v>
      </c>
      <c r="D372" s="1366">
        <f t="shared" si="243"/>
        <v>0</v>
      </c>
      <c r="E372" s="1366">
        <f t="shared" si="243"/>
        <v>0</v>
      </c>
      <c r="F372" s="1366">
        <f t="shared" si="243"/>
        <v>0</v>
      </c>
      <c r="G372" s="1317"/>
      <c r="H372" s="1367">
        <f t="shared" si="244"/>
        <v>0</v>
      </c>
      <c r="I372" s="1367">
        <f t="shared" si="244"/>
        <v>0</v>
      </c>
      <c r="J372" s="1367">
        <f t="shared" si="244"/>
        <v>0</v>
      </c>
      <c r="K372" s="1367">
        <f t="shared" si="244"/>
        <v>0</v>
      </c>
      <c r="L372" s="1367">
        <f t="shared" si="244"/>
        <v>0</v>
      </c>
      <c r="M372" s="1367">
        <f t="shared" si="244"/>
        <v>0</v>
      </c>
      <c r="N372" s="1367">
        <f t="shared" si="244"/>
        <v>0</v>
      </c>
      <c r="O372" s="556">
        <f t="shared" si="244"/>
        <v>0</v>
      </c>
      <c r="P372" s="556">
        <f t="shared" si="244"/>
        <v>0</v>
      </c>
      <c r="Q372" s="556"/>
      <c r="R372" s="557">
        <f t="shared" si="244"/>
        <v>0</v>
      </c>
      <c r="S372" s="557">
        <f t="shared" si="244"/>
        <v>0</v>
      </c>
      <c r="T372" s="557">
        <f t="shared" si="244"/>
        <v>0</v>
      </c>
      <c r="U372" s="557">
        <f t="shared" si="247"/>
        <v>0</v>
      </c>
      <c r="V372" s="557">
        <f t="shared" si="247"/>
        <v>0</v>
      </c>
      <c r="W372" s="557">
        <f t="shared" si="247"/>
        <v>0</v>
      </c>
      <c r="X372" s="557">
        <f t="shared" si="247"/>
        <v>0</v>
      </c>
      <c r="Y372" s="557">
        <f t="shared" si="247"/>
        <v>0</v>
      </c>
      <c r="Z372" s="557">
        <f t="shared" si="247"/>
        <v>0</v>
      </c>
      <c r="AA372" s="557">
        <f t="shared" si="247"/>
        <v>0</v>
      </c>
      <c r="AB372" s="557">
        <f t="shared" si="247"/>
        <v>0</v>
      </c>
      <c r="AC372" s="557">
        <f t="shared" si="247"/>
        <v>0</v>
      </c>
      <c r="AD372" s="557">
        <f t="shared" si="247"/>
        <v>0</v>
      </c>
      <c r="AE372" s="557">
        <f t="shared" si="247"/>
        <v>0</v>
      </c>
      <c r="AF372" s="557">
        <f t="shared" si="247"/>
        <v>0</v>
      </c>
      <c r="AG372" s="206"/>
      <c r="AH372" s="206"/>
      <c r="AI372" s="206"/>
      <c r="AJ372" s="206"/>
      <c r="AK372" s="206"/>
      <c r="AL372" s="206"/>
      <c r="AM372" s="206"/>
      <c r="AN372" s="206"/>
      <c r="CU372" s="382"/>
      <c r="CV372" s="558">
        <f t="shared" si="242"/>
        <v>0</v>
      </c>
      <c r="CW372" s="558">
        <f t="shared" si="246"/>
        <v>0</v>
      </c>
      <c r="DH372" s="382"/>
      <c r="DI372" s="382"/>
      <c r="DJ372" s="382"/>
      <c r="DK372" s="382"/>
      <c r="DL372" s="382"/>
      <c r="DM372" s="382"/>
      <c r="DN372" s="382"/>
      <c r="DO372" s="382"/>
      <c r="DP372" s="382"/>
      <c r="DQ372" s="382"/>
      <c r="DR372" s="382"/>
    </row>
    <row r="373" spans="1:122" s="409" customFormat="1" ht="14.25" customHeight="1" x14ac:dyDescent="0.2">
      <c r="A373" s="206"/>
      <c r="C373" s="1366">
        <f t="shared" si="243"/>
        <v>0</v>
      </c>
      <c r="D373" s="1366">
        <f t="shared" si="243"/>
        <v>0</v>
      </c>
      <c r="E373" s="1366">
        <f t="shared" si="243"/>
        <v>0</v>
      </c>
      <c r="F373" s="1366">
        <f t="shared" si="243"/>
        <v>0</v>
      </c>
      <c r="G373" s="1317"/>
      <c r="H373" s="1367">
        <f t="shared" si="244"/>
        <v>0</v>
      </c>
      <c r="I373" s="1367">
        <f t="shared" si="244"/>
        <v>0</v>
      </c>
      <c r="J373" s="1367">
        <f t="shared" si="244"/>
        <v>0</v>
      </c>
      <c r="K373" s="1367">
        <f t="shared" si="244"/>
        <v>0</v>
      </c>
      <c r="L373" s="1367">
        <f t="shared" si="244"/>
        <v>0</v>
      </c>
      <c r="M373" s="1367">
        <f t="shared" si="244"/>
        <v>0</v>
      </c>
      <c r="N373" s="1367">
        <f t="shared" si="244"/>
        <v>0</v>
      </c>
      <c r="O373" s="556">
        <f t="shared" si="244"/>
        <v>0</v>
      </c>
      <c r="P373" s="556">
        <f t="shared" si="244"/>
        <v>0</v>
      </c>
      <c r="Q373" s="556"/>
      <c r="R373" s="557">
        <f t="shared" si="244"/>
        <v>0</v>
      </c>
      <c r="S373" s="557">
        <f t="shared" si="244"/>
        <v>0</v>
      </c>
      <c r="T373" s="557">
        <f t="shared" si="244"/>
        <v>0</v>
      </c>
      <c r="U373" s="557">
        <f t="shared" si="247"/>
        <v>0</v>
      </c>
      <c r="V373" s="557">
        <f t="shared" si="247"/>
        <v>0</v>
      </c>
      <c r="W373" s="557">
        <f t="shared" si="247"/>
        <v>0</v>
      </c>
      <c r="X373" s="557">
        <f t="shared" si="247"/>
        <v>0</v>
      </c>
      <c r="Y373" s="557">
        <f t="shared" si="247"/>
        <v>0</v>
      </c>
      <c r="Z373" s="557">
        <f t="shared" si="247"/>
        <v>0</v>
      </c>
      <c r="AA373" s="557">
        <f t="shared" si="247"/>
        <v>0</v>
      </c>
      <c r="AB373" s="557">
        <f t="shared" si="247"/>
        <v>0</v>
      </c>
      <c r="AC373" s="557">
        <f t="shared" si="247"/>
        <v>0</v>
      </c>
      <c r="AD373" s="557">
        <f t="shared" si="247"/>
        <v>0</v>
      </c>
      <c r="AE373" s="557">
        <f t="shared" si="247"/>
        <v>0</v>
      </c>
      <c r="AF373" s="557">
        <f t="shared" si="247"/>
        <v>0</v>
      </c>
      <c r="AG373" s="206"/>
      <c r="AH373" s="206"/>
      <c r="AI373" s="206"/>
      <c r="AJ373" s="206"/>
      <c r="AK373" s="206"/>
      <c r="AL373" s="206"/>
      <c r="AM373" s="206"/>
      <c r="AN373" s="206"/>
      <c r="CU373" s="382"/>
      <c r="CV373" s="558">
        <f t="shared" si="242"/>
        <v>0</v>
      </c>
      <c r="CW373" s="558">
        <f t="shared" si="246"/>
        <v>0</v>
      </c>
      <c r="DH373" s="382"/>
      <c r="DI373" s="382"/>
      <c r="DJ373" s="382"/>
      <c r="DK373" s="382"/>
      <c r="DL373" s="382"/>
      <c r="DM373" s="382"/>
      <c r="DN373" s="382"/>
      <c r="DO373" s="382"/>
      <c r="DP373" s="382"/>
      <c r="DQ373" s="382"/>
      <c r="DR373" s="382"/>
    </row>
    <row r="374" spans="1:122" s="409" customFormat="1" ht="14.25" customHeight="1" x14ac:dyDescent="0.2">
      <c r="A374" s="206"/>
      <c r="C374" s="1366" t="str">
        <f t="shared" si="240"/>
        <v/>
      </c>
      <c r="D374" s="1366">
        <v>12</v>
      </c>
      <c r="E374" s="1366">
        <f t="shared" si="241"/>
        <v>0</v>
      </c>
      <c r="F374" s="1366">
        <v>12</v>
      </c>
      <c r="G374" s="1317"/>
      <c r="H374" s="1367">
        <f t="shared" si="244"/>
        <v>0</v>
      </c>
      <c r="I374" s="1367">
        <f t="shared" si="244"/>
        <v>0</v>
      </c>
      <c r="J374" s="1367">
        <f t="shared" si="244"/>
        <v>0</v>
      </c>
      <c r="K374" s="1367">
        <f t="shared" si="244"/>
        <v>0</v>
      </c>
      <c r="L374" s="1367">
        <f t="shared" si="244"/>
        <v>0</v>
      </c>
      <c r="M374" s="1367">
        <f t="shared" si="244"/>
        <v>0</v>
      </c>
      <c r="N374" s="1367">
        <f t="shared" si="244"/>
        <v>0</v>
      </c>
      <c r="O374" s="556">
        <f t="shared" si="244"/>
        <v>0</v>
      </c>
      <c r="P374" s="556">
        <f t="shared" si="244"/>
        <v>0</v>
      </c>
      <c r="Q374" s="556"/>
      <c r="R374" s="557">
        <f t="shared" si="244"/>
        <v>0</v>
      </c>
      <c r="S374" s="557">
        <f t="shared" si="244"/>
        <v>0</v>
      </c>
      <c r="T374" s="557" t="str">
        <f t="shared" si="244"/>
        <v/>
      </c>
      <c r="U374" s="557">
        <f t="shared" si="247"/>
        <v>0</v>
      </c>
      <c r="V374" s="557">
        <f t="shared" si="247"/>
        <v>0</v>
      </c>
      <c r="W374" s="557">
        <f t="shared" si="247"/>
        <v>0</v>
      </c>
      <c r="X374" s="557">
        <f t="shared" si="247"/>
        <v>0</v>
      </c>
      <c r="Y374" s="557">
        <f t="shared" si="247"/>
        <v>0</v>
      </c>
      <c r="Z374" s="557">
        <f t="shared" si="247"/>
        <v>0</v>
      </c>
      <c r="AA374" s="557">
        <f t="shared" si="247"/>
        <v>0</v>
      </c>
      <c r="AB374" s="557">
        <f t="shared" si="247"/>
        <v>0</v>
      </c>
      <c r="AC374" s="557">
        <f t="shared" si="247"/>
        <v>0</v>
      </c>
      <c r="AD374" s="557">
        <f t="shared" si="247"/>
        <v>0</v>
      </c>
      <c r="AE374" s="557">
        <f t="shared" si="247"/>
        <v>0</v>
      </c>
      <c r="AF374" s="557">
        <f t="shared" si="247"/>
        <v>0</v>
      </c>
      <c r="AG374" s="206"/>
      <c r="AH374" s="206"/>
      <c r="AI374" s="206"/>
      <c r="AJ374" s="206"/>
      <c r="AK374" s="206"/>
      <c r="AL374" s="206"/>
      <c r="AM374" s="206"/>
      <c r="AN374" s="206"/>
      <c r="CU374" s="382"/>
      <c r="CV374" s="558">
        <f t="shared" si="242"/>
        <v>0</v>
      </c>
      <c r="CW374" s="558">
        <v>12</v>
      </c>
      <c r="DH374" s="382"/>
      <c r="DI374" s="382"/>
      <c r="DJ374" s="382"/>
      <c r="DK374" s="382"/>
      <c r="DL374" s="382"/>
      <c r="DM374" s="382"/>
      <c r="DN374" s="382"/>
      <c r="DO374" s="382"/>
      <c r="DP374" s="382"/>
      <c r="DQ374" s="382"/>
      <c r="DR374" s="382"/>
    </row>
    <row r="375" spans="1:122" s="409" customFormat="1" ht="14.25" customHeight="1" thickBot="1" x14ac:dyDescent="0.25">
      <c r="A375" s="206"/>
      <c r="C375" s="1317"/>
      <c r="D375" s="1317"/>
      <c r="E375" s="1317"/>
      <c r="F375" s="1317"/>
      <c r="G375" s="1317"/>
      <c r="H375" s="1368">
        <f t="shared" ref="H375:P375" si="248">SUM(H367:H374)</f>
        <v>0</v>
      </c>
      <c r="I375" s="1368">
        <f t="shared" si="248"/>
        <v>0</v>
      </c>
      <c r="J375" s="1368">
        <f t="shared" si="248"/>
        <v>0</v>
      </c>
      <c r="K375" s="1368">
        <f t="shared" si="248"/>
        <v>0</v>
      </c>
      <c r="L375" s="1368">
        <f t="shared" si="248"/>
        <v>0</v>
      </c>
      <c r="M375" s="1368">
        <f t="shared" si="248"/>
        <v>0</v>
      </c>
      <c r="N375" s="1368">
        <f t="shared" si="248"/>
        <v>0</v>
      </c>
      <c r="O375" s="559">
        <f t="shared" si="248"/>
        <v>0</v>
      </c>
      <c r="P375" s="559">
        <f t="shared" si="248"/>
        <v>0</v>
      </c>
      <c r="Q375" s="559"/>
      <c r="R375" s="560">
        <f>SUM(R367:R374)</f>
        <v>0</v>
      </c>
      <c r="S375" s="1209">
        <f>SUM(S367:S374)</f>
        <v>0</v>
      </c>
      <c r="T375" s="559">
        <f>SUM(T367:T374)</f>
        <v>0</v>
      </c>
      <c r="U375" s="559">
        <f t="shared" ref="U375:AC375" si="249">SUM(U367:U374)</f>
        <v>0</v>
      </c>
      <c r="V375" s="559">
        <f t="shared" si="249"/>
        <v>0</v>
      </c>
      <c r="W375" s="559">
        <f t="shared" si="249"/>
        <v>0</v>
      </c>
      <c r="X375" s="559">
        <f t="shared" si="249"/>
        <v>0</v>
      </c>
      <c r="Y375" s="559">
        <f t="shared" si="249"/>
        <v>0</v>
      </c>
      <c r="Z375" s="559">
        <f t="shared" si="249"/>
        <v>0</v>
      </c>
      <c r="AA375" s="559">
        <f t="shared" si="249"/>
        <v>0</v>
      </c>
      <c r="AB375" s="559">
        <f t="shared" si="249"/>
        <v>0</v>
      </c>
      <c r="AC375" s="559">
        <f t="shared" si="249"/>
        <v>0</v>
      </c>
      <c r="AD375" s="560">
        <f>SUM(AD367:AD374)</f>
        <v>0</v>
      </c>
      <c r="AE375" s="560">
        <f>SUM(AE367:AE374)</f>
        <v>0</v>
      </c>
      <c r="AF375" s="560">
        <f>SUM(AF367:AF374)</f>
        <v>0</v>
      </c>
      <c r="AG375" s="206"/>
      <c r="AH375" s="206"/>
      <c r="AI375" s="206"/>
      <c r="AJ375" s="206"/>
      <c r="AK375" s="206"/>
      <c r="AL375" s="206"/>
      <c r="AM375" s="206"/>
      <c r="AN375" s="206"/>
      <c r="CU375" s="382"/>
      <c r="CV375" s="382"/>
      <c r="CW375" s="382"/>
      <c r="DH375" s="382"/>
      <c r="DI375" s="382"/>
      <c r="DJ375" s="382"/>
      <c r="DK375" s="382"/>
      <c r="DL375" s="382"/>
      <c r="DM375" s="382"/>
      <c r="DN375" s="382"/>
      <c r="DO375" s="382"/>
      <c r="DP375" s="382"/>
      <c r="DQ375" s="382"/>
      <c r="DR375" s="382"/>
    </row>
    <row r="376" spans="1:122" s="409" customFormat="1" ht="15" customHeight="1" thickBot="1" x14ac:dyDescent="0.25">
      <c r="A376" s="206"/>
      <c r="C376" s="1317"/>
      <c r="D376" s="1317"/>
      <c r="E376" s="1317"/>
      <c r="F376" s="1317"/>
      <c r="G376" s="1317"/>
      <c r="H376" s="1317"/>
      <c r="I376" s="1317"/>
      <c r="J376" s="1317"/>
      <c r="K376" s="1317"/>
      <c r="L376" s="1317"/>
      <c r="M376" s="1317"/>
      <c r="N376" s="1317"/>
      <c r="R376" s="206"/>
      <c r="S376" s="206"/>
      <c r="T376" s="561">
        <f>SUM(H375:T375)</f>
        <v>0</v>
      </c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561">
        <f>SUM(U375:AF375)</f>
        <v>0</v>
      </c>
      <c r="AG376" s="206"/>
      <c r="AH376" s="206"/>
      <c r="AI376" s="206"/>
      <c r="AJ376" s="206"/>
      <c r="AK376" s="206"/>
      <c r="AL376" s="206"/>
      <c r="AM376" s="206"/>
      <c r="AN376" s="206"/>
      <c r="CU376" s="382"/>
      <c r="CV376" s="382"/>
      <c r="CW376" s="382"/>
      <c r="DH376" s="382"/>
      <c r="DI376" s="382"/>
      <c r="DJ376" s="382"/>
      <c r="DK376" s="382"/>
      <c r="DL376" s="382"/>
      <c r="DM376" s="382"/>
      <c r="DN376" s="382"/>
      <c r="DO376" s="382"/>
      <c r="DP376" s="382"/>
      <c r="DQ376" s="382"/>
      <c r="DR376" s="382"/>
    </row>
    <row r="377" spans="1:122" s="409" customFormat="1" ht="14.25" customHeight="1" thickBot="1" x14ac:dyDescent="0.25">
      <c r="A377" s="206"/>
      <c r="C377" s="1317"/>
      <c r="D377" s="1317"/>
      <c r="E377" s="1317"/>
      <c r="F377" s="1369"/>
      <c r="G377" s="1317"/>
      <c r="H377" s="1317"/>
      <c r="I377" s="1361"/>
      <c r="J377" s="1317"/>
      <c r="K377" s="1361"/>
      <c r="L377" s="1317"/>
      <c r="M377" s="1361"/>
      <c r="N377" s="1317"/>
      <c r="R377" s="206"/>
      <c r="S377" s="477"/>
      <c r="T377" s="477"/>
      <c r="U377" s="477"/>
      <c r="V377" s="562"/>
      <c r="W377" s="473"/>
      <c r="X377" s="473"/>
      <c r="Y377" s="473"/>
      <c r="Z377" s="473"/>
      <c r="AA377" s="473"/>
      <c r="AB377" s="473"/>
      <c r="AC377" s="473"/>
      <c r="AD377" s="473"/>
      <c r="AE377" s="473"/>
      <c r="AF377" s="473"/>
      <c r="AG377" s="206"/>
      <c r="AH377" s="206"/>
      <c r="AI377" s="206"/>
      <c r="AJ377" s="206"/>
      <c r="AK377" s="206"/>
      <c r="AL377" s="206"/>
      <c r="AM377" s="206"/>
      <c r="AN377" s="206"/>
      <c r="CU377" s="382"/>
      <c r="CV377" s="382"/>
      <c r="CW377" s="382"/>
      <c r="DH377" s="382"/>
      <c r="DI377" s="382"/>
      <c r="DJ377" s="382"/>
      <c r="DK377" s="382"/>
      <c r="DL377" s="382"/>
      <c r="DM377" s="382"/>
      <c r="DN377" s="382"/>
      <c r="DO377" s="382"/>
      <c r="DP377" s="382"/>
      <c r="DQ377" s="382"/>
      <c r="DR377" s="382"/>
    </row>
    <row r="378" spans="1:122" s="409" customFormat="1" ht="15" customHeight="1" thickBot="1" x14ac:dyDescent="0.25">
      <c r="A378" s="206"/>
      <c r="C378" s="1370">
        <f ca="1">E379</f>
        <v>2019</v>
      </c>
      <c r="D378" s="1317" t="s">
        <v>153</v>
      </c>
      <c r="E378" s="1361"/>
      <c r="F378" s="1317"/>
      <c r="G378" s="1317"/>
      <c r="H378" s="1317"/>
      <c r="I378" s="1317"/>
      <c r="J378" s="1317"/>
      <c r="K378" s="1317"/>
      <c r="L378" s="1317"/>
      <c r="M378" s="1317"/>
      <c r="N378" s="1317"/>
      <c r="P378" s="423"/>
      <c r="Q378" s="423"/>
      <c r="R378" s="419"/>
      <c r="S378" s="563"/>
      <c r="T378" s="564"/>
      <c r="U378" s="565"/>
      <c r="V378" s="562"/>
      <c r="W378" s="473"/>
      <c r="X378" s="473"/>
      <c r="Y378" s="473"/>
      <c r="Z378" s="473"/>
      <c r="AA378" s="473"/>
      <c r="AB378" s="473"/>
      <c r="AC378" s="473"/>
      <c r="AD378" s="473"/>
      <c r="AE378" s="473"/>
      <c r="AF378" s="473"/>
      <c r="AG378" s="206"/>
      <c r="AH378" s="206"/>
      <c r="AI378" s="206"/>
      <c r="AJ378" s="206"/>
      <c r="AK378" s="206"/>
      <c r="AL378" s="206"/>
      <c r="AM378" s="206"/>
      <c r="AN378" s="206"/>
      <c r="CU378" s="382"/>
      <c r="CV378" s="382">
        <f>CX379</f>
        <v>0</v>
      </c>
      <c r="CW378" s="382" t="s">
        <v>153</v>
      </c>
      <c r="DH378" s="382"/>
      <c r="DI378" s="382"/>
      <c r="DJ378" s="382"/>
      <c r="DK378" s="382"/>
      <c r="DL378" s="382"/>
      <c r="DM378" s="382"/>
      <c r="DN378" s="382"/>
      <c r="DO378" s="382"/>
      <c r="DP378" s="382"/>
      <c r="DQ378" s="382"/>
      <c r="DR378" s="382"/>
    </row>
    <row r="379" spans="1:122" s="409" customFormat="1" ht="14.25" customHeight="1" x14ac:dyDescent="0.2">
      <c r="A379" s="206"/>
      <c r="C379" s="1317"/>
      <c r="D379" s="1317"/>
      <c r="E379" s="1371">
        <f ca="1">'1 Pers.Ausgaben|Pers Expenses'!C4</f>
        <v>2019</v>
      </c>
      <c r="F379" s="1371">
        <f ca="1">E379+1</f>
        <v>2020</v>
      </c>
      <c r="G379" s="1371">
        <f ca="1">F379+1</f>
        <v>2021</v>
      </c>
      <c r="H379" s="1371">
        <f ca="1">G379+1</f>
        <v>2022</v>
      </c>
      <c r="I379" s="1371">
        <f ca="1">H379+1</f>
        <v>2023</v>
      </c>
      <c r="J379" s="1317"/>
      <c r="K379" s="1317"/>
      <c r="L379" s="1317"/>
      <c r="M379" s="1317"/>
      <c r="N379" s="1317"/>
      <c r="O379" s="409" t="s">
        <v>154</v>
      </c>
      <c r="P379" s="423"/>
      <c r="Q379" s="423"/>
      <c r="R379" s="419"/>
      <c r="S379" s="563"/>
      <c r="T379" s="564"/>
      <c r="U379" s="419" t="s">
        <v>133</v>
      </c>
      <c r="V379" s="206"/>
      <c r="W379" s="206"/>
      <c r="X379" s="206"/>
      <c r="Y379" s="206"/>
      <c r="Z379" s="419"/>
      <c r="AA379" s="473"/>
      <c r="AB379" s="473"/>
      <c r="AC379" s="473"/>
      <c r="AD379" s="473"/>
      <c r="AE379" s="473"/>
      <c r="AF379" s="473"/>
      <c r="AG379" s="206"/>
      <c r="AH379" s="206"/>
      <c r="AI379" s="206"/>
      <c r="AJ379" s="206"/>
      <c r="AK379" s="206"/>
      <c r="AL379" s="206"/>
      <c r="AM379" s="206"/>
      <c r="AN379" s="206"/>
      <c r="CU379" s="382"/>
      <c r="CV379" s="382"/>
      <c r="CW379" s="382"/>
      <c r="DH379" s="382"/>
      <c r="DI379" s="382"/>
      <c r="DJ379" s="382"/>
      <c r="DK379" s="382"/>
      <c r="DL379" s="382"/>
      <c r="DM379" s="382"/>
      <c r="DN379" s="382"/>
      <c r="DO379" s="382"/>
      <c r="DP379" s="382"/>
      <c r="DQ379" s="382"/>
      <c r="DR379" s="382"/>
    </row>
    <row r="380" spans="1:122" s="409" customFormat="1" ht="14.25" customHeight="1" x14ac:dyDescent="0.2">
      <c r="A380" s="206"/>
      <c r="C380" s="1631" t="str">
        <f t="shared" ref="C380:C386" si="250">C6</f>
        <v>Investitionsgut 1</v>
      </c>
      <c r="D380" s="1632"/>
      <c r="E380" s="1372" t="str">
        <f t="shared" ref="E380:F387" si="251">E351</f>
        <v/>
      </c>
      <c r="F380" s="1372" t="str">
        <f t="shared" si="251"/>
        <v/>
      </c>
      <c r="G380" s="1372" t="str">
        <f>H351</f>
        <v/>
      </c>
      <c r="H380" s="1372" t="str">
        <f>K351</f>
        <v/>
      </c>
      <c r="I380" s="1372" t="str">
        <f>O351</f>
        <v/>
      </c>
      <c r="J380" s="1373" t="str">
        <f>IF(E380&gt;0,E380,IF(E380=0,0,""))</f>
        <v/>
      </c>
      <c r="K380" s="1373" t="str">
        <f>IF(F380&gt;0,F380,IF(F380=0,0,""))</f>
        <v/>
      </c>
      <c r="L380" s="1373" t="str">
        <f>IF(G380&gt;0,G380,IF(G380=0,0,""))</f>
        <v/>
      </c>
      <c r="M380" s="1373" t="str">
        <f>IF(H380&gt;0,H380,IF(H380=0,0,""))</f>
        <v/>
      </c>
      <c r="N380" s="1373" t="str">
        <f>IF(I380&gt;0,I380,IF(I380=0,0,""))</f>
        <v/>
      </c>
      <c r="O380" s="567">
        <f>IF(J380="",-1,IF(J380=0,0,1))</f>
        <v>-1</v>
      </c>
      <c r="P380" s="423"/>
      <c r="Q380" s="423"/>
      <c r="R380" s="419"/>
      <c r="S380" s="563"/>
      <c r="T380" s="564"/>
      <c r="U380" s="208"/>
      <c r="V380" s="555">
        <v>2014</v>
      </c>
      <c r="W380" s="555">
        <f>V380+1</f>
        <v>2015</v>
      </c>
      <c r="X380" s="555">
        <f>W380+1</f>
        <v>2016</v>
      </c>
      <c r="Y380" s="555">
        <f>X380+1</f>
        <v>2017</v>
      </c>
      <c r="Z380" s="555">
        <f>Y380+1</f>
        <v>2018</v>
      </c>
      <c r="AA380" s="206"/>
      <c r="AB380" s="206"/>
      <c r="AC380" s="206"/>
      <c r="AD380" s="473"/>
      <c r="AE380" s="473"/>
      <c r="AF380" s="473"/>
      <c r="AG380" s="206"/>
      <c r="AH380" s="206"/>
      <c r="AI380" s="206"/>
      <c r="AJ380" s="206"/>
      <c r="AK380" s="206"/>
      <c r="AL380" s="206"/>
      <c r="AM380" s="206"/>
      <c r="AN380" s="206"/>
      <c r="CU380" s="382"/>
      <c r="CV380" s="568" t="str">
        <f t="shared" ref="CV380:CV386" si="252">CV6</f>
        <v>Investitionsgut 1</v>
      </c>
      <c r="CW380" s="568"/>
      <c r="DH380" s="382"/>
      <c r="DI380" s="382"/>
      <c r="DJ380" s="382"/>
      <c r="DK380" s="382"/>
      <c r="DL380" s="382"/>
      <c r="DM380" s="382"/>
      <c r="DN380" s="382"/>
      <c r="DO380" s="382"/>
      <c r="DP380" s="382"/>
      <c r="DQ380" s="382"/>
      <c r="DR380" s="382"/>
    </row>
    <row r="381" spans="1:122" s="409" customFormat="1" ht="14.25" customHeight="1" x14ac:dyDescent="0.2">
      <c r="A381" s="206"/>
      <c r="C381" s="1631" t="str">
        <f t="shared" si="250"/>
        <v>Investitionsgut 2</v>
      </c>
      <c r="D381" s="1632"/>
      <c r="E381" s="1372" t="str">
        <f t="shared" si="251"/>
        <v/>
      </c>
      <c r="F381" s="1372" t="str">
        <f t="shared" si="251"/>
        <v/>
      </c>
      <c r="G381" s="1372" t="str">
        <f t="shared" ref="G381:G387" si="253">H352</f>
        <v/>
      </c>
      <c r="H381" s="1372" t="str">
        <f t="shared" ref="H381:H387" si="254">K352</f>
        <v/>
      </c>
      <c r="I381" s="1372" t="str">
        <f t="shared" ref="I381:I387" si="255">O352</f>
        <v/>
      </c>
      <c r="J381" s="1373" t="str">
        <f t="shared" ref="J381:N387" si="256">IF(E381&gt;0,E381,IF(E381=0,0,""))</f>
        <v/>
      </c>
      <c r="K381" s="1373" t="str">
        <f t="shared" si="256"/>
        <v/>
      </c>
      <c r="L381" s="1373" t="str">
        <f t="shared" si="256"/>
        <v/>
      </c>
      <c r="M381" s="1373" t="str">
        <f t="shared" si="256"/>
        <v/>
      </c>
      <c r="N381" s="1373" t="str">
        <f t="shared" si="256"/>
        <v/>
      </c>
      <c r="O381" s="567">
        <f t="shared" ref="O381:O387" si="257">IF(J381="",-1,IF(J381=0,0,1))</f>
        <v>-1</v>
      </c>
      <c r="P381" s="423"/>
      <c r="Q381" s="423"/>
      <c r="R381" s="419"/>
      <c r="S381" s="563"/>
      <c r="T381" s="564"/>
      <c r="U381" s="477"/>
      <c r="V381" s="206">
        <f t="shared" ref="V381:V387" si="258">IF(E6&gt;0,IF(F6&gt;1,P6+1,P6),0)</f>
        <v>0</v>
      </c>
      <c r="W381" s="206">
        <f t="shared" ref="W381:W387" si="259">IF(G6&gt;0,IF(H6&gt;1,P6+1,P6),0)</f>
        <v>0</v>
      </c>
      <c r="X381" s="206">
        <f t="shared" ref="X381:X387" si="260">IF(I6&gt;0,IF(J6&gt;1,P6+1,P6),0)</f>
        <v>0</v>
      </c>
      <c r="Y381" s="206">
        <f t="shared" ref="Y381:Y387" si="261">IF(K6&gt;0,IF(L6&gt;1,P6+1,P6),0)</f>
        <v>0</v>
      </c>
      <c r="Z381" s="206">
        <f t="shared" ref="Z381:Z387" si="262">IF(M6&gt;0,IF(N6&gt;1,P6+1,P6),0)</f>
        <v>0</v>
      </c>
      <c r="AA381" s="206"/>
      <c r="AB381" s="206"/>
      <c r="AC381" s="206"/>
      <c r="AD381" s="473"/>
      <c r="AE381" s="473"/>
      <c r="AF381" s="473"/>
      <c r="AG381" s="206"/>
      <c r="AH381" s="206"/>
      <c r="AI381" s="206"/>
      <c r="AJ381" s="206"/>
      <c r="AK381" s="206"/>
      <c r="AL381" s="206"/>
      <c r="AM381" s="206"/>
      <c r="AN381" s="206"/>
      <c r="CU381" s="382"/>
      <c r="CV381" s="568" t="str">
        <f t="shared" si="252"/>
        <v>Investitionsgut 2</v>
      </c>
      <c r="CW381" s="568"/>
      <c r="DH381" s="382"/>
      <c r="DI381" s="382"/>
      <c r="DJ381" s="382"/>
      <c r="DK381" s="382"/>
      <c r="DL381" s="382"/>
      <c r="DM381" s="382"/>
      <c r="DN381" s="382"/>
      <c r="DO381" s="382"/>
      <c r="DP381" s="382"/>
      <c r="DQ381" s="382"/>
      <c r="DR381" s="382"/>
    </row>
    <row r="382" spans="1:122" s="409" customFormat="1" ht="14.25" customHeight="1" x14ac:dyDescent="0.2">
      <c r="A382" s="206"/>
      <c r="C382" s="1631" t="str">
        <f t="shared" si="250"/>
        <v>Investitionsgut 3</v>
      </c>
      <c r="D382" s="1632"/>
      <c r="E382" s="1372" t="str">
        <f t="shared" si="251"/>
        <v/>
      </c>
      <c r="F382" s="1372" t="str">
        <f t="shared" si="251"/>
        <v/>
      </c>
      <c r="G382" s="1372" t="str">
        <f t="shared" si="253"/>
        <v/>
      </c>
      <c r="H382" s="1372" t="str">
        <f t="shared" si="254"/>
        <v/>
      </c>
      <c r="I382" s="1372" t="str">
        <f t="shared" si="255"/>
        <v/>
      </c>
      <c r="J382" s="1373" t="str">
        <f t="shared" si="256"/>
        <v/>
      </c>
      <c r="K382" s="1373" t="str">
        <f t="shared" si="256"/>
        <v/>
      </c>
      <c r="L382" s="1373" t="str">
        <f t="shared" si="256"/>
        <v/>
      </c>
      <c r="M382" s="1373" t="str">
        <f t="shared" si="256"/>
        <v/>
      </c>
      <c r="N382" s="1373" t="str">
        <f t="shared" si="256"/>
        <v/>
      </c>
      <c r="O382" s="567">
        <f t="shared" si="257"/>
        <v>-1</v>
      </c>
      <c r="P382" s="423"/>
      <c r="Q382" s="423"/>
      <c r="R382" s="419"/>
      <c r="S382" s="563"/>
      <c r="T382" s="564"/>
      <c r="U382" s="477"/>
      <c r="V382" s="206">
        <f t="shared" si="258"/>
        <v>0</v>
      </c>
      <c r="W382" s="206">
        <f t="shared" si="259"/>
        <v>0</v>
      </c>
      <c r="X382" s="206">
        <f t="shared" si="260"/>
        <v>0</v>
      </c>
      <c r="Y382" s="206">
        <f t="shared" si="261"/>
        <v>0</v>
      </c>
      <c r="Z382" s="206">
        <f t="shared" si="262"/>
        <v>0</v>
      </c>
      <c r="AA382" s="206"/>
      <c r="AB382" s="206"/>
      <c r="AC382" s="206"/>
      <c r="AD382" s="473"/>
      <c r="AE382" s="473"/>
      <c r="AF382" s="473"/>
      <c r="AG382" s="206"/>
      <c r="AH382" s="206"/>
      <c r="AI382" s="206"/>
      <c r="AJ382" s="206"/>
      <c r="AK382" s="206"/>
      <c r="AL382" s="206"/>
      <c r="AM382" s="206"/>
      <c r="AN382" s="206"/>
      <c r="CU382" s="382"/>
      <c r="CV382" s="568" t="str">
        <f t="shared" si="252"/>
        <v>Investitionsgut 3</v>
      </c>
      <c r="CW382" s="568"/>
      <c r="DH382" s="382"/>
      <c r="DI382" s="382"/>
      <c r="DJ382" s="382"/>
      <c r="DK382" s="382"/>
      <c r="DL382" s="382"/>
      <c r="DM382" s="382"/>
      <c r="DN382" s="382"/>
      <c r="DO382" s="382"/>
      <c r="DP382" s="382"/>
      <c r="DQ382" s="382"/>
      <c r="DR382" s="382"/>
    </row>
    <row r="383" spans="1:122" s="409" customFormat="1" ht="14.25" customHeight="1" x14ac:dyDescent="0.2">
      <c r="A383" s="206"/>
      <c r="C383" s="1631" t="str">
        <f t="shared" si="250"/>
        <v>Investitionsgut 4</v>
      </c>
      <c r="D383" s="1632"/>
      <c r="E383" s="1372" t="str">
        <f t="shared" si="251"/>
        <v/>
      </c>
      <c r="F383" s="1372" t="str">
        <f t="shared" si="251"/>
        <v/>
      </c>
      <c r="G383" s="1372" t="str">
        <f t="shared" si="253"/>
        <v/>
      </c>
      <c r="H383" s="1372" t="str">
        <f t="shared" si="254"/>
        <v/>
      </c>
      <c r="I383" s="1372" t="str">
        <f t="shared" si="255"/>
        <v/>
      </c>
      <c r="J383" s="1373" t="str">
        <f t="shared" si="256"/>
        <v/>
      </c>
      <c r="K383" s="1373" t="str">
        <f t="shared" si="256"/>
        <v/>
      </c>
      <c r="L383" s="1373" t="str">
        <f t="shared" si="256"/>
        <v/>
      </c>
      <c r="M383" s="1373" t="str">
        <f t="shared" si="256"/>
        <v/>
      </c>
      <c r="N383" s="1373" t="str">
        <f t="shared" si="256"/>
        <v/>
      </c>
      <c r="O383" s="567">
        <f t="shared" si="257"/>
        <v>-1</v>
      </c>
      <c r="P383" s="423"/>
      <c r="Q383" s="423"/>
      <c r="R383" s="419"/>
      <c r="S383" s="563"/>
      <c r="T383" s="564"/>
      <c r="U383" s="477"/>
      <c r="V383" s="206">
        <f t="shared" si="258"/>
        <v>0</v>
      </c>
      <c r="W383" s="206">
        <f t="shared" si="259"/>
        <v>0</v>
      </c>
      <c r="X383" s="206">
        <f t="shared" si="260"/>
        <v>0</v>
      </c>
      <c r="Y383" s="206">
        <f t="shared" si="261"/>
        <v>0</v>
      </c>
      <c r="Z383" s="206">
        <f t="shared" si="262"/>
        <v>0</v>
      </c>
      <c r="AA383" s="206"/>
      <c r="AB383" s="206"/>
      <c r="AC383" s="206"/>
      <c r="AD383" s="473"/>
      <c r="AE383" s="473"/>
      <c r="AF383" s="473"/>
      <c r="AG383" s="206"/>
      <c r="AH383" s="206"/>
      <c r="AI383" s="206"/>
      <c r="AJ383" s="206"/>
      <c r="AK383" s="206"/>
      <c r="AL383" s="206"/>
      <c r="AM383" s="206"/>
      <c r="AN383" s="206"/>
      <c r="CU383" s="382"/>
      <c r="CV383" s="568" t="str">
        <f t="shared" si="252"/>
        <v>Investitionsgut 4</v>
      </c>
      <c r="CW383" s="568"/>
      <c r="DH383" s="382"/>
      <c r="DI383" s="382"/>
      <c r="DJ383" s="382"/>
      <c r="DK383" s="382"/>
      <c r="DL383" s="382"/>
      <c r="DM383" s="382"/>
      <c r="DN383" s="382"/>
      <c r="DO383" s="382"/>
      <c r="DP383" s="382"/>
      <c r="DQ383" s="382"/>
      <c r="DR383" s="382"/>
    </row>
    <row r="384" spans="1:122" s="409" customFormat="1" ht="14.25" customHeight="1" x14ac:dyDescent="0.2">
      <c r="A384" s="206"/>
      <c r="C384" s="1631" t="str">
        <f t="shared" si="250"/>
        <v>Investitionsgut 5</v>
      </c>
      <c r="D384" s="1632"/>
      <c r="E384" s="1372" t="str">
        <f t="shared" si="251"/>
        <v/>
      </c>
      <c r="F384" s="1372" t="str">
        <f t="shared" si="251"/>
        <v/>
      </c>
      <c r="G384" s="1372" t="str">
        <f t="shared" si="253"/>
        <v/>
      </c>
      <c r="H384" s="1372" t="str">
        <f t="shared" si="254"/>
        <v/>
      </c>
      <c r="I384" s="1372" t="str">
        <f t="shared" si="255"/>
        <v/>
      </c>
      <c r="J384" s="1373" t="str">
        <f t="shared" si="256"/>
        <v/>
      </c>
      <c r="K384" s="1373" t="str">
        <f t="shared" si="256"/>
        <v/>
      </c>
      <c r="L384" s="1373" t="str">
        <f t="shared" si="256"/>
        <v/>
      </c>
      <c r="M384" s="1373" t="str">
        <f t="shared" si="256"/>
        <v/>
      </c>
      <c r="N384" s="1373" t="str">
        <f t="shared" si="256"/>
        <v/>
      </c>
      <c r="O384" s="567">
        <f t="shared" si="257"/>
        <v>-1</v>
      </c>
      <c r="P384" s="423"/>
      <c r="Q384" s="423"/>
      <c r="R384" s="419"/>
      <c r="S384" s="563"/>
      <c r="T384" s="564"/>
      <c r="U384" s="477"/>
      <c r="V384" s="206">
        <f t="shared" si="258"/>
        <v>0</v>
      </c>
      <c r="W384" s="206">
        <f t="shared" si="259"/>
        <v>0</v>
      </c>
      <c r="X384" s="206">
        <f t="shared" si="260"/>
        <v>0</v>
      </c>
      <c r="Y384" s="206">
        <f t="shared" si="261"/>
        <v>0</v>
      </c>
      <c r="Z384" s="206">
        <f t="shared" si="262"/>
        <v>0</v>
      </c>
      <c r="AA384" s="206"/>
      <c r="AB384" s="206"/>
      <c r="AC384" s="206"/>
      <c r="AD384" s="206"/>
      <c r="AE384" s="206"/>
      <c r="AF384" s="206"/>
      <c r="AG384" s="206"/>
      <c r="AH384" s="206"/>
      <c r="AI384" s="206"/>
      <c r="AJ384" s="206"/>
      <c r="AK384" s="206"/>
      <c r="AL384" s="206"/>
      <c r="AM384" s="206"/>
      <c r="AN384" s="206"/>
      <c r="CU384" s="382"/>
      <c r="CV384" s="568" t="str">
        <f t="shared" si="252"/>
        <v>Investitionsgut 5</v>
      </c>
      <c r="CW384" s="568"/>
      <c r="DH384" s="382"/>
      <c r="DI384" s="382"/>
      <c r="DJ384" s="382"/>
      <c r="DK384" s="382"/>
      <c r="DL384" s="382"/>
      <c r="DM384" s="382"/>
      <c r="DN384" s="382"/>
      <c r="DO384" s="382"/>
      <c r="DP384" s="382"/>
      <c r="DQ384" s="382"/>
      <c r="DR384" s="382"/>
    </row>
    <row r="385" spans="1:122" s="409" customFormat="1" ht="14.25" customHeight="1" x14ac:dyDescent="0.2">
      <c r="A385" s="206"/>
      <c r="C385" s="1631" t="str">
        <f t="shared" si="250"/>
        <v>Investitionsgut 6</v>
      </c>
      <c r="D385" s="1632"/>
      <c r="E385" s="1372" t="str">
        <f t="shared" si="251"/>
        <v/>
      </c>
      <c r="F385" s="1372" t="str">
        <f t="shared" si="251"/>
        <v/>
      </c>
      <c r="G385" s="1372" t="str">
        <f t="shared" si="253"/>
        <v/>
      </c>
      <c r="H385" s="1372" t="str">
        <f t="shared" si="254"/>
        <v/>
      </c>
      <c r="I385" s="1372" t="str">
        <f t="shared" si="255"/>
        <v/>
      </c>
      <c r="J385" s="1373" t="str">
        <f t="shared" si="256"/>
        <v/>
      </c>
      <c r="K385" s="1373" t="str">
        <f t="shared" si="256"/>
        <v/>
      </c>
      <c r="L385" s="1373" t="str">
        <f t="shared" si="256"/>
        <v/>
      </c>
      <c r="M385" s="1373" t="str">
        <f t="shared" si="256"/>
        <v/>
      </c>
      <c r="N385" s="1373" t="str">
        <f t="shared" si="256"/>
        <v/>
      </c>
      <c r="O385" s="567">
        <f t="shared" si="257"/>
        <v>-1</v>
      </c>
      <c r="P385" s="423"/>
      <c r="Q385" s="423"/>
      <c r="R385" s="419"/>
      <c r="S385" s="563"/>
      <c r="T385" s="564"/>
      <c r="U385" s="477"/>
      <c r="V385" s="206">
        <f t="shared" si="258"/>
        <v>0</v>
      </c>
      <c r="W385" s="206">
        <f t="shared" si="259"/>
        <v>0</v>
      </c>
      <c r="X385" s="206">
        <f t="shared" si="260"/>
        <v>0</v>
      </c>
      <c r="Y385" s="206">
        <f t="shared" si="261"/>
        <v>0</v>
      </c>
      <c r="Z385" s="206">
        <f t="shared" si="262"/>
        <v>0</v>
      </c>
      <c r="AA385" s="206"/>
      <c r="AB385" s="206"/>
      <c r="AC385" s="206"/>
      <c r="AD385" s="206"/>
      <c r="AE385" s="206"/>
      <c r="AF385" s="206"/>
      <c r="AG385" s="206"/>
      <c r="AH385" s="206"/>
      <c r="AI385" s="206"/>
      <c r="AJ385" s="206"/>
      <c r="AK385" s="206"/>
      <c r="AL385" s="206"/>
      <c r="AM385" s="206"/>
      <c r="AN385" s="206"/>
      <c r="CU385" s="382"/>
      <c r="CV385" s="568" t="str">
        <f t="shared" si="252"/>
        <v>Investitionsgut 6</v>
      </c>
      <c r="CW385" s="568"/>
      <c r="DH385" s="382"/>
      <c r="DI385" s="382"/>
      <c r="DJ385" s="382"/>
      <c r="DK385" s="382"/>
      <c r="DL385" s="382"/>
      <c r="DM385" s="382"/>
      <c r="DN385" s="382"/>
      <c r="DO385" s="382"/>
      <c r="DP385" s="382"/>
      <c r="DQ385" s="382"/>
      <c r="DR385" s="382"/>
    </row>
    <row r="386" spans="1:122" s="409" customFormat="1" ht="14.25" customHeight="1" x14ac:dyDescent="0.2">
      <c r="A386" s="206"/>
      <c r="C386" s="1631" t="str">
        <f t="shared" si="250"/>
        <v>Investitionsgut 7</v>
      </c>
      <c r="D386" s="1632"/>
      <c r="E386" s="1372" t="str">
        <f t="shared" si="251"/>
        <v/>
      </c>
      <c r="F386" s="1372" t="str">
        <f t="shared" si="251"/>
        <v/>
      </c>
      <c r="G386" s="1372" t="str">
        <f t="shared" si="253"/>
        <v/>
      </c>
      <c r="H386" s="1372" t="str">
        <f t="shared" si="254"/>
        <v/>
      </c>
      <c r="I386" s="1372" t="str">
        <f t="shared" si="255"/>
        <v/>
      </c>
      <c r="J386" s="1373" t="str">
        <f t="shared" si="256"/>
        <v/>
      </c>
      <c r="K386" s="1373" t="str">
        <f t="shared" si="256"/>
        <v/>
      </c>
      <c r="L386" s="1373" t="str">
        <f t="shared" si="256"/>
        <v/>
      </c>
      <c r="M386" s="1373" t="str">
        <f t="shared" si="256"/>
        <v/>
      </c>
      <c r="N386" s="1373" t="str">
        <f t="shared" si="256"/>
        <v/>
      </c>
      <c r="O386" s="567">
        <f t="shared" si="257"/>
        <v>-1</v>
      </c>
      <c r="P386" s="423"/>
      <c r="Q386" s="423"/>
      <c r="R386" s="419"/>
      <c r="S386" s="563"/>
      <c r="T386" s="564"/>
      <c r="U386" s="477"/>
      <c r="V386" s="206">
        <f t="shared" si="258"/>
        <v>0</v>
      </c>
      <c r="W386" s="206">
        <f t="shared" si="259"/>
        <v>0</v>
      </c>
      <c r="X386" s="206">
        <f t="shared" si="260"/>
        <v>0</v>
      </c>
      <c r="Y386" s="206">
        <f t="shared" si="261"/>
        <v>0</v>
      </c>
      <c r="Z386" s="206">
        <f t="shared" si="262"/>
        <v>0</v>
      </c>
      <c r="AA386" s="206"/>
      <c r="AB386" s="206"/>
      <c r="AC386" s="206"/>
      <c r="AD386" s="206"/>
      <c r="AE386" s="206"/>
      <c r="AF386" s="206"/>
      <c r="AG386" s="206"/>
      <c r="AH386" s="206"/>
      <c r="AI386" s="206"/>
      <c r="AJ386" s="206"/>
      <c r="AK386" s="206"/>
      <c r="AL386" s="206"/>
      <c r="AM386" s="206"/>
      <c r="AN386" s="206"/>
      <c r="CU386" s="382"/>
      <c r="CV386" s="568" t="str">
        <f t="shared" si="252"/>
        <v>Investitionsgut 7</v>
      </c>
      <c r="CW386" s="568"/>
      <c r="DH386" s="382"/>
      <c r="DI386" s="382"/>
      <c r="DJ386" s="382"/>
      <c r="DK386" s="382"/>
      <c r="DL386" s="382"/>
      <c r="DM386" s="382"/>
      <c r="DN386" s="382"/>
      <c r="DO386" s="382"/>
      <c r="DP386" s="382"/>
      <c r="DQ386" s="382"/>
      <c r="DR386" s="382"/>
    </row>
    <row r="387" spans="1:122" s="409" customFormat="1" ht="14.25" customHeight="1" x14ac:dyDescent="0.2">
      <c r="A387" s="206"/>
      <c r="C387" s="1656" t="s">
        <v>152</v>
      </c>
      <c r="D387" s="1657"/>
      <c r="E387" s="1372">
        <f>E358</f>
        <v>0</v>
      </c>
      <c r="F387" s="1372">
        <f t="shared" si="251"/>
        <v>0</v>
      </c>
      <c r="G387" s="1372">
        <f t="shared" si="253"/>
        <v>0</v>
      </c>
      <c r="H387" s="1372">
        <f t="shared" si="254"/>
        <v>0</v>
      </c>
      <c r="I387" s="1372">
        <f t="shared" si="255"/>
        <v>0</v>
      </c>
      <c r="J387" s="1373">
        <f t="shared" si="256"/>
        <v>0</v>
      </c>
      <c r="K387" s="1373">
        <f t="shared" si="256"/>
        <v>0</v>
      </c>
      <c r="L387" s="1373">
        <f t="shared" si="256"/>
        <v>0</v>
      </c>
      <c r="M387" s="1373">
        <f t="shared" si="256"/>
        <v>0</v>
      </c>
      <c r="N387" s="1373">
        <f t="shared" si="256"/>
        <v>0</v>
      </c>
      <c r="O387" s="567">
        <f t="shared" si="257"/>
        <v>0</v>
      </c>
      <c r="P387" s="423"/>
      <c r="Q387" s="423"/>
      <c r="R387" s="419"/>
      <c r="S387" s="563"/>
      <c r="T387" s="564"/>
      <c r="U387" s="477"/>
      <c r="V387" s="206">
        <f t="shared" si="258"/>
        <v>0</v>
      </c>
      <c r="W387" s="206">
        <f t="shared" si="259"/>
        <v>0</v>
      </c>
      <c r="X387" s="206">
        <f t="shared" si="260"/>
        <v>0</v>
      </c>
      <c r="Y387" s="206">
        <f t="shared" si="261"/>
        <v>0</v>
      </c>
      <c r="Z387" s="206">
        <f t="shared" si="262"/>
        <v>0</v>
      </c>
      <c r="AA387" s="206"/>
      <c r="AB387" s="206"/>
      <c r="AC387" s="206"/>
      <c r="AD387" s="206"/>
      <c r="AE387" s="206"/>
      <c r="AF387" s="206"/>
      <c r="AG387" s="206"/>
      <c r="AH387" s="206"/>
      <c r="AI387" s="206"/>
      <c r="AJ387" s="206"/>
      <c r="AK387" s="206"/>
      <c r="AL387" s="206"/>
      <c r="AM387" s="206"/>
      <c r="AN387" s="206"/>
      <c r="CU387" s="382"/>
      <c r="CV387" s="568" t="s">
        <v>152</v>
      </c>
      <c r="CW387" s="568"/>
      <c r="DH387" s="382"/>
      <c r="DI387" s="382"/>
      <c r="DJ387" s="382"/>
      <c r="DK387" s="382"/>
      <c r="DL387" s="382"/>
      <c r="DM387" s="382"/>
      <c r="DN387" s="382"/>
      <c r="DO387" s="382"/>
      <c r="DP387" s="382"/>
      <c r="DQ387" s="382"/>
      <c r="DR387" s="382"/>
    </row>
    <row r="388" spans="1:122" s="409" customFormat="1" ht="14.25" customHeight="1" thickBot="1" x14ac:dyDescent="0.25">
      <c r="A388" s="206"/>
      <c r="C388" s="1317"/>
      <c r="D388" s="1317"/>
      <c r="E388" s="1374">
        <f>SUM(E380:E387)</f>
        <v>0</v>
      </c>
      <c r="F388" s="1373">
        <f>SUM(F380:F387)</f>
        <v>0</v>
      </c>
      <c r="G388" s="1373">
        <f>SUM(G380:G387)</f>
        <v>0</v>
      </c>
      <c r="H388" s="1373">
        <f>SUM(H380:H387)</f>
        <v>0</v>
      </c>
      <c r="I388" s="1373">
        <f>SUM(I380:I387)</f>
        <v>0</v>
      </c>
      <c r="J388" s="1317"/>
      <c r="K388" s="1317"/>
      <c r="L388" s="1317"/>
      <c r="M388" s="1317"/>
      <c r="N388" s="1317"/>
      <c r="P388" s="423"/>
      <c r="Q388" s="423"/>
      <c r="R388" s="419"/>
      <c r="S388" s="563"/>
      <c r="T388" s="564"/>
      <c r="U388" s="477"/>
      <c r="V388" s="206">
        <f>IF(E13="",0,P13)</f>
        <v>0</v>
      </c>
      <c r="W388" s="206">
        <f>IF(G13="",0,P13)</f>
        <v>0</v>
      </c>
      <c r="X388" s="206">
        <f>IF(I13="",0,P13)</f>
        <v>0</v>
      </c>
      <c r="Y388" s="569">
        <f>IF(K13="",0,P13)</f>
        <v>0</v>
      </c>
      <c r="Z388" s="569">
        <f>IF(M13="",0,P13)</f>
        <v>0</v>
      </c>
      <c r="AA388" s="206"/>
      <c r="AB388" s="206"/>
      <c r="AC388" s="206"/>
      <c r="AD388" s="206"/>
      <c r="AE388" s="206"/>
      <c r="AF388" s="206"/>
      <c r="AG388" s="206"/>
      <c r="AH388" s="206"/>
      <c r="AI388" s="206"/>
      <c r="AJ388" s="206"/>
      <c r="AK388" s="206"/>
      <c r="AL388" s="206"/>
      <c r="AM388" s="206"/>
      <c r="AN388" s="206"/>
      <c r="CU388" s="382"/>
      <c r="CV388" s="382"/>
      <c r="CW388" s="382"/>
      <c r="DH388" s="382"/>
      <c r="DI388" s="382"/>
      <c r="DJ388" s="382"/>
      <c r="DK388" s="382"/>
      <c r="DL388" s="382"/>
      <c r="DM388" s="382"/>
      <c r="DN388" s="382"/>
      <c r="DO388" s="382"/>
      <c r="DP388" s="382"/>
      <c r="DQ388" s="382"/>
      <c r="DR388" s="382"/>
    </row>
    <row r="389" spans="1:122" s="409" customFormat="1" ht="15" customHeight="1" thickBot="1" x14ac:dyDescent="0.25">
      <c r="A389" s="206"/>
      <c r="C389" s="1370">
        <f ca="1">C378+1</f>
        <v>2020</v>
      </c>
      <c r="D389" s="1317" t="s">
        <v>153</v>
      </c>
      <c r="E389" s="1317"/>
      <c r="F389" s="1317"/>
      <c r="G389" s="1317"/>
      <c r="H389" s="1317"/>
      <c r="I389" s="1317"/>
      <c r="J389" s="1317"/>
      <c r="K389" s="1317"/>
      <c r="L389" s="1317"/>
      <c r="M389" s="1317"/>
      <c r="N389" s="1317"/>
      <c r="P389" s="423"/>
      <c r="Q389" s="423"/>
      <c r="R389" s="419"/>
      <c r="S389" s="563"/>
      <c r="T389" s="564"/>
      <c r="U389" s="206"/>
      <c r="V389" s="206"/>
      <c r="W389" s="206"/>
      <c r="X389" s="206"/>
      <c r="Y389" s="206"/>
      <c r="Z389" s="206"/>
      <c r="AA389" s="206"/>
      <c r="AB389" s="206"/>
      <c r="AC389" s="206"/>
      <c r="AD389" s="208"/>
      <c r="AE389" s="208"/>
      <c r="AF389" s="208"/>
      <c r="AG389" s="206"/>
      <c r="AH389" s="206"/>
      <c r="AI389" s="206"/>
      <c r="AJ389" s="206"/>
      <c r="AK389" s="206"/>
      <c r="AL389" s="206"/>
      <c r="AM389" s="206"/>
      <c r="AN389" s="206"/>
      <c r="CU389" s="382"/>
      <c r="CV389" s="382">
        <f>CV378+1</f>
        <v>1</v>
      </c>
      <c r="CW389" s="382" t="s">
        <v>153</v>
      </c>
      <c r="DH389" s="382"/>
      <c r="DI389" s="382"/>
      <c r="DJ389" s="382"/>
      <c r="DK389" s="382"/>
      <c r="DL389" s="382"/>
      <c r="DM389" s="382"/>
      <c r="DN389" s="382"/>
      <c r="DO389" s="382"/>
      <c r="DP389" s="382"/>
      <c r="DQ389" s="382"/>
      <c r="DR389" s="382"/>
    </row>
    <row r="390" spans="1:122" s="409" customFormat="1" ht="14.25" customHeight="1" x14ac:dyDescent="0.2">
      <c r="A390" s="206"/>
      <c r="C390" s="1317"/>
      <c r="D390" s="1317"/>
      <c r="E390" s="1371">
        <f ca="1">E379</f>
        <v>2019</v>
      </c>
      <c r="F390" s="1371">
        <f ca="1">E390+1</f>
        <v>2020</v>
      </c>
      <c r="G390" s="1371">
        <f ca="1">F390+1</f>
        <v>2021</v>
      </c>
      <c r="H390" s="1371">
        <f ca="1">G390+1</f>
        <v>2022</v>
      </c>
      <c r="I390" s="1371">
        <f ca="1">H390+1</f>
        <v>2023</v>
      </c>
      <c r="J390" s="1317"/>
      <c r="K390" s="1317"/>
      <c r="L390" s="1317"/>
      <c r="M390" s="1317"/>
      <c r="N390" s="1317"/>
      <c r="P390" s="423"/>
      <c r="Q390" s="423"/>
      <c r="R390" s="419"/>
      <c r="S390" s="563"/>
      <c r="T390" s="564"/>
      <c r="U390" s="206"/>
      <c r="V390" s="206"/>
      <c r="W390" s="206"/>
      <c r="X390" s="206"/>
      <c r="Y390" s="206"/>
      <c r="Z390" s="206"/>
      <c r="AA390" s="206"/>
      <c r="AB390" s="206"/>
      <c r="AC390" s="206"/>
      <c r="AD390" s="208"/>
      <c r="AE390" s="208"/>
      <c r="AF390" s="208"/>
      <c r="AG390" s="206"/>
      <c r="AH390" s="206"/>
      <c r="AI390" s="206"/>
      <c r="AJ390" s="206"/>
      <c r="AK390" s="206"/>
      <c r="AL390" s="206"/>
      <c r="AM390" s="206"/>
      <c r="AN390" s="206"/>
      <c r="CU390" s="382"/>
      <c r="CV390" s="382"/>
      <c r="CW390" s="382"/>
      <c r="DH390" s="382"/>
      <c r="DI390" s="382"/>
      <c r="DJ390" s="382"/>
      <c r="DK390" s="382"/>
      <c r="DL390" s="382"/>
      <c r="DM390" s="382"/>
      <c r="DN390" s="382"/>
      <c r="DO390" s="382"/>
      <c r="DP390" s="382"/>
      <c r="DQ390" s="382"/>
      <c r="DR390" s="382"/>
    </row>
    <row r="391" spans="1:122" s="409" customFormat="1" ht="14.25" customHeight="1" x14ac:dyDescent="0.2">
      <c r="A391" s="206"/>
      <c r="C391" s="1631" t="str">
        <f t="shared" ref="C391:C397" si="263">C6</f>
        <v>Investitionsgut 1</v>
      </c>
      <c r="D391" s="1632"/>
      <c r="E391" s="1317"/>
      <c r="F391" s="1372" t="str">
        <f t="shared" ref="F391:F398" si="264">G351</f>
        <v/>
      </c>
      <c r="G391" s="1372" t="str">
        <f t="shared" ref="G391:G398" si="265">L351</f>
        <v/>
      </c>
      <c r="H391" s="1372" t="str">
        <f t="shared" ref="H391:H398" si="266">P351</f>
        <v/>
      </c>
      <c r="I391" s="1372" t="str">
        <f t="shared" ref="I391:I398" si="267">P351</f>
        <v/>
      </c>
      <c r="J391" s="1373">
        <f>IF(E391&gt;0,E391,IF(E391=0,0,""))</f>
        <v>0</v>
      </c>
      <c r="K391" s="1373" t="str">
        <f t="shared" ref="K391:N397" si="268">IF(F391&gt;0,F391,IF(F391=0,0,""))</f>
        <v/>
      </c>
      <c r="L391" s="1373" t="str">
        <f t="shared" si="268"/>
        <v/>
      </c>
      <c r="M391" s="1373" t="str">
        <f t="shared" si="268"/>
        <v/>
      </c>
      <c r="N391" s="1373" t="str">
        <f t="shared" si="268"/>
        <v/>
      </c>
      <c r="O391" s="567">
        <f>IF(K391="",-1,IF(K391=0,0,1))</f>
        <v>-1</v>
      </c>
      <c r="P391" s="423"/>
      <c r="Q391" s="423"/>
      <c r="R391" s="419"/>
      <c r="S391" s="563"/>
      <c r="T391" s="564"/>
      <c r="U391" s="206"/>
      <c r="V391" s="206"/>
      <c r="W391" s="206"/>
      <c r="X391" s="206"/>
      <c r="Y391" s="206"/>
      <c r="Z391" s="206"/>
      <c r="AA391" s="206"/>
      <c r="AB391" s="206"/>
      <c r="AC391" s="473"/>
      <c r="AD391" s="206"/>
      <c r="AE391" s="206"/>
      <c r="AF391" s="206"/>
      <c r="AG391" s="206"/>
      <c r="AH391" s="206"/>
      <c r="AI391" s="206"/>
      <c r="AJ391" s="206"/>
      <c r="AK391" s="206"/>
      <c r="AL391" s="206"/>
      <c r="AM391" s="206"/>
      <c r="AN391" s="206"/>
      <c r="CU391" s="382"/>
      <c r="CV391" s="568" t="str">
        <f t="shared" ref="CV391:CV397" si="269">CV6</f>
        <v>Investitionsgut 1</v>
      </c>
      <c r="CW391" s="568"/>
      <c r="DH391" s="382"/>
      <c r="DI391" s="382"/>
      <c r="DJ391" s="382"/>
      <c r="DK391" s="382"/>
      <c r="DL391" s="382"/>
      <c r="DM391" s="382"/>
      <c r="DN391" s="382"/>
      <c r="DO391" s="382"/>
      <c r="DP391" s="382"/>
      <c r="DQ391" s="382"/>
      <c r="DR391" s="382"/>
    </row>
    <row r="392" spans="1:122" s="409" customFormat="1" ht="14.25" customHeight="1" x14ac:dyDescent="0.2">
      <c r="A392" s="206"/>
      <c r="C392" s="1631" t="str">
        <f t="shared" si="263"/>
        <v>Investitionsgut 2</v>
      </c>
      <c r="D392" s="1632"/>
      <c r="E392" s="1317"/>
      <c r="F392" s="1372" t="str">
        <f t="shared" si="264"/>
        <v/>
      </c>
      <c r="G392" s="1372" t="str">
        <f t="shared" si="265"/>
        <v/>
      </c>
      <c r="H392" s="1372" t="str">
        <f t="shared" si="266"/>
        <v/>
      </c>
      <c r="I392" s="1372" t="str">
        <f t="shared" si="267"/>
        <v/>
      </c>
      <c r="J392" s="1373">
        <f t="shared" ref="J392:J397" si="270">IF(E392&gt;0,E392,IF(E392=0,0,""))</f>
        <v>0</v>
      </c>
      <c r="K392" s="1373" t="str">
        <f t="shared" si="268"/>
        <v/>
      </c>
      <c r="L392" s="1373" t="str">
        <f t="shared" si="268"/>
        <v/>
      </c>
      <c r="M392" s="1373" t="str">
        <f t="shared" si="268"/>
        <v/>
      </c>
      <c r="N392" s="1373" t="str">
        <f t="shared" si="268"/>
        <v/>
      </c>
      <c r="O392" s="567">
        <f t="shared" ref="O392:O397" si="271">IF(K392="",-1,IF(K392=0,0,1))</f>
        <v>-1</v>
      </c>
      <c r="P392" s="423"/>
      <c r="Q392" s="423"/>
      <c r="R392" s="419"/>
      <c r="S392" s="563"/>
      <c r="T392" s="564"/>
      <c r="U392" s="206"/>
      <c r="V392" s="206"/>
      <c r="W392" s="206"/>
      <c r="X392" s="206"/>
      <c r="Y392" s="206"/>
      <c r="Z392" s="206"/>
      <c r="AA392" s="206"/>
      <c r="AB392" s="206"/>
      <c r="AC392" s="473"/>
      <c r="AD392" s="206"/>
      <c r="AE392" s="206"/>
      <c r="AF392" s="206"/>
      <c r="AG392" s="206"/>
      <c r="AH392" s="206"/>
      <c r="AI392" s="206"/>
      <c r="AJ392" s="206"/>
      <c r="AK392" s="206"/>
      <c r="AL392" s="206"/>
      <c r="AM392" s="206"/>
      <c r="AN392" s="206"/>
      <c r="CU392" s="382"/>
      <c r="CV392" s="568" t="str">
        <f t="shared" si="269"/>
        <v>Investitionsgut 2</v>
      </c>
      <c r="CW392" s="568"/>
      <c r="DH392" s="382"/>
      <c r="DI392" s="382"/>
      <c r="DJ392" s="382"/>
      <c r="DK392" s="382"/>
      <c r="DL392" s="382"/>
      <c r="DM392" s="382"/>
      <c r="DN392" s="382"/>
      <c r="DO392" s="382"/>
      <c r="DP392" s="382"/>
      <c r="DQ392" s="382"/>
      <c r="DR392" s="382"/>
    </row>
    <row r="393" spans="1:122" s="409" customFormat="1" ht="14.25" customHeight="1" x14ac:dyDescent="0.2">
      <c r="A393" s="206"/>
      <c r="C393" s="1631" t="str">
        <f t="shared" si="263"/>
        <v>Investitionsgut 3</v>
      </c>
      <c r="D393" s="1632"/>
      <c r="E393" s="1317"/>
      <c r="F393" s="1372" t="str">
        <f t="shared" si="264"/>
        <v/>
      </c>
      <c r="G393" s="1372" t="str">
        <f t="shared" si="265"/>
        <v/>
      </c>
      <c r="H393" s="1372" t="str">
        <f t="shared" si="266"/>
        <v/>
      </c>
      <c r="I393" s="1372" t="str">
        <f t="shared" si="267"/>
        <v/>
      </c>
      <c r="J393" s="1373">
        <f t="shared" si="270"/>
        <v>0</v>
      </c>
      <c r="K393" s="1373" t="str">
        <f t="shared" si="268"/>
        <v/>
      </c>
      <c r="L393" s="1373" t="str">
        <f t="shared" si="268"/>
        <v/>
      </c>
      <c r="M393" s="1373" t="str">
        <f t="shared" si="268"/>
        <v/>
      </c>
      <c r="N393" s="1373" t="str">
        <f t="shared" si="268"/>
        <v/>
      </c>
      <c r="O393" s="567">
        <f t="shared" si="271"/>
        <v>-1</v>
      </c>
      <c r="P393" s="423"/>
      <c r="Q393" s="423"/>
      <c r="R393" s="419"/>
      <c r="S393" s="563"/>
      <c r="T393" s="564"/>
      <c r="U393" s="206"/>
      <c r="V393" s="206"/>
      <c r="W393" s="206"/>
      <c r="X393" s="206"/>
      <c r="Y393" s="206"/>
      <c r="Z393" s="206"/>
      <c r="AA393" s="206"/>
      <c r="AB393" s="206"/>
      <c r="AC393" s="473"/>
      <c r="AD393" s="206"/>
      <c r="AE393" s="206"/>
      <c r="AF393" s="206"/>
      <c r="AG393" s="206"/>
      <c r="AH393" s="206"/>
      <c r="AI393" s="206"/>
      <c r="AJ393" s="206"/>
      <c r="AK393" s="206"/>
      <c r="AL393" s="206"/>
      <c r="AM393" s="206"/>
      <c r="AN393" s="206"/>
      <c r="CU393" s="382"/>
      <c r="CV393" s="568" t="str">
        <f t="shared" si="269"/>
        <v>Investitionsgut 3</v>
      </c>
      <c r="CW393" s="568"/>
      <c r="DH393" s="382"/>
      <c r="DI393" s="382"/>
      <c r="DJ393" s="382"/>
      <c r="DK393" s="382"/>
      <c r="DL393" s="382"/>
      <c r="DM393" s="382"/>
      <c r="DN393" s="382"/>
      <c r="DO393" s="382"/>
      <c r="DP393" s="382"/>
      <c r="DQ393" s="382"/>
      <c r="DR393" s="382"/>
    </row>
    <row r="394" spans="1:122" s="409" customFormat="1" ht="14.25" customHeight="1" x14ac:dyDescent="0.2">
      <c r="A394" s="206"/>
      <c r="C394" s="1631" t="str">
        <f t="shared" si="263"/>
        <v>Investitionsgut 4</v>
      </c>
      <c r="D394" s="1632"/>
      <c r="E394" s="1317"/>
      <c r="F394" s="1372" t="str">
        <f t="shared" si="264"/>
        <v/>
      </c>
      <c r="G394" s="1372" t="str">
        <f t="shared" si="265"/>
        <v/>
      </c>
      <c r="H394" s="1372" t="str">
        <f t="shared" si="266"/>
        <v/>
      </c>
      <c r="I394" s="1372" t="str">
        <f t="shared" si="267"/>
        <v/>
      </c>
      <c r="J394" s="1373">
        <f t="shared" si="270"/>
        <v>0</v>
      </c>
      <c r="K394" s="1373" t="str">
        <f t="shared" si="268"/>
        <v/>
      </c>
      <c r="L394" s="1373" t="str">
        <f t="shared" si="268"/>
        <v/>
      </c>
      <c r="M394" s="1373" t="str">
        <f t="shared" si="268"/>
        <v/>
      </c>
      <c r="N394" s="1373" t="str">
        <f t="shared" si="268"/>
        <v/>
      </c>
      <c r="O394" s="567">
        <f t="shared" si="271"/>
        <v>-1</v>
      </c>
      <c r="P394" s="423"/>
      <c r="Q394" s="423"/>
      <c r="R394" s="419"/>
      <c r="S394" s="563"/>
      <c r="T394" s="564"/>
      <c r="U394" s="206"/>
      <c r="V394" s="206"/>
      <c r="W394" s="206"/>
      <c r="X394" s="206"/>
      <c r="Y394" s="206"/>
      <c r="Z394" s="206"/>
      <c r="AA394" s="206"/>
      <c r="AB394" s="206"/>
      <c r="AC394" s="473"/>
      <c r="AD394" s="206"/>
      <c r="AE394" s="206"/>
      <c r="AF394" s="206"/>
      <c r="AG394" s="206"/>
      <c r="AH394" s="206"/>
      <c r="AI394" s="206"/>
      <c r="AJ394" s="206"/>
      <c r="AK394" s="206"/>
      <c r="AL394" s="206"/>
      <c r="AM394" s="206"/>
      <c r="AN394" s="206"/>
      <c r="CU394" s="382"/>
      <c r="CV394" s="568" t="str">
        <f t="shared" si="269"/>
        <v>Investitionsgut 4</v>
      </c>
      <c r="CW394" s="568"/>
      <c r="DH394" s="382"/>
      <c r="DI394" s="382"/>
      <c r="DJ394" s="382"/>
      <c r="DK394" s="382"/>
      <c r="DL394" s="382"/>
      <c r="DM394" s="382"/>
      <c r="DN394" s="382"/>
      <c r="DO394" s="382"/>
      <c r="DP394" s="382"/>
      <c r="DQ394" s="382"/>
      <c r="DR394" s="382"/>
    </row>
    <row r="395" spans="1:122" s="409" customFormat="1" ht="14.25" customHeight="1" x14ac:dyDescent="0.2">
      <c r="A395" s="206"/>
      <c r="C395" s="1631" t="str">
        <f t="shared" si="263"/>
        <v>Investitionsgut 5</v>
      </c>
      <c r="D395" s="1632"/>
      <c r="E395" s="1317"/>
      <c r="F395" s="1372" t="str">
        <f t="shared" si="264"/>
        <v/>
      </c>
      <c r="G395" s="1372" t="str">
        <f t="shared" si="265"/>
        <v/>
      </c>
      <c r="H395" s="1372" t="str">
        <f t="shared" si="266"/>
        <v/>
      </c>
      <c r="I395" s="1372" t="str">
        <f t="shared" si="267"/>
        <v/>
      </c>
      <c r="J395" s="1373">
        <f t="shared" si="270"/>
        <v>0</v>
      </c>
      <c r="K395" s="1373" t="str">
        <f t="shared" si="268"/>
        <v/>
      </c>
      <c r="L395" s="1373" t="str">
        <f t="shared" si="268"/>
        <v/>
      </c>
      <c r="M395" s="1373" t="str">
        <f t="shared" si="268"/>
        <v/>
      </c>
      <c r="N395" s="1373" t="str">
        <f t="shared" si="268"/>
        <v/>
      </c>
      <c r="O395" s="567">
        <f t="shared" si="271"/>
        <v>-1</v>
      </c>
      <c r="P395" s="423"/>
      <c r="Q395" s="423"/>
      <c r="R395" s="419"/>
      <c r="S395" s="563"/>
      <c r="T395" s="564"/>
      <c r="U395" s="206"/>
      <c r="V395" s="206"/>
      <c r="W395" s="206"/>
      <c r="X395" s="206"/>
      <c r="Y395" s="206"/>
      <c r="Z395" s="206"/>
      <c r="AA395" s="206"/>
      <c r="AB395" s="206"/>
      <c r="AC395" s="473"/>
      <c r="AD395" s="206"/>
      <c r="AE395" s="206"/>
      <c r="AF395" s="206"/>
      <c r="AG395" s="206"/>
      <c r="AH395" s="206"/>
      <c r="AI395" s="206"/>
      <c r="AJ395" s="206"/>
      <c r="AK395" s="206"/>
      <c r="AL395" s="206"/>
      <c r="AM395" s="206"/>
      <c r="AN395" s="206"/>
      <c r="CU395" s="382"/>
      <c r="CV395" s="568" t="str">
        <f t="shared" si="269"/>
        <v>Investitionsgut 5</v>
      </c>
      <c r="CW395" s="568"/>
      <c r="DH395" s="382"/>
      <c r="DI395" s="382"/>
      <c r="DJ395" s="382"/>
      <c r="DK395" s="382"/>
      <c r="DL395" s="382"/>
      <c r="DM395" s="382"/>
      <c r="DN395" s="382"/>
      <c r="DO395" s="382"/>
      <c r="DP395" s="382"/>
      <c r="DQ395" s="382"/>
      <c r="DR395" s="382"/>
    </row>
    <row r="396" spans="1:122" s="409" customFormat="1" ht="14.25" customHeight="1" x14ac:dyDescent="0.2">
      <c r="A396" s="206"/>
      <c r="C396" s="1631" t="str">
        <f t="shared" si="263"/>
        <v>Investitionsgut 6</v>
      </c>
      <c r="D396" s="1632"/>
      <c r="E396" s="1317"/>
      <c r="F396" s="1372" t="str">
        <f t="shared" si="264"/>
        <v/>
      </c>
      <c r="G396" s="1372" t="str">
        <f t="shared" si="265"/>
        <v/>
      </c>
      <c r="H396" s="1372" t="str">
        <f t="shared" si="266"/>
        <v/>
      </c>
      <c r="I396" s="1372" t="str">
        <f t="shared" si="267"/>
        <v/>
      </c>
      <c r="J396" s="1373">
        <f t="shared" si="270"/>
        <v>0</v>
      </c>
      <c r="K396" s="1373" t="str">
        <f t="shared" si="268"/>
        <v/>
      </c>
      <c r="L396" s="1373" t="str">
        <f t="shared" si="268"/>
        <v/>
      </c>
      <c r="M396" s="1373" t="str">
        <f t="shared" si="268"/>
        <v/>
      </c>
      <c r="N396" s="1373" t="str">
        <f t="shared" si="268"/>
        <v/>
      </c>
      <c r="O396" s="567">
        <f t="shared" si="271"/>
        <v>-1</v>
      </c>
      <c r="P396" s="423"/>
      <c r="Q396" s="423"/>
      <c r="R396" s="419"/>
      <c r="S396" s="563"/>
      <c r="T396" s="564"/>
      <c r="U396" s="206"/>
      <c r="V396" s="206"/>
      <c r="W396" s="206"/>
      <c r="X396" s="206"/>
      <c r="Y396" s="206"/>
      <c r="Z396" s="206"/>
      <c r="AA396" s="206"/>
      <c r="AB396" s="206"/>
      <c r="AC396" s="473"/>
      <c r="AD396" s="206"/>
      <c r="AE396" s="206"/>
      <c r="AF396" s="206"/>
      <c r="AG396" s="206"/>
      <c r="AH396" s="206"/>
      <c r="AI396" s="206"/>
      <c r="AJ396" s="206"/>
      <c r="AK396" s="206"/>
      <c r="AL396" s="206"/>
      <c r="AM396" s="206"/>
      <c r="AN396" s="206"/>
      <c r="CU396" s="382"/>
      <c r="CV396" s="568" t="str">
        <f t="shared" si="269"/>
        <v>Investitionsgut 6</v>
      </c>
      <c r="CW396" s="568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</row>
    <row r="397" spans="1:122" s="409" customFormat="1" ht="14.25" customHeight="1" x14ac:dyDescent="0.2">
      <c r="A397" s="206"/>
      <c r="C397" s="1631" t="str">
        <f t="shared" si="263"/>
        <v>Investitionsgut 7</v>
      </c>
      <c r="D397" s="1632"/>
      <c r="E397" s="1317"/>
      <c r="F397" s="1372" t="str">
        <f t="shared" si="264"/>
        <v/>
      </c>
      <c r="G397" s="1372" t="str">
        <f t="shared" si="265"/>
        <v/>
      </c>
      <c r="H397" s="1372" t="str">
        <f t="shared" si="266"/>
        <v/>
      </c>
      <c r="I397" s="1372" t="str">
        <f t="shared" si="267"/>
        <v/>
      </c>
      <c r="J397" s="1373">
        <f t="shared" si="270"/>
        <v>0</v>
      </c>
      <c r="K397" s="1373" t="str">
        <f t="shared" si="268"/>
        <v/>
      </c>
      <c r="L397" s="1373" t="str">
        <f t="shared" si="268"/>
        <v/>
      </c>
      <c r="M397" s="1373" t="str">
        <f t="shared" si="268"/>
        <v/>
      </c>
      <c r="N397" s="1373" t="str">
        <f t="shared" si="268"/>
        <v/>
      </c>
      <c r="O397" s="567">
        <f t="shared" si="271"/>
        <v>-1</v>
      </c>
      <c r="P397" s="423"/>
      <c r="Q397" s="423"/>
      <c r="R397" s="419"/>
      <c r="S397" s="563"/>
      <c r="T397" s="564"/>
      <c r="U397" s="206"/>
      <c r="V397" s="206"/>
      <c r="W397" s="206"/>
      <c r="X397" s="206"/>
      <c r="Y397" s="206"/>
      <c r="Z397" s="206"/>
      <c r="AA397" s="206"/>
      <c r="AB397" s="206"/>
      <c r="AC397" s="473"/>
      <c r="AD397" s="206"/>
      <c r="AE397" s="206"/>
      <c r="AF397" s="206"/>
      <c r="AG397" s="206"/>
      <c r="AH397" s="206"/>
      <c r="AI397" s="206"/>
      <c r="AJ397" s="206"/>
      <c r="AK397" s="206"/>
      <c r="AL397" s="206"/>
      <c r="AM397" s="206"/>
      <c r="AN397" s="206"/>
      <c r="CU397" s="382"/>
      <c r="CV397" s="568" t="str">
        <f t="shared" si="269"/>
        <v>Investitionsgut 7</v>
      </c>
      <c r="CW397" s="568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</row>
    <row r="398" spans="1:122" s="409" customFormat="1" ht="14.25" customHeight="1" x14ac:dyDescent="0.2">
      <c r="A398" s="206"/>
      <c r="C398" s="1631" t="s">
        <v>152</v>
      </c>
      <c r="D398" s="1632"/>
      <c r="E398" s="1317"/>
      <c r="F398" s="1372">
        <f t="shared" si="264"/>
        <v>0</v>
      </c>
      <c r="G398" s="1372">
        <f t="shared" si="265"/>
        <v>0</v>
      </c>
      <c r="H398" s="1372">
        <f t="shared" si="266"/>
        <v>0</v>
      </c>
      <c r="I398" s="1372">
        <f t="shared" si="267"/>
        <v>0</v>
      </c>
      <c r="J398" s="1373">
        <f>IF(E398&gt;0,E398,IF(E398=0,0,""))</f>
        <v>0</v>
      </c>
      <c r="K398" s="1373">
        <f>IF(F398&gt;0,F398,IF(F398=0,0,""))</f>
        <v>0</v>
      </c>
      <c r="L398" s="1373">
        <f>IF(G398&gt;0,G398,IF(G398=0,0,""))</f>
        <v>0</v>
      </c>
      <c r="M398" s="1373">
        <f>IF(H398&gt;0,H398,IF(H398=0,0,""))</f>
        <v>0</v>
      </c>
      <c r="N398" s="1373">
        <f>IF(I398&gt;0,I398,IF(I398=0,0,""))</f>
        <v>0</v>
      </c>
      <c r="O398" s="567">
        <f>IF(K398="",-1,IF(K398=0,0,1))</f>
        <v>0</v>
      </c>
      <c r="P398" s="423"/>
      <c r="Q398" s="423"/>
      <c r="R398" s="419"/>
      <c r="S398" s="563"/>
      <c r="T398" s="564"/>
      <c r="U398" s="565"/>
      <c r="V398" s="562"/>
      <c r="W398" s="477"/>
      <c r="X398" s="477"/>
      <c r="Y398" s="477"/>
      <c r="Z398" s="477"/>
      <c r="AA398" s="477"/>
      <c r="AB398" s="477"/>
      <c r="AC398" s="473"/>
      <c r="AD398" s="206"/>
      <c r="AE398" s="206"/>
      <c r="AF398" s="206"/>
      <c r="AG398" s="206"/>
      <c r="AH398" s="206"/>
      <c r="AI398" s="206"/>
      <c r="AJ398" s="206"/>
      <c r="AK398" s="206"/>
      <c r="AL398" s="206"/>
      <c r="AM398" s="206"/>
      <c r="AN398" s="206"/>
      <c r="CU398" s="382"/>
      <c r="CV398" s="568" t="s">
        <v>152</v>
      </c>
      <c r="CW398" s="568"/>
      <c r="DH398" s="382"/>
      <c r="DI398" s="382"/>
      <c r="DJ398" s="382"/>
      <c r="DK398" s="382"/>
      <c r="DL398" s="382"/>
      <c r="DM398" s="382"/>
      <c r="DN398" s="382"/>
      <c r="DO398" s="382"/>
      <c r="DP398" s="382"/>
      <c r="DQ398" s="382"/>
      <c r="DR398" s="382"/>
    </row>
    <row r="399" spans="1:122" s="409" customFormat="1" ht="14.25" customHeight="1" thickBot="1" x14ac:dyDescent="0.25">
      <c r="A399" s="206"/>
      <c r="C399" s="1317"/>
      <c r="D399" s="1317"/>
      <c r="E399" s="1374">
        <f>SUM(E391:E398)</f>
        <v>0</v>
      </c>
      <c r="F399" s="1373">
        <f>SUM(F391:F398)</f>
        <v>0</v>
      </c>
      <c r="G399" s="1373">
        <f>SUM(G391:G398)</f>
        <v>0</v>
      </c>
      <c r="H399" s="1373">
        <f>SUM(H391:H398)</f>
        <v>0</v>
      </c>
      <c r="I399" s="1373">
        <f>SUM(I391:I398)</f>
        <v>0</v>
      </c>
      <c r="J399" s="1317"/>
      <c r="K399" s="1317"/>
      <c r="L399" s="1317"/>
      <c r="M399" s="1317"/>
      <c r="N399" s="1317"/>
      <c r="P399" s="423"/>
      <c r="Q399" s="423"/>
      <c r="R399" s="419"/>
      <c r="S399" s="563"/>
      <c r="T399" s="564"/>
      <c r="U399" s="565"/>
      <c r="V399" s="562"/>
      <c r="W399" s="477"/>
      <c r="X399" s="477"/>
      <c r="Y399" s="477"/>
      <c r="Z399" s="477"/>
      <c r="AA399" s="477"/>
      <c r="AB399" s="477"/>
      <c r="AC399" s="473"/>
      <c r="AD399" s="206"/>
      <c r="AE399" s="206"/>
      <c r="AF399" s="206"/>
      <c r="AG399" s="206"/>
      <c r="AH399" s="206"/>
      <c r="AI399" s="206"/>
      <c r="AJ399" s="206"/>
      <c r="AK399" s="206"/>
      <c r="AL399" s="206"/>
      <c r="AM399" s="206"/>
      <c r="AN399" s="206"/>
      <c r="CU399" s="382"/>
      <c r="CV399" s="382"/>
      <c r="CW399" s="382"/>
      <c r="DH399" s="382"/>
      <c r="DI399" s="382"/>
      <c r="DJ399" s="382"/>
      <c r="DK399" s="382"/>
      <c r="DL399" s="382"/>
      <c r="DM399" s="382"/>
      <c r="DN399" s="382"/>
      <c r="DO399" s="382"/>
      <c r="DP399" s="382"/>
      <c r="DQ399" s="382"/>
      <c r="DR399" s="382"/>
    </row>
    <row r="400" spans="1:122" s="409" customFormat="1" ht="15" customHeight="1" thickBot="1" x14ac:dyDescent="0.25">
      <c r="A400" s="206"/>
      <c r="C400" s="1370">
        <f ca="1">C389+1</f>
        <v>2021</v>
      </c>
      <c r="D400" s="1317" t="s">
        <v>153</v>
      </c>
      <c r="E400" s="1317"/>
      <c r="F400" s="1317"/>
      <c r="G400" s="1361"/>
      <c r="H400" s="1317"/>
      <c r="I400" s="1361"/>
      <c r="J400" s="1317"/>
      <c r="K400" s="1361"/>
      <c r="L400" s="1317"/>
      <c r="M400" s="1361"/>
      <c r="N400" s="1317"/>
      <c r="P400" s="423"/>
      <c r="Q400" s="423"/>
      <c r="R400" s="419"/>
      <c r="S400" s="563"/>
      <c r="T400" s="564"/>
      <c r="U400" s="565"/>
      <c r="V400" s="562"/>
      <c r="W400" s="477"/>
      <c r="X400" s="477"/>
      <c r="Y400" s="477"/>
      <c r="Z400" s="477"/>
      <c r="AA400" s="477"/>
      <c r="AB400" s="477"/>
      <c r="AC400" s="473"/>
      <c r="AD400" s="206"/>
      <c r="AE400" s="206"/>
      <c r="AF400" s="206"/>
      <c r="AG400" s="206"/>
      <c r="AH400" s="206"/>
      <c r="AI400" s="206"/>
      <c r="AJ400" s="206"/>
      <c r="AK400" s="206"/>
      <c r="AL400" s="206"/>
      <c r="AM400" s="206"/>
      <c r="AN400" s="206"/>
      <c r="CU400" s="382"/>
      <c r="CV400" s="382">
        <f>CV389+1</f>
        <v>2</v>
      </c>
      <c r="CW400" s="382" t="s">
        <v>153</v>
      </c>
      <c r="DH400" s="382"/>
      <c r="DI400" s="382"/>
      <c r="DJ400" s="382"/>
      <c r="DK400" s="382"/>
      <c r="DL400" s="382"/>
      <c r="DM400" s="382"/>
      <c r="DN400" s="382"/>
      <c r="DO400" s="382"/>
      <c r="DP400" s="382"/>
      <c r="DQ400" s="382"/>
      <c r="DR400" s="382"/>
    </row>
    <row r="401" spans="1:122" s="409" customFormat="1" ht="14.25" customHeight="1" x14ac:dyDescent="0.2">
      <c r="A401" s="206"/>
      <c r="C401" s="1317"/>
      <c r="D401" s="1317"/>
      <c r="E401" s="1371">
        <f ca="1">E379</f>
        <v>2019</v>
      </c>
      <c r="F401" s="1371">
        <f ca="1">E401+1</f>
        <v>2020</v>
      </c>
      <c r="G401" s="1371">
        <f ca="1">F401+1</f>
        <v>2021</v>
      </c>
      <c r="H401" s="1371">
        <f ca="1">G401+1</f>
        <v>2022</v>
      </c>
      <c r="I401" s="1371">
        <f ca="1">H401+1</f>
        <v>2023</v>
      </c>
      <c r="J401" s="1317"/>
      <c r="K401" s="1361"/>
      <c r="L401" s="1317"/>
      <c r="M401" s="1361"/>
      <c r="N401" s="1317"/>
      <c r="P401" s="423"/>
      <c r="Q401" s="423"/>
      <c r="R401" s="419"/>
      <c r="S401" s="563"/>
      <c r="T401" s="564"/>
      <c r="U401" s="565"/>
      <c r="V401" s="562"/>
      <c r="W401" s="473"/>
      <c r="X401" s="473"/>
      <c r="Y401" s="473"/>
      <c r="Z401" s="473"/>
      <c r="AA401" s="473"/>
      <c r="AB401" s="473"/>
      <c r="AC401" s="473"/>
      <c r="AD401" s="206"/>
      <c r="AE401" s="206"/>
      <c r="AF401" s="206"/>
      <c r="AG401" s="206"/>
      <c r="AH401" s="206"/>
      <c r="AI401" s="206"/>
      <c r="AJ401" s="206"/>
      <c r="AK401" s="206"/>
      <c r="AL401" s="206"/>
      <c r="AM401" s="206"/>
      <c r="AN401" s="206"/>
      <c r="CU401" s="382"/>
      <c r="CV401" s="382"/>
      <c r="CW401" s="382"/>
      <c r="DH401" s="382"/>
      <c r="DI401" s="382"/>
      <c r="DJ401" s="382"/>
      <c r="DK401" s="382"/>
      <c r="DL401" s="382"/>
      <c r="DM401" s="382"/>
      <c r="DN401" s="382"/>
      <c r="DO401" s="382"/>
      <c r="DP401" s="382"/>
      <c r="DQ401" s="382"/>
      <c r="DR401" s="382"/>
    </row>
    <row r="402" spans="1:122" s="409" customFormat="1" ht="14.25" customHeight="1" x14ac:dyDescent="0.2">
      <c r="A402" s="206"/>
      <c r="C402" s="1631" t="str">
        <f t="shared" ref="C402:C408" si="272">C6</f>
        <v>Investitionsgut 1</v>
      </c>
      <c r="D402" s="1632"/>
      <c r="E402" s="1361"/>
      <c r="F402" s="1317"/>
      <c r="G402" s="1372" t="str">
        <f t="shared" ref="G402:G409" si="273">J351</f>
        <v/>
      </c>
      <c r="H402" s="1372" t="str">
        <f t="shared" ref="H402:H409" si="274">M351</f>
        <v/>
      </c>
      <c r="I402" s="1372" t="str">
        <f t="shared" ref="I402:I408" si="275">R351</f>
        <v/>
      </c>
      <c r="J402" s="1373">
        <f>IF(E402&gt;0,E402,IF(E402=0,0,""))</f>
        <v>0</v>
      </c>
      <c r="K402" s="1373">
        <f>IF(F402&gt;0,F402,IF(F402=0,0,""))</f>
        <v>0</v>
      </c>
      <c r="L402" s="1373" t="str">
        <f>IF(G402&gt;0,G402,IF(G402=0,0,""))</f>
        <v/>
      </c>
      <c r="M402" s="1373" t="str">
        <f>IF(H402&gt;0,H402,IF(H402=0,0,""))</f>
        <v/>
      </c>
      <c r="N402" s="1373" t="str">
        <f>IF(I402&gt;0,I402,IF(I402=0,0,""))</f>
        <v/>
      </c>
      <c r="O402" s="567">
        <f>IF(L402="",-1,IF(L402=0,0,1))</f>
        <v>-1</v>
      </c>
      <c r="P402" s="423"/>
      <c r="Q402" s="423"/>
      <c r="R402" s="419"/>
      <c r="S402" s="563"/>
      <c r="T402" s="564"/>
      <c r="U402" s="565"/>
      <c r="V402" s="562"/>
      <c r="W402" s="206"/>
      <c r="X402" s="473"/>
      <c r="Y402" s="473"/>
      <c r="Z402" s="473"/>
      <c r="AA402" s="473"/>
      <c r="AB402" s="473"/>
      <c r="AC402" s="473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CU402" s="382"/>
      <c r="CV402" s="568" t="str">
        <f t="shared" ref="CV402:CV408" si="276">CV6</f>
        <v>Investitionsgut 1</v>
      </c>
      <c r="CW402" s="568"/>
      <c r="DH402" s="382"/>
      <c r="DI402" s="382"/>
      <c r="DJ402" s="382"/>
      <c r="DK402" s="382"/>
      <c r="DL402" s="382"/>
      <c r="DM402" s="382"/>
      <c r="DN402" s="382"/>
      <c r="DO402" s="382"/>
      <c r="DP402" s="382"/>
      <c r="DQ402" s="382"/>
      <c r="DR402" s="382"/>
    </row>
    <row r="403" spans="1:122" s="409" customFormat="1" ht="14.25" customHeight="1" x14ac:dyDescent="0.2">
      <c r="A403" s="206"/>
      <c r="C403" s="1631" t="str">
        <f t="shared" si="272"/>
        <v>Investitionsgut 2</v>
      </c>
      <c r="D403" s="1632"/>
      <c r="E403" s="1361"/>
      <c r="F403" s="1317"/>
      <c r="G403" s="1372" t="str">
        <f t="shared" si="273"/>
        <v/>
      </c>
      <c r="H403" s="1372" t="str">
        <f t="shared" si="274"/>
        <v/>
      </c>
      <c r="I403" s="1372" t="str">
        <f t="shared" si="275"/>
        <v/>
      </c>
      <c r="J403" s="1373">
        <f t="shared" ref="J403:N409" si="277">IF(E403&gt;0,E403,IF(E403=0,0,""))</f>
        <v>0</v>
      </c>
      <c r="K403" s="1373">
        <f t="shared" si="277"/>
        <v>0</v>
      </c>
      <c r="L403" s="1373" t="str">
        <f t="shared" si="277"/>
        <v/>
      </c>
      <c r="M403" s="1373" t="str">
        <f t="shared" si="277"/>
        <v/>
      </c>
      <c r="N403" s="1373" t="str">
        <f t="shared" si="277"/>
        <v/>
      </c>
      <c r="O403" s="567">
        <f t="shared" ref="O403:O408" si="278">IF(L403="",-1,IF(L403=0,0,1))</f>
        <v>-1</v>
      </c>
      <c r="P403" s="423"/>
      <c r="Q403" s="423"/>
      <c r="R403" s="419"/>
      <c r="S403" s="563"/>
      <c r="T403" s="564"/>
      <c r="U403" s="565"/>
      <c r="V403" s="562"/>
      <c r="W403" s="477"/>
      <c r="X403" s="473"/>
      <c r="Y403" s="473"/>
      <c r="Z403" s="473"/>
      <c r="AA403" s="473"/>
      <c r="AB403" s="473"/>
      <c r="AC403" s="473"/>
      <c r="AD403" s="206"/>
      <c r="AE403" s="206"/>
      <c r="AF403" s="206"/>
      <c r="AG403" s="206"/>
      <c r="AH403" s="206"/>
      <c r="AI403" s="206"/>
      <c r="AJ403" s="206"/>
      <c r="AK403" s="206"/>
      <c r="AL403" s="206"/>
      <c r="AM403" s="206"/>
      <c r="AN403" s="206"/>
      <c r="CU403" s="382"/>
      <c r="CV403" s="568" t="str">
        <f t="shared" si="276"/>
        <v>Investitionsgut 2</v>
      </c>
      <c r="CW403" s="568"/>
      <c r="DH403" s="382"/>
      <c r="DI403" s="382"/>
      <c r="DJ403" s="382"/>
      <c r="DK403" s="382"/>
      <c r="DL403" s="382"/>
      <c r="DM403" s="382"/>
      <c r="DN403" s="382"/>
      <c r="DO403" s="382"/>
      <c r="DP403" s="382"/>
      <c r="DQ403" s="382"/>
      <c r="DR403" s="382"/>
    </row>
    <row r="404" spans="1:122" s="409" customFormat="1" ht="14.25" customHeight="1" x14ac:dyDescent="0.2">
      <c r="A404" s="206"/>
      <c r="C404" s="1631" t="str">
        <f t="shared" si="272"/>
        <v>Investitionsgut 3</v>
      </c>
      <c r="D404" s="1632"/>
      <c r="E404" s="1361"/>
      <c r="F404" s="1317"/>
      <c r="G404" s="1372" t="str">
        <f t="shared" si="273"/>
        <v/>
      </c>
      <c r="H404" s="1372" t="str">
        <f t="shared" si="274"/>
        <v/>
      </c>
      <c r="I404" s="1372" t="str">
        <f t="shared" si="275"/>
        <v/>
      </c>
      <c r="J404" s="1373">
        <f t="shared" si="277"/>
        <v>0</v>
      </c>
      <c r="K404" s="1373">
        <f t="shared" si="277"/>
        <v>0</v>
      </c>
      <c r="L404" s="1373" t="str">
        <f t="shared" si="277"/>
        <v/>
      </c>
      <c r="M404" s="1373" t="str">
        <f t="shared" si="277"/>
        <v/>
      </c>
      <c r="N404" s="1373" t="str">
        <f t="shared" si="277"/>
        <v/>
      </c>
      <c r="O404" s="567">
        <f t="shared" si="278"/>
        <v>-1</v>
      </c>
      <c r="P404" s="423"/>
      <c r="Q404" s="423"/>
      <c r="R404" s="419"/>
      <c r="S404" s="563"/>
      <c r="T404" s="564"/>
      <c r="U404" s="565"/>
      <c r="V404" s="562"/>
      <c r="W404" s="477"/>
      <c r="X404" s="473"/>
      <c r="Y404" s="473"/>
      <c r="Z404" s="473"/>
      <c r="AA404" s="473"/>
      <c r="AB404" s="473"/>
      <c r="AC404" s="473"/>
      <c r="AD404" s="206"/>
      <c r="AE404" s="206"/>
      <c r="AF404" s="206"/>
      <c r="AG404" s="206"/>
      <c r="AH404" s="206"/>
      <c r="AI404" s="206"/>
      <c r="AJ404" s="206"/>
      <c r="AK404" s="206"/>
      <c r="AL404" s="206"/>
      <c r="AM404" s="206"/>
      <c r="AN404" s="206"/>
      <c r="CU404" s="382"/>
      <c r="CV404" s="568" t="str">
        <f t="shared" si="276"/>
        <v>Investitionsgut 3</v>
      </c>
      <c r="CW404" s="568"/>
      <c r="DH404" s="382"/>
      <c r="DI404" s="382"/>
      <c r="DJ404" s="382"/>
      <c r="DK404" s="382"/>
      <c r="DL404" s="382"/>
      <c r="DM404" s="382"/>
      <c r="DN404" s="382"/>
      <c r="DO404" s="382"/>
      <c r="DP404" s="382"/>
      <c r="DQ404" s="382"/>
      <c r="DR404" s="382"/>
    </row>
    <row r="405" spans="1:122" s="409" customFormat="1" ht="14.25" customHeight="1" x14ac:dyDescent="0.2">
      <c r="A405" s="206"/>
      <c r="C405" s="1631" t="str">
        <f t="shared" si="272"/>
        <v>Investitionsgut 4</v>
      </c>
      <c r="D405" s="1632"/>
      <c r="E405" s="1361"/>
      <c r="F405" s="1317"/>
      <c r="G405" s="1372" t="str">
        <f t="shared" si="273"/>
        <v/>
      </c>
      <c r="H405" s="1372" t="str">
        <f t="shared" si="274"/>
        <v/>
      </c>
      <c r="I405" s="1372" t="str">
        <f t="shared" si="275"/>
        <v/>
      </c>
      <c r="J405" s="1373">
        <f t="shared" si="277"/>
        <v>0</v>
      </c>
      <c r="K405" s="1373">
        <f t="shared" si="277"/>
        <v>0</v>
      </c>
      <c r="L405" s="1373" t="str">
        <f t="shared" si="277"/>
        <v/>
      </c>
      <c r="M405" s="1373" t="str">
        <f t="shared" si="277"/>
        <v/>
      </c>
      <c r="N405" s="1373" t="str">
        <f t="shared" si="277"/>
        <v/>
      </c>
      <c r="O405" s="567">
        <f t="shared" si="278"/>
        <v>-1</v>
      </c>
      <c r="P405" s="423"/>
      <c r="Q405" s="423"/>
      <c r="R405" s="419"/>
      <c r="S405" s="563"/>
      <c r="T405" s="564"/>
      <c r="U405" s="565"/>
      <c r="V405" s="562"/>
      <c r="W405" s="477"/>
      <c r="X405" s="473"/>
      <c r="Y405" s="473"/>
      <c r="Z405" s="473"/>
      <c r="AA405" s="473"/>
      <c r="AB405" s="473"/>
      <c r="AC405" s="473"/>
      <c r="AD405" s="206"/>
      <c r="AE405" s="206"/>
      <c r="AF405" s="206"/>
      <c r="AG405" s="206"/>
      <c r="AH405" s="206"/>
      <c r="AI405" s="206"/>
      <c r="AJ405" s="206"/>
      <c r="AK405" s="206"/>
      <c r="AL405" s="206"/>
      <c r="AM405" s="206"/>
      <c r="AN405" s="206"/>
      <c r="CU405" s="382"/>
      <c r="CV405" s="568" t="str">
        <f t="shared" si="276"/>
        <v>Investitionsgut 4</v>
      </c>
      <c r="CW405" s="568"/>
      <c r="DH405" s="382"/>
      <c r="DI405" s="382"/>
      <c r="DJ405" s="382"/>
      <c r="DK405" s="382"/>
      <c r="DL405" s="382"/>
      <c r="DM405" s="382"/>
      <c r="DN405" s="382"/>
      <c r="DO405" s="382"/>
      <c r="DP405" s="382"/>
      <c r="DQ405" s="382"/>
      <c r="DR405" s="382"/>
    </row>
    <row r="406" spans="1:122" s="409" customFormat="1" ht="14.25" customHeight="1" x14ac:dyDescent="0.2">
      <c r="A406" s="206"/>
      <c r="C406" s="1631" t="str">
        <f t="shared" si="272"/>
        <v>Investitionsgut 5</v>
      </c>
      <c r="D406" s="1632"/>
      <c r="E406" s="1361"/>
      <c r="F406" s="1317"/>
      <c r="G406" s="1372" t="str">
        <f t="shared" si="273"/>
        <v/>
      </c>
      <c r="H406" s="1372" t="str">
        <f t="shared" si="274"/>
        <v/>
      </c>
      <c r="I406" s="1372" t="str">
        <f t="shared" si="275"/>
        <v/>
      </c>
      <c r="J406" s="1373">
        <f t="shared" si="277"/>
        <v>0</v>
      </c>
      <c r="K406" s="1373">
        <f t="shared" si="277"/>
        <v>0</v>
      </c>
      <c r="L406" s="1373" t="str">
        <f t="shared" si="277"/>
        <v/>
      </c>
      <c r="M406" s="1373" t="str">
        <f t="shared" si="277"/>
        <v/>
      </c>
      <c r="N406" s="1373" t="str">
        <f t="shared" si="277"/>
        <v/>
      </c>
      <c r="O406" s="567">
        <f t="shared" si="278"/>
        <v>-1</v>
      </c>
      <c r="P406" s="423"/>
      <c r="Q406" s="423"/>
      <c r="R406" s="419"/>
      <c r="S406" s="563"/>
      <c r="T406" s="564"/>
      <c r="U406" s="565"/>
      <c r="V406" s="562"/>
      <c r="W406" s="477"/>
      <c r="X406" s="473"/>
      <c r="Y406" s="473"/>
      <c r="Z406" s="473"/>
      <c r="AA406" s="473"/>
      <c r="AB406" s="473"/>
      <c r="AC406" s="473"/>
      <c r="AD406" s="206"/>
      <c r="AE406" s="206"/>
      <c r="AF406" s="206"/>
      <c r="AG406" s="206"/>
      <c r="AH406" s="206"/>
      <c r="AI406" s="206"/>
      <c r="AJ406" s="206"/>
      <c r="AK406" s="206"/>
      <c r="AL406" s="206"/>
      <c r="AM406" s="206"/>
      <c r="AN406" s="206"/>
      <c r="CU406" s="382"/>
      <c r="CV406" s="568" t="str">
        <f t="shared" si="276"/>
        <v>Investitionsgut 5</v>
      </c>
      <c r="CW406" s="568"/>
      <c r="DH406" s="382"/>
      <c r="DI406" s="382"/>
      <c r="DJ406" s="382"/>
      <c r="DK406" s="382"/>
      <c r="DL406" s="382"/>
      <c r="DM406" s="382"/>
      <c r="DN406" s="382"/>
      <c r="DO406" s="382"/>
      <c r="DP406" s="382"/>
      <c r="DQ406" s="382"/>
      <c r="DR406" s="382"/>
    </row>
    <row r="407" spans="1:122" s="409" customFormat="1" ht="14.25" customHeight="1" x14ac:dyDescent="0.2">
      <c r="A407" s="206"/>
      <c r="C407" s="1631" t="str">
        <f t="shared" si="272"/>
        <v>Investitionsgut 6</v>
      </c>
      <c r="D407" s="1632"/>
      <c r="E407" s="1361"/>
      <c r="F407" s="1317"/>
      <c r="G407" s="1372" t="str">
        <f t="shared" si="273"/>
        <v/>
      </c>
      <c r="H407" s="1372" t="str">
        <f t="shared" si="274"/>
        <v/>
      </c>
      <c r="I407" s="1372" t="str">
        <f t="shared" si="275"/>
        <v/>
      </c>
      <c r="J407" s="1373">
        <f t="shared" si="277"/>
        <v>0</v>
      </c>
      <c r="K407" s="1373">
        <f t="shared" si="277"/>
        <v>0</v>
      </c>
      <c r="L407" s="1373" t="str">
        <f t="shared" si="277"/>
        <v/>
      </c>
      <c r="M407" s="1373" t="str">
        <f t="shared" si="277"/>
        <v/>
      </c>
      <c r="N407" s="1373" t="str">
        <f t="shared" si="277"/>
        <v/>
      </c>
      <c r="O407" s="567">
        <f t="shared" si="278"/>
        <v>-1</v>
      </c>
      <c r="P407" s="423"/>
      <c r="Q407" s="423"/>
      <c r="R407" s="419"/>
      <c r="S407" s="563"/>
      <c r="T407" s="564"/>
      <c r="U407" s="565"/>
      <c r="V407" s="562"/>
      <c r="W407" s="206"/>
      <c r="X407" s="473"/>
      <c r="Y407" s="473"/>
      <c r="Z407" s="473"/>
      <c r="AA407" s="473"/>
      <c r="AB407" s="473"/>
      <c r="AC407" s="473"/>
      <c r="AD407" s="206"/>
      <c r="AE407" s="206"/>
      <c r="AF407" s="206"/>
      <c r="AG407" s="206"/>
      <c r="AH407" s="206"/>
      <c r="AI407" s="206"/>
      <c r="AJ407" s="206"/>
      <c r="AK407" s="206"/>
      <c r="AL407" s="206"/>
      <c r="AM407" s="206"/>
      <c r="AN407" s="206"/>
      <c r="CU407" s="382"/>
      <c r="CV407" s="568" t="str">
        <f t="shared" si="276"/>
        <v>Investitionsgut 6</v>
      </c>
      <c r="CW407" s="568"/>
      <c r="DH407" s="382"/>
      <c r="DI407" s="382"/>
      <c r="DJ407" s="382"/>
      <c r="DK407" s="382"/>
      <c r="DL407" s="382"/>
      <c r="DM407" s="382"/>
      <c r="DN407" s="382"/>
      <c r="DO407" s="382"/>
      <c r="DP407" s="382"/>
      <c r="DQ407" s="382"/>
      <c r="DR407" s="382"/>
    </row>
    <row r="408" spans="1:122" s="409" customFormat="1" ht="14.25" customHeight="1" x14ac:dyDescent="0.2">
      <c r="A408" s="206"/>
      <c r="C408" s="1631" t="str">
        <f t="shared" si="272"/>
        <v>Investitionsgut 7</v>
      </c>
      <c r="D408" s="1632"/>
      <c r="E408" s="1372"/>
      <c r="F408" s="1372"/>
      <c r="G408" s="1372" t="str">
        <f t="shared" si="273"/>
        <v/>
      </c>
      <c r="H408" s="1372" t="str">
        <f t="shared" si="274"/>
        <v/>
      </c>
      <c r="I408" s="1372" t="str">
        <f t="shared" si="275"/>
        <v/>
      </c>
      <c r="J408" s="1373">
        <f t="shared" si="277"/>
        <v>0</v>
      </c>
      <c r="K408" s="1373">
        <f t="shared" si="277"/>
        <v>0</v>
      </c>
      <c r="L408" s="1373" t="str">
        <f t="shared" si="277"/>
        <v/>
      </c>
      <c r="M408" s="1373" t="str">
        <f t="shared" si="277"/>
        <v/>
      </c>
      <c r="N408" s="1373" t="str">
        <f t="shared" si="277"/>
        <v/>
      </c>
      <c r="O408" s="567">
        <f t="shared" si="278"/>
        <v>-1</v>
      </c>
      <c r="P408" s="423"/>
      <c r="Q408" s="423"/>
      <c r="R408" s="419"/>
      <c r="S408" s="563"/>
      <c r="T408" s="564"/>
      <c r="U408" s="565"/>
      <c r="V408" s="562"/>
      <c r="W408" s="477"/>
      <c r="X408" s="473"/>
      <c r="Y408" s="473"/>
      <c r="Z408" s="473"/>
      <c r="AA408" s="473"/>
      <c r="AB408" s="473"/>
      <c r="AC408" s="473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CU408" s="382"/>
      <c r="CV408" s="568" t="str">
        <f t="shared" si="276"/>
        <v>Investitionsgut 7</v>
      </c>
      <c r="CW408" s="568"/>
      <c r="DH408" s="382"/>
      <c r="DI408" s="382"/>
      <c r="DJ408" s="382"/>
      <c r="DK408" s="382"/>
      <c r="DL408" s="382"/>
      <c r="DM408" s="382"/>
      <c r="DN408" s="382"/>
      <c r="DO408" s="382"/>
      <c r="DP408" s="382"/>
      <c r="DQ408" s="382"/>
      <c r="DR408" s="382"/>
    </row>
    <row r="409" spans="1:122" s="409" customFormat="1" ht="14.25" customHeight="1" x14ac:dyDescent="0.2">
      <c r="A409" s="206"/>
      <c r="C409" s="1656" t="s">
        <v>152</v>
      </c>
      <c r="D409" s="1659"/>
      <c r="E409" s="1361"/>
      <c r="F409" s="1317"/>
      <c r="G409" s="1372">
        <f t="shared" si="273"/>
        <v>0</v>
      </c>
      <c r="H409" s="1372">
        <f t="shared" si="274"/>
        <v>0</v>
      </c>
      <c r="I409" s="1372">
        <f>R358</f>
        <v>0</v>
      </c>
      <c r="J409" s="1373">
        <f t="shared" si="277"/>
        <v>0</v>
      </c>
      <c r="K409" s="1373">
        <f t="shared" si="277"/>
        <v>0</v>
      </c>
      <c r="L409" s="1373">
        <f>IF(G409&gt;0,G409,IF(G409=0,0,""))</f>
        <v>0</v>
      </c>
      <c r="M409" s="1373">
        <f>IF(H409&gt;0,H409,IF(H409=0,0,""))</f>
        <v>0</v>
      </c>
      <c r="N409" s="1373">
        <f>IF(I409&gt;0,I409,IF(I409=0,0,""))</f>
        <v>0</v>
      </c>
      <c r="O409" s="567">
        <f>IF(L409="",-1,IF(L409=0,0,1))</f>
        <v>0</v>
      </c>
      <c r="P409" s="423"/>
      <c r="Q409" s="423"/>
      <c r="R409" s="419"/>
      <c r="S409" s="563"/>
      <c r="T409" s="564"/>
      <c r="U409" s="565"/>
      <c r="V409" s="562"/>
      <c r="W409" s="477"/>
      <c r="X409" s="473"/>
      <c r="Y409" s="473"/>
      <c r="Z409" s="473"/>
      <c r="AA409" s="473"/>
      <c r="AB409" s="473"/>
      <c r="AC409" s="473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CU409" s="382"/>
      <c r="CV409" s="568" t="s">
        <v>152</v>
      </c>
      <c r="CW409" s="568"/>
      <c r="DH409" s="382"/>
      <c r="DI409" s="382"/>
      <c r="DJ409" s="382"/>
      <c r="DK409" s="382"/>
      <c r="DL409" s="382"/>
      <c r="DM409" s="382"/>
      <c r="DN409" s="382"/>
      <c r="DO409" s="382"/>
      <c r="DP409" s="382"/>
      <c r="DQ409" s="382"/>
      <c r="DR409" s="382"/>
    </row>
    <row r="410" spans="1:122" s="409" customFormat="1" ht="14.25" customHeight="1" thickBot="1" x14ac:dyDescent="0.25">
      <c r="A410" s="206"/>
      <c r="C410" s="1317"/>
      <c r="D410" s="1317"/>
      <c r="E410" s="1374">
        <f>SUM(E402:E409)</f>
        <v>0</v>
      </c>
      <c r="F410" s="1373">
        <f>SUM(F402:F409)</f>
        <v>0</v>
      </c>
      <c r="G410" s="1373">
        <f>SUM(G402:G409)</f>
        <v>0</v>
      </c>
      <c r="H410" s="1373">
        <f>SUM(H402:H409)</f>
        <v>0</v>
      </c>
      <c r="I410" s="1373">
        <f>SUM(I402:I409)</f>
        <v>0</v>
      </c>
      <c r="J410" s="1317"/>
      <c r="K410" s="1361"/>
      <c r="L410" s="1317"/>
      <c r="M410" s="1361"/>
      <c r="N410" s="1317"/>
      <c r="P410" s="423"/>
      <c r="Q410" s="423"/>
      <c r="R410" s="419"/>
      <c r="S410" s="563"/>
      <c r="T410" s="564"/>
      <c r="U410" s="565"/>
      <c r="V410" s="562"/>
      <c r="W410" s="477"/>
      <c r="X410" s="473"/>
      <c r="Y410" s="473"/>
      <c r="Z410" s="473"/>
      <c r="AA410" s="473"/>
      <c r="AB410" s="473"/>
      <c r="AC410" s="473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CU410" s="382"/>
      <c r="CV410" s="382"/>
      <c r="CW410" s="382"/>
      <c r="DH410" s="382"/>
      <c r="DI410" s="382"/>
      <c r="DJ410" s="382"/>
      <c r="DK410" s="382"/>
      <c r="DL410" s="382"/>
      <c r="DM410" s="382"/>
      <c r="DN410" s="382"/>
      <c r="DO410" s="382"/>
      <c r="DP410" s="382"/>
      <c r="DQ410" s="382"/>
      <c r="DR410" s="382"/>
    </row>
    <row r="411" spans="1:122" s="409" customFormat="1" ht="15" customHeight="1" thickBot="1" x14ac:dyDescent="0.25">
      <c r="A411" s="206"/>
      <c r="C411" s="1370">
        <f ca="1">C400+1</f>
        <v>2022</v>
      </c>
      <c r="D411" s="1317" t="s">
        <v>153</v>
      </c>
      <c r="E411" s="1317"/>
      <c r="F411" s="1317"/>
      <c r="G411" s="1361"/>
      <c r="H411" s="1317"/>
      <c r="I411" s="1361"/>
      <c r="J411" s="1317"/>
      <c r="K411" s="1361"/>
      <c r="L411" s="1317"/>
      <c r="M411" s="1361"/>
      <c r="N411" s="1317"/>
      <c r="P411" s="423"/>
      <c r="Q411" s="423"/>
      <c r="R411" s="419"/>
      <c r="S411" s="563"/>
      <c r="T411" s="564"/>
      <c r="U411" s="565"/>
      <c r="V411" s="562"/>
      <c r="W411" s="473"/>
      <c r="X411" s="473"/>
      <c r="Y411" s="473"/>
      <c r="Z411" s="473"/>
      <c r="AA411" s="473"/>
      <c r="AB411" s="473"/>
      <c r="AC411" s="473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CU411" s="382"/>
      <c r="CV411" s="382">
        <f>CV400+1</f>
        <v>3</v>
      </c>
      <c r="CW411" s="382" t="s">
        <v>153</v>
      </c>
      <c r="DH411" s="382"/>
      <c r="DI411" s="382"/>
      <c r="DJ411" s="382"/>
      <c r="DK411" s="382"/>
      <c r="DL411" s="382"/>
      <c r="DM411" s="382"/>
      <c r="DN411" s="382"/>
      <c r="DO411" s="382"/>
      <c r="DP411" s="382"/>
      <c r="DQ411" s="382"/>
      <c r="DR411" s="382"/>
    </row>
    <row r="412" spans="1:122" s="409" customFormat="1" ht="14.25" customHeight="1" x14ac:dyDescent="0.2">
      <c r="A412" s="206"/>
      <c r="C412" s="1317"/>
      <c r="D412" s="1317"/>
      <c r="E412" s="1371">
        <f ca="1">E379</f>
        <v>2019</v>
      </c>
      <c r="F412" s="1371">
        <f ca="1">E412+1</f>
        <v>2020</v>
      </c>
      <c r="G412" s="1371">
        <f ca="1">F412+1</f>
        <v>2021</v>
      </c>
      <c r="H412" s="1371">
        <f ca="1">G412+1</f>
        <v>2022</v>
      </c>
      <c r="I412" s="1371">
        <f ca="1">H412+1</f>
        <v>2023</v>
      </c>
      <c r="J412" s="1317"/>
      <c r="K412" s="1361"/>
      <c r="L412" s="1317"/>
      <c r="M412" s="1361"/>
      <c r="N412" s="1317"/>
      <c r="P412" s="423"/>
      <c r="Q412" s="423"/>
      <c r="R412" s="419"/>
      <c r="S412" s="563"/>
      <c r="T412" s="564"/>
      <c r="U412" s="565"/>
      <c r="V412" s="562"/>
      <c r="W412" s="473"/>
      <c r="X412" s="473"/>
      <c r="Y412" s="473"/>
      <c r="Z412" s="473"/>
      <c r="AA412" s="473"/>
      <c r="AB412" s="473"/>
      <c r="AC412" s="473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CU412" s="382"/>
      <c r="CV412" s="382"/>
      <c r="CW412" s="382"/>
      <c r="DH412" s="382"/>
      <c r="DI412" s="382"/>
      <c r="DJ412" s="382"/>
      <c r="DK412" s="382"/>
      <c r="DL412" s="382"/>
      <c r="DM412" s="382"/>
      <c r="DN412" s="382"/>
      <c r="DO412" s="382"/>
      <c r="DP412" s="382"/>
      <c r="DQ412" s="382"/>
      <c r="DR412" s="382"/>
    </row>
    <row r="413" spans="1:122" s="409" customFormat="1" ht="14.25" customHeight="1" x14ac:dyDescent="0.2">
      <c r="A413" s="206"/>
      <c r="C413" s="1631" t="str">
        <f t="shared" ref="C413:C420" si="279">C6</f>
        <v>Investitionsgut 1</v>
      </c>
      <c r="D413" s="1658"/>
      <c r="E413" s="1361"/>
      <c r="F413" s="1317"/>
      <c r="G413" s="1361"/>
      <c r="H413" s="1372" t="str">
        <f t="shared" ref="H413:H419" si="280">N351</f>
        <v/>
      </c>
      <c r="I413" s="1372" t="str">
        <f t="shared" ref="I413:I419" si="281">S351</f>
        <v/>
      </c>
      <c r="J413" s="1373">
        <f>IF(E413&gt;0,E413,IF(E413=0,0,""))</f>
        <v>0</v>
      </c>
      <c r="K413" s="1373">
        <f t="shared" ref="K413:N419" si="282">IF(F413&gt;0,F413,IF(F413=0,0,""))</f>
        <v>0</v>
      </c>
      <c r="L413" s="1373">
        <f t="shared" si="282"/>
        <v>0</v>
      </c>
      <c r="M413" s="1373" t="str">
        <f t="shared" si="282"/>
        <v/>
      </c>
      <c r="N413" s="1373" t="str">
        <f t="shared" si="282"/>
        <v/>
      </c>
      <c r="O413" s="567">
        <f>IF(M413="",-1,IF(M413=0,0,1))</f>
        <v>-1</v>
      </c>
      <c r="P413" s="423"/>
      <c r="Q413" s="423"/>
      <c r="R413" s="419"/>
      <c r="S413" s="563"/>
      <c r="T413" s="564"/>
      <c r="U413" s="565"/>
      <c r="V413" s="562"/>
      <c r="W413" s="477"/>
      <c r="X413" s="477"/>
      <c r="Y413" s="477"/>
      <c r="Z413" s="477"/>
      <c r="AA413" s="477"/>
      <c r="AB413" s="477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CU413" s="382"/>
      <c r="CV413" s="568" t="str">
        <f t="shared" ref="CV413:CV420" si="283">CV6</f>
        <v>Investitionsgut 1</v>
      </c>
      <c r="CW413" s="568"/>
      <c r="DH413" s="382"/>
      <c r="DI413" s="382"/>
      <c r="DJ413" s="382"/>
      <c r="DK413" s="382"/>
      <c r="DL413" s="382"/>
      <c r="DM413" s="382"/>
      <c r="DN413" s="382"/>
      <c r="DO413" s="382"/>
      <c r="DP413" s="382"/>
      <c r="DQ413" s="382"/>
      <c r="DR413" s="382"/>
    </row>
    <row r="414" spans="1:122" s="409" customFormat="1" ht="14.25" customHeight="1" x14ac:dyDescent="0.2">
      <c r="A414" s="206"/>
      <c r="C414" s="1631" t="str">
        <f t="shared" si="279"/>
        <v>Investitionsgut 2</v>
      </c>
      <c r="D414" s="1658"/>
      <c r="E414" s="1361"/>
      <c r="F414" s="1317"/>
      <c r="G414" s="1361"/>
      <c r="H414" s="1372" t="str">
        <f t="shared" si="280"/>
        <v/>
      </c>
      <c r="I414" s="1372" t="str">
        <f t="shared" si="281"/>
        <v/>
      </c>
      <c r="J414" s="1373">
        <f t="shared" ref="J414:J419" si="284">IF(E414&gt;0,E414,IF(E414=0,0,""))</f>
        <v>0</v>
      </c>
      <c r="K414" s="1373">
        <f t="shared" si="282"/>
        <v>0</v>
      </c>
      <c r="L414" s="1373">
        <f t="shared" si="282"/>
        <v>0</v>
      </c>
      <c r="M414" s="1373" t="str">
        <f t="shared" si="282"/>
        <v/>
      </c>
      <c r="N414" s="1373" t="str">
        <f t="shared" si="282"/>
        <v/>
      </c>
      <c r="O414" s="567">
        <f t="shared" ref="O414:O419" si="285">IF(M414="",-1,IF(M414=0,0,1))</f>
        <v>-1</v>
      </c>
      <c r="P414" s="423"/>
      <c r="Q414" s="423"/>
      <c r="R414" s="419"/>
      <c r="S414" s="563"/>
      <c r="T414" s="564"/>
      <c r="U414" s="565"/>
      <c r="V414" s="562"/>
      <c r="W414" s="477"/>
      <c r="X414" s="477"/>
      <c r="Y414" s="477"/>
      <c r="Z414" s="477"/>
      <c r="AA414" s="477"/>
      <c r="AB414" s="477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CU414" s="382"/>
      <c r="CV414" s="568" t="str">
        <f t="shared" si="283"/>
        <v>Investitionsgut 2</v>
      </c>
      <c r="CW414" s="568"/>
      <c r="DH414" s="382"/>
      <c r="DI414" s="382"/>
      <c r="DJ414" s="382"/>
      <c r="DK414" s="382"/>
      <c r="DL414" s="382"/>
      <c r="DM414" s="382"/>
      <c r="DN414" s="382"/>
      <c r="DO414" s="382"/>
      <c r="DP414" s="382"/>
      <c r="DQ414" s="382"/>
      <c r="DR414" s="382"/>
    </row>
    <row r="415" spans="1:122" s="409" customFormat="1" ht="14.25" customHeight="1" x14ac:dyDescent="0.2">
      <c r="A415" s="206"/>
      <c r="C415" s="1631" t="str">
        <f t="shared" si="279"/>
        <v>Investitionsgut 3</v>
      </c>
      <c r="D415" s="1658"/>
      <c r="E415" s="1361"/>
      <c r="F415" s="1317"/>
      <c r="G415" s="1361"/>
      <c r="H415" s="1372" t="str">
        <f t="shared" si="280"/>
        <v/>
      </c>
      <c r="I415" s="1372" t="str">
        <f t="shared" si="281"/>
        <v/>
      </c>
      <c r="J415" s="1373">
        <f t="shared" si="284"/>
        <v>0</v>
      </c>
      <c r="K415" s="1373">
        <f t="shared" si="282"/>
        <v>0</v>
      </c>
      <c r="L415" s="1373">
        <f t="shared" si="282"/>
        <v>0</v>
      </c>
      <c r="M415" s="1373" t="str">
        <f t="shared" si="282"/>
        <v/>
      </c>
      <c r="N415" s="1373" t="str">
        <f t="shared" si="282"/>
        <v/>
      </c>
      <c r="O415" s="567">
        <f t="shared" si="285"/>
        <v>-1</v>
      </c>
      <c r="P415" s="423"/>
      <c r="Q415" s="423"/>
      <c r="R415" s="419"/>
      <c r="S415" s="563"/>
      <c r="T415" s="564"/>
      <c r="U415" s="565"/>
      <c r="V415" s="562"/>
      <c r="W415" s="477"/>
      <c r="X415" s="477"/>
      <c r="Y415" s="477"/>
      <c r="Z415" s="477"/>
      <c r="AA415" s="477"/>
      <c r="AB415" s="477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CU415" s="382"/>
      <c r="CV415" s="568" t="str">
        <f t="shared" si="283"/>
        <v>Investitionsgut 3</v>
      </c>
      <c r="CW415" s="568"/>
      <c r="DH415" s="382"/>
      <c r="DI415" s="382"/>
      <c r="DJ415" s="382"/>
      <c r="DK415" s="382"/>
      <c r="DL415" s="382"/>
      <c r="DM415" s="382"/>
      <c r="DN415" s="382"/>
      <c r="DO415" s="382"/>
      <c r="DP415" s="382"/>
      <c r="DQ415" s="382"/>
      <c r="DR415" s="382"/>
    </row>
    <row r="416" spans="1:122" s="409" customFormat="1" ht="14.25" customHeight="1" x14ac:dyDescent="0.2">
      <c r="A416" s="206"/>
      <c r="C416" s="1631" t="str">
        <f t="shared" si="279"/>
        <v>Investitionsgut 4</v>
      </c>
      <c r="D416" s="1658"/>
      <c r="E416" s="1361"/>
      <c r="F416" s="1317"/>
      <c r="G416" s="1361"/>
      <c r="H416" s="1372" t="str">
        <f t="shared" si="280"/>
        <v/>
      </c>
      <c r="I416" s="1372" t="str">
        <f t="shared" si="281"/>
        <v/>
      </c>
      <c r="J416" s="1373">
        <f t="shared" si="284"/>
        <v>0</v>
      </c>
      <c r="K416" s="1373">
        <f t="shared" si="282"/>
        <v>0</v>
      </c>
      <c r="L416" s="1373">
        <f t="shared" si="282"/>
        <v>0</v>
      </c>
      <c r="M416" s="1373" t="str">
        <f t="shared" si="282"/>
        <v/>
      </c>
      <c r="N416" s="1373" t="str">
        <f t="shared" si="282"/>
        <v/>
      </c>
      <c r="O416" s="567">
        <f t="shared" si="285"/>
        <v>-1</v>
      </c>
      <c r="P416" s="423"/>
      <c r="Q416" s="423"/>
      <c r="R416" s="419"/>
      <c r="S416" s="563"/>
      <c r="T416" s="564"/>
      <c r="U416" s="565"/>
      <c r="V416" s="562"/>
      <c r="W416" s="477"/>
      <c r="X416" s="477"/>
      <c r="Y416" s="477"/>
      <c r="Z416" s="477"/>
      <c r="AA416" s="477"/>
      <c r="AB416" s="477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CU416" s="382"/>
      <c r="CV416" s="568" t="str">
        <f t="shared" si="283"/>
        <v>Investitionsgut 4</v>
      </c>
      <c r="CW416" s="568"/>
      <c r="DH416" s="382"/>
      <c r="DI416" s="382"/>
      <c r="DJ416" s="382"/>
      <c r="DK416" s="382"/>
      <c r="DL416" s="382"/>
      <c r="DM416" s="382"/>
      <c r="DN416" s="382"/>
      <c r="DO416" s="382"/>
      <c r="DP416" s="382"/>
      <c r="DQ416" s="382"/>
      <c r="DR416" s="382"/>
    </row>
    <row r="417" spans="1:122" s="409" customFormat="1" ht="14.25" customHeight="1" x14ac:dyDescent="0.2">
      <c r="A417" s="206"/>
      <c r="C417" s="1631" t="str">
        <f t="shared" si="279"/>
        <v>Investitionsgut 5</v>
      </c>
      <c r="D417" s="1658"/>
      <c r="E417" s="1361"/>
      <c r="F417" s="1317"/>
      <c r="G417" s="1361"/>
      <c r="H417" s="1372" t="str">
        <f t="shared" si="280"/>
        <v/>
      </c>
      <c r="I417" s="1372" t="str">
        <f t="shared" si="281"/>
        <v/>
      </c>
      <c r="J417" s="1373">
        <f t="shared" si="284"/>
        <v>0</v>
      </c>
      <c r="K417" s="1373">
        <f t="shared" si="282"/>
        <v>0</v>
      </c>
      <c r="L417" s="1373">
        <f t="shared" si="282"/>
        <v>0</v>
      </c>
      <c r="M417" s="1373" t="str">
        <f t="shared" si="282"/>
        <v/>
      </c>
      <c r="N417" s="1373" t="str">
        <f t="shared" si="282"/>
        <v/>
      </c>
      <c r="O417" s="567">
        <f t="shared" si="285"/>
        <v>-1</v>
      </c>
      <c r="P417" s="423"/>
      <c r="Q417" s="423"/>
      <c r="R417" s="419"/>
      <c r="S417" s="563"/>
      <c r="T417" s="564"/>
      <c r="U417" s="565"/>
      <c r="V417" s="562"/>
      <c r="W417" s="477"/>
      <c r="X417" s="477"/>
      <c r="Y417" s="477"/>
      <c r="Z417" s="477"/>
      <c r="AA417" s="477"/>
      <c r="AB417" s="477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CU417" s="382"/>
      <c r="CV417" s="568" t="str">
        <f t="shared" si="283"/>
        <v>Investitionsgut 5</v>
      </c>
      <c r="CW417" s="568"/>
      <c r="DH417" s="382"/>
      <c r="DI417" s="382"/>
      <c r="DJ417" s="382"/>
      <c r="DK417" s="382"/>
      <c r="DL417" s="382"/>
      <c r="DM417" s="382"/>
      <c r="DN417" s="382"/>
      <c r="DO417" s="382"/>
      <c r="DP417" s="382"/>
      <c r="DQ417" s="382"/>
      <c r="DR417" s="382"/>
    </row>
    <row r="418" spans="1:122" s="409" customFormat="1" ht="14.25" customHeight="1" x14ac:dyDescent="0.2">
      <c r="A418" s="206"/>
      <c r="C418" s="1631" t="str">
        <f t="shared" si="279"/>
        <v>Investitionsgut 6</v>
      </c>
      <c r="D418" s="1658"/>
      <c r="E418" s="1361"/>
      <c r="F418" s="1317"/>
      <c r="G418" s="1361"/>
      <c r="H418" s="1372" t="str">
        <f t="shared" si="280"/>
        <v/>
      </c>
      <c r="I418" s="1372" t="str">
        <f t="shared" si="281"/>
        <v/>
      </c>
      <c r="J418" s="1373">
        <f t="shared" si="284"/>
        <v>0</v>
      </c>
      <c r="K418" s="1373">
        <f t="shared" si="282"/>
        <v>0</v>
      </c>
      <c r="L418" s="1373">
        <f t="shared" si="282"/>
        <v>0</v>
      </c>
      <c r="M418" s="1373" t="str">
        <f t="shared" si="282"/>
        <v/>
      </c>
      <c r="N418" s="1373" t="str">
        <f t="shared" si="282"/>
        <v/>
      </c>
      <c r="O418" s="567">
        <f t="shared" si="285"/>
        <v>-1</v>
      </c>
      <c r="P418" s="423"/>
      <c r="Q418" s="423"/>
      <c r="R418" s="419"/>
      <c r="S418" s="563"/>
      <c r="T418" s="564"/>
      <c r="U418" s="565"/>
      <c r="V418" s="562"/>
      <c r="W418" s="477"/>
      <c r="X418" s="477"/>
      <c r="Y418" s="477"/>
      <c r="Z418" s="477"/>
      <c r="AA418" s="477"/>
      <c r="AB418" s="477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CU418" s="382"/>
      <c r="CV418" s="568" t="str">
        <f t="shared" si="283"/>
        <v>Investitionsgut 6</v>
      </c>
      <c r="CW418" s="568"/>
      <c r="DH418" s="382"/>
      <c r="DI418" s="382"/>
      <c r="DJ418" s="382"/>
      <c r="DK418" s="382"/>
      <c r="DL418" s="382"/>
      <c r="DM418" s="382"/>
      <c r="DN418" s="382"/>
      <c r="DO418" s="382"/>
      <c r="DP418" s="382"/>
      <c r="DQ418" s="382"/>
      <c r="DR418" s="382"/>
    </row>
    <row r="419" spans="1:122" s="409" customFormat="1" ht="14.25" customHeight="1" x14ac:dyDescent="0.2">
      <c r="A419" s="206"/>
      <c r="C419" s="1631" t="str">
        <f t="shared" si="279"/>
        <v>Investitionsgut 7</v>
      </c>
      <c r="D419" s="1658"/>
      <c r="E419" s="1361"/>
      <c r="F419" s="1317"/>
      <c r="G419" s="1361"/>
      <c r="H419" s="1372" t="str">
        <f t="shared" si="280"/>
        <v/>
      </c>
      <c r="I419" s="1372" t="str">
        <f t="shared" si="281"/>
        <v/>
      </c>
      <c r="J419" s="1373">
        <f t="shared" si="284"/>
        <v>0</v>
      </c>
      <c r="K419" s="1373">
        <f t="shared" si="282"/>
        <v>0</v>
      </c>
      <c r="L419" s="1373">
        <f t="shared" si="282"/>
        <v>0</v>
      </c>
      <c r="M419" s="1373" t="str">
        <f>IF(H419&gt;0,H419,IF(H419=0,0,""))</f>
        <v/>
      </c>
      <c r="N419" s="1373" t="str">
        <f t="shared" si="282"/>
        <v/>
      </c>
      <c r="O419" s="567">
        <f t="shared" si="285"/>
        <v>-1</v>
      </c>
      <c r="P419" s="423"/>
      <c r="Q419" s="423"/>
      <c r="R419" s="419"/>
      <c r="S419" s="563"/>
      <c r="T419" s="564"/>
      <c r="U419" s="565"/>
      <c r="V419" s="562"/>
      <c r="W419" s="477"/>
      <c r="X419" s="477"/>
      <c r="Y419" s="477"/>
      <c r="Z419" s="477"/>
      <c r="AA419" s="477"/>
      <c r="AB419" s="477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CU419" s="382"/>
      <c r="CV419" s="568" t="str">
        <f t="shared" si="283"/>
        <v>Investitionsgut 7</v>
      </c>
      <c r="CW419" s="568"/>
      <c r="DH419" s="382"/>
      <c r="DI419" s="382"/>
      <c r="DJ419" s="382"/>
      <c r="DK419" s="382"/>
      <c r="DL419" s="382"/>
      <c r="DM419" s="382"/>
      <c r="DN419" s="382"/>
      <c r="DO419" s="382"/>
      <c r="DP419" s="382"/>
      <c r="DQ419" s="382"/>
      <c r="DR419" s="382"/>
    </row>
    <row r="420" spans="1:122" s="409" customFormat="1" ht="14.25" customHeight="1" x14ac:dyDescent="0.2">
      <c r="A420" s="206"/>
      <c r="C420" s="1631" t="str">
        <f t="shared" si="279"/>
        <v>Summe Sammelposten</v>
      </c>
      <c r="D420" s="1658"/>
      <c r="E420" s="1361"/>
      <c r="F420" s="1317"/>
      <c r="G420" s="1361"/>
      <c r="H420" s="1372">
        <f>S358</f>
        <v>0</v>
      </c>
      <c r="I420" s="1372">
        <f>N358</f>
        <v>0</v>
      </c>
      <c r="J420" s="1373">
        <f>IF(E420&gt;0,E420,IF(E420=0,0,""))</f>
        <v>0</v>
      </c>
      <c r="K420" s="1373">
        <f>IF(F420&gt;0,F420,IF(F420=0,0,""))</f>
        <v>0</v>
      </c>
      <c r="L420" s="1373">
        <f>IF(G420&gt;0,G420,IF(G420=0,0,""))</f>
        <v>0</v>
      </c>
      <c r="M420" s="1373">
        <f>IF(H420&gt;0,H420,IF(H420=0,0,""))</f>
        <v>0</v>
      </c>
      <c r="N420" s="1373">
        <f>IF(I420&gt;0,I420,IF(I420=0,0,""))</f>
        <v>0</v>
      </c>
      <c r="O420" s="567">
        <f>IF(M420="",-1,IF(M420=0,0,1))</f>
        <v>0</v>
      </c>
      <c r="P420" s="423"/>
      <c r="Q420" s="423"/>
      <c r="R420" s="419"/>
      <c r="S420" s="563"/>
      <c r="T420" s="564"/>
      <c r="U420" s="565"/>
      <c r="V420" s="562"/>
      <c r="W420" s="477"/>
      <c r="X420" s="477"/>
      <c r="Y420" s="477"/>
      <c r="Z420" s="477"/>
      <c r="AA420" s="477"/>
      <c r="AB420" s="477"/>
      <c r="AC420" s="206"/>
      <c r="AD420" s="206"/>
      <c r="AE420" s="206"/>
      <c r="AF420" s="206"/>
      <c r="AG420" s="206"/>
      <c r="AH420" s="206"/>
      <c r="AI420" s="206"/>
      <c r="AJ420" s="206"/>
      <c r="AK420" s="206"/>
      <c r="AL420" s="206"/>
      <c r="AM420" s="206"/>
      <c r="AN420" s="206"/>
      <c r="CU420" s="382"/>
      <c r="CV420" s="568" t="str">
        <f t="shared" si="283"/>
        <v>Summe Sammelposten</v>
      </c>
      <c r="CW420" s="568"/>
      <c r="DH420" s="382"/>
      <c r="DI420" s="382"/>
      <c r="DJ420" s="382"/>
      <c r="DK420" s="382"/>
      <c r="DL420" s="382"/>
      <c r="DM420" s="382"/>
      <c r="DN420" s="382"/>
      <c r="DO420" s="382"/>
      <c r="DP420" s="382"/>
      <c r="DQ420" s="382"/>
      <c r="DR420" s="382"/>
    </row>
    <row r="421" spans="1:122" s="409" customFormat="1" ht="14.25" customHeight="1" thickBot="1" x14ac:dyDescent="0.25">
      <c r="A421" s="206"/>
      <c r="C421" s="1317"/>
      <c r="D421" s="1317"/>
      <c r="E421" s="1374">
        <f>SUM(E413:E420)</f>
        <v>0</v>
      </c>
      <c r="F421" s="1373">
        <f>SUM(F413:F420)</f>
        <v>0</v>
      </c>
      <c r="G421" s="1373">
        <f>SUM(G413:G420)</f>
        <v>0</v>
      </c>
      <c r="H421" s="1373">
        <f>SUM(H413:H420)</f>
        <v>0</v>
      </c>
      <c r="I421" s="1373">
        <f>SUM(I413:I420)</f>
        <v>0</v>
      </c>
      <c r="J421" s="1317"/>
      <c r="K421" s="1361"/>
      <c r="L421" s="1317"/>
      <c r="M421" s="1361"/>
      <c r="N421" s="1317"/>
      <c r="P421" s="423"/>
      <c r="Q421" s="423"/>
      <c r="R421" s="419"/>
      <c r="S421" s="563"/>
      <c r="T421" s="564"/>
      <c r="U421" s="565"/>
      <c r="V421" s="562"/>
      <c r="W421" s="473"/>
      <c r="X421" s="473"/>
      <c r="Y421" s="473"/>
      <c r="Z421" s="473"/>
      <c r="AA421" s="473"/>
      <c r="AB421" s="473"/>
      <c r="AC421" s="473"/>
      <c r="AD421" s="206"/>
      <c r="AE421" s="206"/>
      <c r="AF421" s="206"/>
      <c r="AG421" s="206"/>
      <c r="AH421" s="206"/>
      <c r="AI421" s="206"/>
      <c r="AJ421" s="206"/>
      <c r="AK421" s="206"/>
      <c r="AL421" s="206"/>
      <c r="AM421" s="206"/>
      <c r="AN421" s="206"/>
      <c r="CU421" s="382"/>
      <c r="CV421" s="382"/>
      <c r="CW421" s="382"/>
      <c r="DH421" s="382"/>
      <c r="DI421" s="382"/>
      <c r="DJ421" s="382"/>
      <c r="DK421" s="382"/>
      <c r="DL421" s="382"/>
      <c r="DM421" s="382"/>
      <c r="DN421" s="382"/>
      <c r="DO421" s="382"/>
      <c r="DP421" s="382"/>
      <c r="DQ421" s="382"/>
      <c r="DR421" s="382"/>
    </row>
    <row r="422" spans="1:122" s="409" customFormat="1" ht="15" customHeight="1" thickBot="1" x14ac:dyDescent="0.25">
      <c r="A422" s="206"/>
      <c r="C422" s="1370">
        <f ca="1">C411+1</f>
        <v>2023</v>
      </c>
      <c r="D422" s="1317" t="s">
        <v>153</v>
      </c>
      <c r="E422" s="1317"/>
      <c r="F422" s="1317"/>
      <c r="G422" s="1361"/>
      <c r="H422" s="1317"/>
      <c r="I422" s="1361"/>
      <c r="J422" s="1317"/>
      <c r="K422" s="1361"/>
      <c r="L422" s="1317"/>
      <c r="M422" s="1361"/>
      <c r="N422" s="1317"/>
      <c r="P422" s="423"/>
      <c r="Q422" s="423"/>
      <c r="R422" s="419"/>
      <c r="S422" s="563"/>
      <c r="T422" s="564"/>
      <c r="U422" s="565"/>
      <c r="V422" s="562"/>
      <c r="W422" s="473"/>
      <c r="X422" s="473"/>
      <c r="Y422" s="473"/>
      <c r="Z422" s="473"/>
      <c r="AA422" s="473"/>
      <c r="AB422" s="473"/>
      <c r="AC422" s="473"/>
      <c r="AD422" s="206"/>
      <c r="AE422" s="206"/>
      <c r="AF422" s="206"/>
      <c r="AG422" s="206"/>
      <c r="AH422" s="206"/>
      <c r="AI422" s="206"/>
      <c r="AJ422" s="206"/>
      <c r="AK422" s="206"/>
      <c r="AL422" s="206"/>
      <c r="AM422" s="206"/>
      <c r="AN422" s="206"/>
      <c r="CU422" s="382"/>
      <c r="CV422" s="382">
        <f>CV411+1</f>
        <v>4</v>
      </c>
      <c r="CW422" s="382" t="s">
        <v>153</v>
      </c>
      <c r="DH422" s="382"/>
      <c r="DI422" s="382"/>
      <c r="DJ422" s="382"/>
      <c r="DK422" s="382"/>
      <c r="DL422" s="382"/>
      <c r="DM422" s="382"/>
      <c r="DN422" s="382"/>
      <c r="DO422" s="382"/>
      <c r="DP422" s="382"/>
      <c r="DQ422" s="382"/>
      <c r="DR422" s="382"/>
    </row>
    <row r="423" spans="1:122" s="409" customFormat="1" ht="14.25" customHeight="1" x14ac:dyDescent="0.2">
      <c r="A423" s="206"/>
      <c r="C423" s="1317"/>
      <c r="D423" s="1317"/>
      <c r="E423" s="1371">
        <f ca="1">E379</f>
        <v>2019</v>
      </c>
      <c r="F423" s="1371">
        <f ca="1">E423+1</f>
        <v>2020</v>
      </c>
      <c r="G423" s="1371">
        <f ca="1">F423+1</f>
        <v>2021</v>
      </c>
      <c r="H423" s="1371">
        <f ca="1">G423+1</f>
        <v>2022</v>
      </c>
      <c r="I423" s="1371">
        <f ca="1">H423+1</f>
        <v>2023</v>
      </c>
      <c r="J423" s="1317"/>
      <c r="K423" s="1361"/>
      <c r="L423" s="1317"/>
      <c r="M423" s="1361"/>
      <c r="N423" s="1317"/>
      <c r="P423" s="423"/>
      <c r="Q423" s="423"/>
      <c r="R423" s="419"/>
      <c r="S423" s="563"/>
      <c r="T423" s="564"/>
      <c r="U423" s="565"/>
      <c r="V423" s="562"/>
      <c r="W423" s="473"/>
      <c r="X423" s="473"/>
      <c r="Y423" s="473"/>
      <c r="Z423" s="473"/>
      <c r="AA423" s="473"/>
      <c r="AB423" s="473"/>
      <c r="AC423" s="473"/>
      <c r="AD423" s="206"/>
      <c r="AE423" s="206"/>
      <c r="AF423" s="206"/>
      <c r="AG423" s="206"/>
      <c r="AH423" s="206"/>
      <c r="AI423" s="206"/>
      <c r="AJ423" s="206"/>
      <c r="AK423" s="206"/>
      <c r="AL423" s="206"/>
      <c r="AM423" s="206"/>
      <c r="AN423" s="206"/>
      <c r="CU423" s="382"/>
      <c r="CV423" s="382"/>
      <c r="CW423" s="382"/>
      <c r="DH423" s="382"/>
      <c r="DI423" s="382"/>
      <c r="DJ423" s="382"/>
      <c r="DK423" s="382"/>
      <c r="DL423" s="382"/>
      <c r="DM423" s="382"/>
      <c r="DN423" s="382"/>
      <c r="DO423" s="382"/>
      <c r="DP423" s="382"/>
      <c r="DQ423" s="382"/>
      <c r="DR423" s="382"/>
    </row>
    <row r="424" spans="1:122" s="409" customFormat="1" ht="14.25" customHeight="1" x14ac:dyDescent="0.2">
      <c r="A424" s="206"/>
      <c r="C424" s="1631" t="str">
        <f t="shared" ref="C424:C430" si="286">C6</f>
        <v>Investitionsgut 1</v>
      </c>
      <c r="D424" s="1632"/>
      <c r="E424" s="1361"/>
      <c r="F424" s="1317"/>
      <c r="G424" s="1361"/>
      <c r="H424" s="1317"/>
      <c r="I424" s="1372" t="str">
        <f t="shared" ref="I424:I430" si="287">T351</f>
        <v/>
      </c>
      <c r="J424" s="1373">
        <f>IF(E424&gt;0,E424,IF(E424=0,0,""))</f>
        <v>0</v>
      </c>
      <c r="K424" s="1373">
        <f t="shared" ref="K424:N430" si="288">IF(F424&gt;0,F424,IF(F424=0,0,""))</f>
        <v>0</v>
      </c>
      <c r="L424" s="1373">
        <f t="shared" si="288"/>
        <v>0</v>
      </c>
      <c r="M424" s="1373">
        <f t="shared" si="288"/>
        <v>0</v>
      </c>
      <c r="N424" s="1373" t="str">
        <f t="shared" si="288"/>
        <v/>
      </c>
      <c r="O424" s="567">
        <f t="shared" ref="O424:O430" si="289">IF(N424="",-1,IF(N424=0,0,1))</f>
        <v>-1</v>
      </c>
      <c r="P424" s="423"/>
      <c r="Q424" s="423"/>
      <c r="R424" s="419"/>
      <c r="S424" s="563"/>
      <c r="T424" s="564"/>
      <c r="U424" s="565"/>
      <c r="V424" s="562"/>
      <c r="W424" s="477"/>
      <c r="X424" s="473"/>
      <c r="Y424" s="473"/>
      <c r="Z424" s="473"/>
      <c r="AA424" s="473"/>
      <c r="AB424" s="473"/>
      <c r="AC424" s="473"/>
      <c r="AD424" s="206"/>
      <c r="AE424" s="206"/>
      <c r="AF424" s="206"/>
      <c r="AG424" s="206"/>
      <c r="AH424" s="206"/>
      <c r="AI424" s="206"/>
      <c r="AJ424" s="206"/>
      <c r="AK424" s="206"/>
      <c r="AL424" s="206"/>
      <c r="AM424" s="206"/>
      <c r="AN424" s="206"/>
      <c r="CU424" s="382"/>
      <c r="CV424" s="568" t="str">
        <f t="shared" ref="CV424:CV430" si="290">CV6</f>
        <v>Investitionsgut 1</v>
      </c>
      <c r="CW424" s="568"/>
      <c r="DH424" s="382"/>
      <c r="DI424" s="382"/>
      <c r="DJ424" s="382"/>
      <c r="DK424" s="382"/>
      <c r="DL424" s="382"/>
      <c r="DM424" s="382"/>
      <c r="DN424" s="382"/>
      <c r="DO424" s="382"/>
      <c r="DP424" s="382"/>
      <c r="DQ424" s="382"/>
      <c r="DR424" s="382"/>
    </row>
    <row r="425" spans="1:122" s="409" customFormat="1" ht="14.25" customHeight="1" x14ac:dyDescent="0.2">
      <c r="A425" s="206"/>
      <c r="C425" s="1631" t="str">
        <f t="shared" si="286"/>
        <v>Investitionsgut 2</v>
      </c>
      <c r="D425" s="1632"/>
      <c r="E425" s="1361"/>
      <c r="F425" s="1317"/>
      <c r="G425" s="1361"/>
      <c r="H425" s="1317"/>
      <c r="I425" s="1372" t="str">
        <f t="shared" si="287"/>
        <v/>
      </c>
      <c r="J425" s="1373">
        <f t="shared" ref="J425:J430" si="291">IF(E425&gt;0,E425,IF(E425=0,0,""))</f>
        <v>0</v>
      </c>
      <c r="K425" s="1373">
        <f t="shared" si="288"/>
        <v>0</v>
      </c>
      <c r="L425" s="1373">
        <f t="shared" si="288"/>
        <v>0</v>
      </c>
      <c r="M425" s="1373">
        <f t="shared" si="288"/>
        <v>0</v>
      </c>
      <c r="N425" s="1373" t="str">
        <f t="shared" si="288"/>
        <v/>
      </c>
      <c r="O425" s="567">
        <f t="shared" si="289"/>
        <v>-1</v>
      </c>
      <c r="P425" s="423"/>
      <c r="Q425" s="423"/>
      <c r="R425" s="419"/>
      <c r="S425" s="563"/>
      <c r="T425" s="564"/>
      <c r="U425" s="565"/>
      <c r="V425" s="562"/>
      <c r="W425" s="477"/>
      <c r="X425" s="473"/>
      <c r="Y425" s="473"/>
      <c r="Z425" s="473"/>
      <c r="AA425" s="473"/>
      <c r="AB425" s="473"/>
      <c r="AC425" s="473"/>
      <c r="AD425" s="206"/>
      <c r="AE425" s="206"/>
      <c r="AF425" s="206"/>
      <c r="AG425" s="206"/>
      <c r="AH425" s="206"/>
      <c r="AI425" s="206"/>
      <c r="AJ425" s="206"/>
      <c r="AK425" s="206"/>
      <c r="AL425" s="206"/>
      <c r="AM425" s="206"/>
      <c r="AN425" s="206"/>
      <c r="CU425" s="382"/>
      <c r="CV425" s="568" t="str">
        <f t="shared" si="290"/>
        <v>Investitionsgut 2</v>
      </c>
      <c r="CW425" s="568"/>
      <c r="DH425" s="382"/>
      <c r="DI425" s="382"/>
      <c r="DJ425" s="382"/>
      <c r="DK425" s="382"/>
      <c r="DL425" s="382"/>
      <c r="DM425" s="382"/>
      <c r="DN425" s="382"/>
      <c r="DO425" s="382"/>
      <c r="DP425" s="382"/>
      <c r="DQ425" s="382"/>
      <c r="DR425" s="382"/>
    </row>
    <row r="426" spans="1:122" s="409" customFormat="1" ht="14.25" customHeight="1" x14ac:dyDescent="0.2">
      <c r="A426" s="206"/>
      <c r="C426" s="1631" t="str">
        <f t="shared" si="286"/>
        <v>Investitionsgut 3</v>
      </c>
      <c r="D426" s="1632"/>
      <c r="E426" s="1361"/>
      <c r="F426" s="1317"/>
      <c r="G426" s="1361"/>
      <c r="H426" s="1317"/>
      <c r="I426" s="1372" t="str">
        <f t="shared" si="287"/>
        <v/>
      </c>
      <c r="J426" s="1373">
        <f t="shared" si="291"/>
        <v>0</v>
      </c>
      <c r="K426" s="1373">
        <f t="shared" si="288"/>
        <v>0</v>
      </c>
      <c r="L426" s="1373">
        <f t="shared" si="288"/>
        <v>0</v>
      </c>
      <c r="M426" s="1373">
        <f t="shared" si="288"/>
        <v>0</v>
      </c>
      <c r="N426" s="1373" t="str">
        <f t="shared" si="288"/>
        <v/>
      </c>
      <c r="O426" s="567">
        <f t="shared" si="289"/>
        <v>-1</v>
      </c>
      <c r="P426" s="423"/>
      <c r="Q426" s="423"/>
      <c r="R426" s="419"/>
      <c r="S426" s="563"/>
      <c r="T426" s="564"/>
      <c r="U426" s="565"/>
      <c r="V426" s="562"/>
      <c r="W426" s="477"/>
      <c r="X426" s="473"/>
      <c r="Y426" s="473"/>
      <c r="Z426" s="473"/>
      <c r="AA426" s="473"/>
      <c r="AB426" s="473"/>
      <c r="AC426" s="473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CU426" s="382"/>
      <c r="CV426" s="568" t="str">
        <f t="shared" si="290"/>
        <v>Investitionsgut 3</v>
      </c>
      <c r="CW426" s="568"/>
      <c r="DH426" s="382"/>
      <c r="DI426" s="382"/>
      <c r="DJ426" s="382"/>
      <c r="DK426" s="382"/>
      <c r="DL426" s="382"/>
      <c r="DM426" s="382"/>
      <c r="DN426" s="382"/>
      <c r="DO426" s="382"/>
      <c r="DP426" s="382"/>
      <c r="DQ426" s="382"/>
      <c r="DR426" s="382"/>
    </row>
    <row r="427" spans="1:122" s="409" customFormat="1" ht="14.25" customHeight="1" x14ac:dyDescent="0.2">
      <c r="A427" s="206"/>
      <c r="C427" s="1631" t="str">
        <f t="shared" si="286"/>
        <v>Investitionsgut 4</v>
      </c>
      <c r="D427" s="1632"/>
      <c r="E427" s="1361"/>
      <c r="F427" s="1317"/>
      <c r="G427" s="1361"/>
      <c r="H427" s="1317"/>
      <c r="I427" s="1372" t="str">
        <f t="shared" si="287"/>
        <v/>
      </c>
      <c r="J427" s="1373">
        <f t="shared" si="291"/>
        <v>0</v>
      </c>
      <c r="K427" s="1373">
        <f t="shared" si="288"/>
        <v>0</v>
      </c>
      <c r="L427" s="1373">
        <f t="shared" si="288"/>
        <v>0</v>
      </c>
      <c r="M427" s="1373">
        <f t="shared" si="288"/>
        <v>0</v>
      </c>
      <c r="N427" s="1373" t="str">
        <f t="shared" si="288"/>
        <v/>
      </c>
      <c r="O427" s="567">
        <f t="shared" si="289"/>
        <v>-1</v>
      </c>
      <c r="P427" s="423"/>
      <c r="Q427" s="423"/>
      <c r="R427" s="419"/>
      <c r="S427" s="563"/>
      <c r="T427" s="564"/>
      <c r="U427" s="565"/>
      <c r="V427" s="562"/>
      <c r="W427" s="477"/>
      <c r="X427" s="473"/>
      <c r="Y427" s="473"/>
      <c r="Z427" s="473"/>
      <c r="AA427" s="473"/>
      <c r="AB427" s="473"/>
      <c r="AC427" s="473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CU427" s="382"/>
      <c r="CV427" s="568" t="str">
        <f t="shared" si="290"/>
        <v>Investitionsgut 4</v>
      </c>
      <c r="CW427" s="568"/>
      <c r="DH427" s="382"/>
      <c r="DI427" s="382"/>
      <c r="DJ427" s="382"/>
      <c r="DK427" s="382"/>
      <c r="DL427" s="382"/>
      <c r="DM427" s="382"/>
      <c r="DN427" s="382"/>
      <c r="DO427" s="382"/>
      <c r="DP427" s="382"/>
      <c r="DQ427" s="382"/>
      <c r="DR427" s="382"/>
    </row>
    <row r="428" spans="1:122" s="409" customFormat="1" ht="14.25" customHeight="1" x14ac:dyDescent="0.2">
      <c r="A428" s="206"/>
      <c r="C428" s="1631" t="str">
        <f t="shared" si="286"/>
        <v>Investitionsgut 5</v>
      </c>
      <c r="D428" s="1632"/>
      <c r="E428" s="1361"/>
      <c r="F428" s="1317"/>
      <c r="G428" s="1361"/>
      <c r="H428" s="1317"/>
      <c r="I428" s="1372" t="str">
        <f t="shared" si="287"/>
        <v/>
      </c>
      <c r="J428" s="1373">
        <f t="shared" si="291"/>
        <v>0</v>
      </c>
      <c r="K428" s="1373">
        <f t="shared" si="288"/>
        <v>0</v>
      </c>
      <c r="L428" s="1373">
        <f t="shared" si="288"/>
        <v>0</v>
      </c>
      <c r="M428" s="1373">
        <f t="shared" si="288"/>
        <v>0</v>
      </c>
      <c r="N428" s="1373" t="str">
        <f t="shared" si="288"/>
        <v/>
      </c>
      <c r="O428" s="567">
        <f t="shared" si="289"/>
        <v>-1</v>
      </c>
      <c r="P428" s="423"/>
      <c r="Q428" s="423"/>
      <c r="R428" s="419"/>
      <c r="S428" s="563"/>
      <c r="T428" s="564"/>
      <c r="U428" s="565"/>
      <c r="V428" s="562"/>
      <c r="W428" s="477"/>
      <c r="X428" s="473"/>
      <c r="Y428" s="473"/>
      <c r="Z428" s="473"/>
      <c r="AA428" s="473"/>
      <c r="AB428" s="473"/>
      <c r="AC428" s="473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CU428" s="382"/>
      <c r="CV428" s="568" t="str">
        <f t="shared" si="290"/>
        <v>Investitionsgut 5</v>
      </c>
      <c r="CW428" s="568"/>
      <c r="DH428" s="382"/>
      <c r="DI428" s="382"/>
      <c r="DJ428" s="382"/>
      <c r="DK428" s="382"/>
      <c r="DL428" s="382"/>
      <c r="DM428" s="382"/>
      <c r="DN428" s="382"/>
      <c r="DO428" s="382"/>
      <c r="DP428" s="382"/>
      <c r="DQ428" s="382"/>
      <c r="DR428" s="382"/>
    </row>
    <row r="429" spans="1:122" s="409" customFormat="1" ht="14.25" customHeight="1" x14ac:dyDescent="0.2">
      <c r="A429" s="206"/>
      <c r="C429" s="1631" t="str">
        <f t="shared" si="286"/>
        <v>Investitionsgut 6</v>
      </c>
      <c r="D429" s="1632"/>
      <c r="E429" s="1361"/>
      <c r="F429" s="1317"/>
      <c r="G429" s="1361"/>
      <c r="H429" s="1317"/>
      <c r="I429" s="1372" t="str">
        <f t="shared" si="287"/>
        <v/>
      </c>
      <c r="J429" s="1373">
        <f t="shared" si="291"/>
        <v>0</v>
      </c>
      <c r="K429" s="1373">
        <f t="shared" si="288"/>
        <v>0</v>
      </c>
      <c r="L429" s="1373">
        <f t="shared" si="288"/>
        <v>0</v>
      </c>
      <c r="M429" s="1373">
        <f t="shared" si="288"/>
        <v>0</v>
      </c>
      <c r="N429" s="1373" t="str">
        <f t="shared" si="288"/>
        <v/>
      </c>
      <c r="O429" s="567">
        <f t="shared" si="289"/>
        <v>-1</v>
      </c>
      <c r="P429" s="423"/>
      <c r="Q429" s="423"/>
      <c r="R429" s="419"/>
      <c r="S429" s="563"/>
      <c r="T429" s="564"/>
      <c r="U429" s="565"/>
      <c r="V429" s="562"/>
      <c r="W429" s="477"/>
      <c r="X429" s="473"/>
      <c r="Y429" s="473"/>
      <c r="Z429" s="473"/>
      <c r="AA429" s="473"/>
      <c r="AB429" s="473"/>
      <c r="AC429" s="473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CU429" s="382"/>
      <c r="CV429" s="568" t="str">
        <f t="shared" si="290"/>
        <v>Investitionsgut 6</v>
      </c>
      <c r="CW429" s="568"/>
      <c r="DH429" s="382"/>
      <c r="DI429" s="382"/>
      <c r="DJ429" s="382"/>
      <c r="DK429" s="382"/>
      <c r="DL429" s="382"/>
      <c r="DM429" s="382"/>
      <c r="DN429" s="382"/>
      <c r="DO429" s="382"/>
      <c r="DP429" s="382"/>
      <c r="DQ429" s="382"/>
      <c r="DR429" s="382"/>
    </row>
    <row r="430" spans="1:122" s="409" customFormat="1" ht="14.25" customHeight="1" x14ac:dyDescent="0.2">
      <c r="A430" s="206"/>
      <c r="C430" s="1631" t="str">
        <f t="shared" si="286"/>
        <v>Investitionsgut 7</v>
      </c>
      <c r="D430" s="1632"/>
      <c r="E430" s="1361"/>
      <c r="F430" s="1317"/>
      <c r="G430" s="1361"/>
      <c r="H430" s="1317"/>
      <c r="I430" s="1372" t="str">
        <f t="shared" si="287"/>
        <v/>
      </c>
      <c r="J430" s="1373">
        <f t="shared" si="291"/>
        <v>0</v>
      </c>
      <c r="K430" s="1373">
        <f t="shared" si="288"/>
        <v>0</v>
      </c>
      <c r="L430" s="1373">
        <f t="shared" si="288"/>
        <v>0</v>
      </c>
      <c r="M430" s="1373">
        <f t="shared" si="288"/>
        <v>0</v>
      </c>
      <c r="N430" s="1373" t="str">
        <f t="shared" si="288"/>
        <v/>
      </c>
      <c r="O430" s="567">
        <f t="shared" si="289"/>
        <v>-1</v>
      </c>
      <c r="P430" s="423"/>
      <c r="Q430" s="423"/>
      <c r="R430" s="419"/>
      <c r="S430" s="563"/>
      <c r="T430" s="564"/>
      <c r="U430" s="565"/>
      <c r="V430" s="562"/>
      <c r="W430" s="477"/>
      <c r="X430" s="473"/>
      <c r="Y430" s="473"/>
      <c r="Z430" s="473"/>
      <c r="AA430" s="473"/>
      <c r="AB430" s="473"/>
      <c r="AC430" s="473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CU430" s="382"/>
      <c r="CV430" s="568" t="str">
        <f t="shared" si="290"/>
        <v>Investitionsgut 7</v>
      </c>
      <c r="CW430" s="568"/>
      <c r="DH430" s="382"/>
      <c r="DI430" s="382"/>
      <c r="DJ430" s="382"/>
      <c r="DK430" s="382"/>
      <c r="DL430" s="382"/>
      <c r="DM430" s="382"/>
      <c r="DN430" s="382"/>
      <c r="DO430" s="382"/>
      <c r="DP430" s="382"/>
      <c r="DQ430" s="382"/>
      <c r="DR430" s="382"/>
    </row>
    <row r="431" spans="1:122" s="409" customFormat="1" ht="14.25" customHeight="1" x14ac:dyDescent="0.2">
      <c r="A431" s="206"/>
      <c r="C431" s="1656" t="s">
        <v>152</v>
      </c>
      <c r="D431" s="1657"/>
      <c r="E431" s="1361"/>
      <c r="F431" s="1317"/>
      <c r="G431" s="1361"/>
      <c r="H431" s="1317"/>
      <c r="I431" s="1372"/>
      <c r="J431" s="1372"/>
      <c r="K431" s="1372"/>
      <c r="L431" s="1372"/>
      <c r="M431" s="1372"/>
      <c r="N431" s="1372"/>
      <c r="O431" s="566"/>
      <c r="P431" s="423"/>
      <c r="Q431" s="423"/>
      <c r="R431" s="419"/>
      <c r="S431" s="563"/>
      <c r="T431" s="564"/>
      <c r="U431" s="565"/>
      <c r="V431" s="562"/>
      <c r="W431" s="473"/>
      <c r="X431" s="473"/>
      <c r="Y431" s="473"/>
      <c r="Z431" s="473"/>
      <c r="AA431" s="473"/>
      <c r="AB431" s="473"/>
      <c r="AC431" s="473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CU431" s="382"/>
      <c r="CV431" s="568" t="s">
        <v>152</v>
      </c>
      <c r="CW431" s="568"/>
      <c r="DH431" s="382"/>
      <c r="DI431" s="382"/>
      <c r="DJ431" s="382"/>
      <c r="DK431" s="382"/>
      <c r="DL431" s="382"/>
      <c r="DM431" s="382"/>
      <c r="DN431" s="382"/>
      <c r="DO431" s="382"/>
      <c r="DP431" s="382"/>
      <c r="DQ431" s="382"/>
      <c r="DR431" s="382"/>
    </row>
    <row r="432" spans="1:122" s="409" customFormat="1" ht="14.25" customHeight="1" x14ac:dyDescent="0.2">
      <c r="A432" s="206"/>
      <c r="C432" s="1317"/>
      <c r="D432" s="1317"/>
      <c r="E432" s="1374">
        <f>SUM(E424:E431)</f>
        <v>0</v>
      </c>
      <c r="F432" s="1373">
        <f>SUM(F424:F431)</f>
        <v>0</v>
      </c>
      <c r="G432" s="1373">
        <f>SUM(G424:G431)</f>
        <v>0</v>
      </c>
      <c r="H432" s="1373">
        <f>SUM(H424:H431)</f>
        <v>0</v>
      </c>
      <c r="I432" s="1373">
        <f>SUM(I424:I431)</f>
        <v>0</v>
      </c>
      <c r="J432" s="1317"/>
      <c r="K432" s="1361"/>
      <c r="L432" s="1317"/>
      <c r="M432" s="1361"/>
      <c r="N432" s="1317"/>
      <c r="P432" s="423"/>
      <c r="Q432" s="423"/>
      <c r="R432" s="419"/>
      <c r="S432" s="563"/>
      <c r="T432" s="564"/>
      <c r="U432" s="565"/>
      <c r="V432" s="562"/>
      <c r="W432" s="473"/>
      <c r="X432" s="473"/>
      <c r="Y432" s="473"/>
      <c r="Z432" s="473"/>
      <c r="AA432" s="473"/>
      <c r="AB432" s="473"/>
      <c r="AC432" s="473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CU432" s="382"/>
      <c r="CV432" s="382"/>
      <c r="CW432" s="382"/>
      <c r="DH432" s="382"/>
      <c r="DI432" s="382"/>
      <c r="DJ432" s="382"/>
      <c r="DK432" s="382"/>
      <c r="DL432" s="382"/>
      <c r="DM432" s="382"/>
      <c r="DN432" s="382"/>
      <c r="DO432" s="382"/>
      <c r="DP432" s="382"/>
      <c r="DQ432" s="382"/>
      <c r="DR432" s="382"/>
    </row>
    <row r="433" spans="1:122" s="206" customFormat="1" x14ac:dyDescent="0.2">
      <c r="C433" s="381"/>
      <c r="D433" s="381"/>
      <c r="E433" s="1375"/>
      <c r="F433" s="381"/>
      <c r="G433" s="1375"/>
      <c r="H433" s="381"/>
      <c r="I433" s="1375"/>
      <c r="J433" s="381"/>
      <c r="K433" s="1375"/>
      <c r="L433" s="381"/>
      <c r="M433" s="1375"/>
      <c r="N433" s="381"/>
      <c r="P433" s="419"/>
      <c r="Q433" s="419"/>
      <c r="R433" s="419"/>
      <c r="S433" s="563"/>
      <c r="T433" s="564"/>
      <c r="U433" s="565"/>
      <c r="V433" s="562"/>
      <c r="W433" s="473"/>
      <c r="X433" s="473"/>
      <c r="Y433" s="473"/>
      <c r="Z433" s="473"/>
      <c r="AA433" s="473"/>
      <c r="AB433" s="473"/>
      <c r="AC433" s="473"/>
      <c r="CQ433" s="409"/>
      <c r="CR433" s="409"/>
      <c r="CS433" s="409"/>
      <c r="CT433" s="409"/>
      <c r="CU433" s="382"/>
      <c r="CV433" s="382"/>
      <c r="CW433" s="382"/>
      <c r="CX433" s="409"/>
      <c r="CY433" s="409"/>
      <c r="CZ433" s="409"/>
      <c r="DA433" s="409"/>
      <c r="DB433" s="409"/>
      <c r="DC433" s="409"/>
      <c r="DD433" s="409"/>
      <c r="DE433" s="409"/>
      <c r="DF433" s="409"/>
      <c r="DG433" s="409"/>
      <c r="DH433" s="382"/>
      <c r="DI433" s="382"/>
      <c r="DJ433" s="382"/>
      <c r="DK433" s="382"/>
      <c r="DL433" s="382"/>
      <c r="DM433" s="382"/>
      <c r="DN433" s="382"/>
      <c r="DO433" s="382"/>
      <c r="DP433" s="382"/>
      <c r="DQ433" s="382"/>
      <c r="DR433" s="382"/>
    </row>
    <row r="434" spans="1:122" s="206" customFormat="1" x14ac:dyDescent="0.2">
      <c r="C434" s="381"/>
      <c r="D434" s="381"/>
      <c r="E434" s="1375"/>
      <c r="F434" s="381"/>
      <c r="G434" s="1375"/>
      <c r="H434" s="381"/>
      <c r="I434" s="1375"/>
      <c r="J434" s="381"/>
      <c r="K434" s="1375"/>
      <c r="L434" s="381"/>
      <c r="M434" s="1375"/>
      <c r="N434" s="381"/>
      <c r="S434" s="477"/>
      <c r="T434" s="477"/>
      <c r="U434" s="477"/>
      <c r="V434" s="477"/>
      <c r="W434" s="473"/>
      <c r="X434" s="473"/>
      <c r="Y434" s="473"/>
      <c r="Z434" s="473"/>
      <c r="AA434" s="473"/>
      <c r="AB434" s="473"/>
      <c r="AC434" s="473"/>
      <c r="CQ434" s="409"/>
      <c r="CR434" s="409"/>
      <c r="CS434" s="409"/>
      <c r="CT434" s="409"/>
      <c r="CU434" s="382"/>
      <c r="CV434" s="382"/>
      <c r="CW434" s="382"/>
      <c r="CX434" s="409"/>
      <c r="CY434" s="409"/>
      <c r="CZ434" s="409"/>
      <c r="DA434" s="409"/>
      <c r="DB434" s="409"/>
      <c r="DC434" s="409"/>
      <c r="DD434" s="409"/>
      <c r="DE434" s="409"/>
      <c r="DF434" s="409"/>
      <c r="DG434" s="409"/>
      <c r="DH434" s="382"/>
      <c r="DI434" s="382"/>
      <c r="DJ434" s="382"/>
      <c r="DK434" s="382"/>
      <c r="DL434" s="382"/>
      <c r="DM434" s="382"/>
      <c r="DN434" s="382"/>
      <c r="DO434" s="382"/>
      <c r="DP434" s="382"/>
      <c r="DQ434" s="382"/>
      <c r="DR434" s="382"/>
    </row>
    <row r="435" spans="1:122" s="206" customFormat="1" x14ac:dyDescent="0.2">
      <c r="C435" s="381"/>
      <c r="D435" s="381"/>
      <c r="E435" s="1375"/>
      <c r="F435" s="381"/>
      <c r="G435" s="1375"/>
      <c r="H435" s="381"/>
      <c r="I435" s="1375"/>
      <c r="J435" s="381"/>
      <c r="K435" s="1375"/>
      <c r="L435" s="381"/>
      <c r="M435" s="1375"/>
      <c r="N435" s="381"/>
      <c r="S435" s="477"/>
      <c r="T435" s="477"/>
      <c r="U435" s="477"/>
      <c r="V435" s="477"/>
      <c r="W435" s="473"/>
      <c r="X435" s="473"/>
      <c r="Y435" s="473"/>
      <c r="Z435" s="473"/>
      <c r="AA435" s="473"/>
      <c r="AB435" s="473"/>
      <c r="AC435" s="473"/>
      <c r="CQ435" s="409"/>
      <c r="CR435" s="409"/>
      <c r="CS435" s="409"/>
      <c r="CT435" s="409"/>
      <c r="CU435" s="382"/>
      <c r="CV435" s="382"/>
      <c r="CW435" s="382"/>
      <c r="CX435" s="409"/>
      <c r="CY435" s="409"/>
      <c r="CZ435" s="409"/>
      <c r="DA435" s="409"/>
      <c r="DB435" s="409"/>
      <c r="DC435" s="409"/>
      <c r="DD435" s="409"/>
      <c r="DE435" s="409"/>
      <c r="DF435" s="409"/>
      <c r="DG435" s="409"/>
      <c r="DH435" s="382"/>
      <c r="DI435" s="382"/>
      <c r="DJ435" s="382"/>
      <c r="DK435" s="382"/>
      <c r="DL435" s="382"/>
      <c r="DM435" s="382"/>
      <c r="DN435" s="382"/>
      <c r="DO435" s="382"/>
      <c r="DP435" s="382"/>
      <c r="DQ435" s="382"/>
      <c r="DR435" s="382"/>
    </row>
    <row r="436" spans="1:122" s="206" customFormat="1" x14ac:dyDescent="0.2">
      <c r="C436" s="381"/>
      <c r="D436" s="381"/>
      <c r="E436" s="1375"/>
      <c r="F436" s="381"/>
      <c r="G436" s="1375"/>
      <c r="H436" s="381"/>
      <c r="I436" s="1375"/>
      <c r="J436" s="381"/>
      <c r="K436" s="1375"/>
      <c r="L436" s="381"/>
      <c r="M436" s="1375"/>
      <c r="N436" s="381"/>
      <c r="S436" s="477"/>
      <c r="T436" s="477"/>
      <c r="U436" s="477"/>
      <c r="V436" s="477"/>
      <c r="W436" s="473"/>
      <c r="X436" s="473"/>
      <c r="Y436" s="473"/>
      <c r="Z436" s="473"/>
      <c r="AA436" s="473"/>
      <c r="AB436" s="473"/>
      <c r="AC436" s="473"/>
      <c r="CQ436" s="409"/>
      <c r="CR436" s="409"/>
      <c r="CS436" s="409"/>
      <c r="CT436" s="409"/>
      <c r="CU436" s="382"/>
      <c r="CV436" s="382"/>
      <c r="CW436" s="382"/>
      <c r="CX436" s="409"/>
      <c r="CY436" s="409"/>
      <c r="CZ436" s="409"/>
      <c r="DA436" s="409"/>
      <c r="DB436" s="409"/>
      <c r="DC436" s="409"/>
      <c r="DD436" s="409"/>
      <c r="DE436" s="409"/>
      <c r="DF436" s="409"/>
      <c r="DG436" s="409"/>
      <c r="DH436" s="382"/>
      <c r="DI436" s="382"/>
      <c r="DJ436" s="382"/>
      <c r="DK436" s="382"/>
      <c r="DL436" s="382"/>
      <c r="DM436" s="382"/>
      <c r="DN436" s="382"/>
      <c r="DO436" s="382"/>
      <c r="DP436" s="382"/>
      <c r="DQ436" s="382"/>
      <c r="DR436" s="382"/>
    </row>
    <row r="437" spans="1:122" s="409" customFormat="1" x14ac:dyDescent="0.2">
      <c r="A437" s="206"/>
      <c r="B437" s="206"/>
      <c r="C437" s="206"/>
      <c r="D437" s="206"/>
      <c r="E437" s="477"/>
      <c r="F437" s="206"/>
      <c r="G437" s="477"/>
      <c r="H437" s="206"/>
      <c r="I437" s="477"/>
      <c r="J437" s="206"/>
      <c r="K437" s="477"/>
      <c r="L437" s="206"/>
      <c r="M437" s="477"/>
      <c r="N437" s="206"/>
      <c r="O437" s="206"/>
      <c r="P437" s="206"/>
      <c r="Q437" s="206"/>
      <c r="R437" s="206"/>
      <c r="S437" s="477"/>
      <c r="T437" s="477"/>
      <c r="U437" s="477"/>
      <c r="V437" s="477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CU437" s="382"/>
      <c r="CV437" s="382"/>
      <c r="CW437" s="382"/>
      <c r="DH437" s="382"/>
      <c r="DI437" s="382"/>
      <c r="DJ437" s="382"/>
      <c r="DK437" s="382"/>
      <c r="DL437" s="382"/>
      <c r="DM437" s="382"/>
      <c r="DN437" s="382"/>
      <c r="DO437" s="382"/>
      <c r="DP437" s="382"/>
      <c r="DQ437" s="382"/>
      <c r="DR437" s="382"/>
    </row>
    <row r="438" spans="1:122" s="409" customFormat="1" x14ac:dyDescent="0.2">
      <c r="A438" s="206"/>
      <c r="B438" s="206"/>
      <c r="C438" s="206"/>
      <c r="D438" s="206"/>
      <c r="E438" s="477"/>
      <c r="F438" s="206"/>
      <c r="G438" s="477"/>
      <c r="H438" s="206"/>
      <c r="I438" s="477"/>
      <c r="J438" s="206"/>
      <c r="K438" s="477"/>
      <c r="L438" s="206"/>
      <c r="M438" s="477"/>
      <c r="N438" s="206"/>
      <c r="O438" s="206"/>
      <c r="P438" s="206"/>
      <c r="Q438" s="206"/>
      <c r="R438" s="206"/>
      <c r="S438" s="477"/>
      <c r="T438" s="477"/>
      <c r="U438" s="477"/>
      <c r="V438" s="477"/>
      <c r="W438" s="206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CU438" s="382"/>
      <c r="CV438" s="382"/>
      <c r="CW438" s="382"/>
      <c r="DH438" s="382"/>
      <c r="DI438" s="382"/>
      <c r="DJ438" s="382"/>
      <c r="DK438" s="382"/>
      <c r="DL438" s="382"/>
      <c r="DM438" s="382"/>
      <c r="DN438" s="382"/>
      <c r="DO438" s="382"/>
      <c r="DP438" s="382"/>
      <c r="DQ438" s="382"/>
      <c r="DR438" s="382"/>
    </row>
    <row r="439" spans="1:122" s="409" customFormat="1" x14ac:dyDescent="0.2">
      <c r="A439" s="206"/>
      <c r="B439" s="206"/>
      <c r="C439" s="206"/>
      <c r="D439" s="206"/>
      <c r="E439" s="477"/>
      <c r="F439" s="206"/>
      <c r="G439" s="477"/>
      <c r="H439" s="206"/>
      <c r="I439" s="477"/>
      <c r="J439" s="206"/>
      <c r="K439" s="477"/>
      <c r="L439" s="206"/>
      <c r="M439" s="477"/>
      <c r="N439" s="206"/>
      <c r="O439" s="206"/>
      <c r="P439" s="206"/>
      <c r="Q439" s="206"/>
      <c r="R439" s="206"/>
      <c r="S439" s="477"/>
      <c r="T439" s="477"/>
      <c r="U439" s="477"/>
      <c r="V439" s="477"/>
      <c r="W439" s="477"/>
      <c r="X439" s="477"/>
      <c r="Y439" s="477"/>
      <c r="Z439" s="477"/>
      <c r="AA439" s="477"/>
      <c r="AB439" s="477"/>
      <c r="AC439" s="206"/>
      <c r="AD439" s="206"/>
      <c r="AE439" s="206"/>
      <c r="AF439" s="206"/>
      <c r="AG439" s="206"/>
      <c r="AH439" s="206"/>
      <c r="AI439" s="206"/>
      <c r="AJ439" s="206"/>
      <c r="AK439" s="206"/>
      <c r="AL439" s="206"/>
      <c r="AM439" s="206"/>
      <c r="AN439" s="206"/>
      <c r="CU439" s="382"/>
      <c r="CV439" s="382"/>
      <c r="CW439" s="382"/>
      <c r="DH439" s="382"/>
      <c r="DI439" s="382"/>
      <c r="DJ439" s="382"/>
      <c r="DK439" s="382"/>
      <c r="DL439" s="382"/>
      <c r="DM439" s="382"/>
      <c r="DN439" s="382"/>
      <c r="DO439" s="382"/>
      <c r="DP439" s="382"/>
      <c r="DQ439" s="382"/>
      <c r="DR439" s="382"/>
    </row>
    <row r="440" spans="1:122" s="409" customFormat="1" x14ac:dyDescent="0.2">
      <c r="A440" s="206"/>
      <c r="B440" s="206"/>
      <c r="C440" s="206"/>
      <c r="D440" s="206"/>
      <c r="E440" s="477"/>
      <c r="F440" s="206"/>
      <c r="G440" s="477"/>
      <c r="H440" s="206"/>
      <c r="I440" s="477"/>
      <c r="J440" s="206"/>
      <c r="K440" s="477"/>
      <c r="L440" s="206"/>
      <c r="M440" s="477"/>
      <c r="N440" s="206"/>
      <c r="O440" s="206"/>
      <c r="P440" s="206"/>
      <c r="Q440" s="206"/>
      <c r="R440" s="206"/>
      <c r="S440" s="477"/>
      <c r="T440" s="477"/>
      <c r="U440" s="477"/>
      <c r="V440" s="477"/>
      <c r="W440" s="477"/>
      <c r="X440" s="477"/>
      <c r="Y440" s="477"/>
      <c r="Z440" s="477"/>
      <c r="AA440" s="477"/>
      <c r="AB440" s="477"/>
      <c r="AC440" s="206"/>
      <c r="AD440" s="206"/>
      <c r="AE440" s="206"/>
      <c r="AF440" s="206"/>
      <c r="AG440" s="206"/>
      <c r="AH440" s="206"/>
      <c r="AI440" s="206"/>
      <c r="AJ440" s="206"/>
      <c r="AK440" s="206"/>
      <c r="AL440" s="206"/>
      <c r="AM440" s="206"/>
      <c r="AN440" s="206"/>
      <c r="CU440" s="382"/>
      <c r="CV440" s="382"/>
      <c r="CW440" s="382"/>
      <c r="DH440" s="382"/>
      <c r="DI440" s="382"/>
      <c r="DJ440" s="382"/>
      <c r="DK440" s="382"/>
      <c r="DL440" s="382"/>
      <c r="DM440" s="382"/>
      <c r="DN440" s="382"/>
      <c r="DO440" s="382"/>
      <c r="DP440" s="382"/>
      <c r="DQ440" s="382"/>
      <c r="DR440" s="382"/>
    </row>
    <row r="441" spans="1:122" s="409" customFormat="1" x14ac:dyDescent="0.2">
      <c r="A441" s="206"/>
      <c r="B441" s="206"/>
      <c r="C441" s="206"/>
      <c r="D441" s="206"/>
      <c r="E441" s="477"/>
      <c r="F441" s="206"/>
      <c r="G441" s="477"/>
      <c r="H441" s="206"/>
      <c r="I441" s="477"/>
      <c r="J441" s="206"/>
      <c r="K441" s="477"/>
      <c r="L441" s="206"/>
      <c r="M441" s="477"/>
      <c r="N441" s="206"/>
      <c r="O441" s="206"/>
      <c r="P441" s="206"/>
      <c r="Q441" s="206"/>
      <c r="R441" s="206"/>
      <c r="S441" s="477"/>
      <c r="T441" s="477"/>
      <c r="U441" s="477"/>
      <c r="V441" s="477"/>
      <c r="W441" s="477"/>
      <c r="X441" s="477"/>
      <c r="Y441" s="477"/>
      <c r="Z441" s="477"/>
      <c r="AA441" s="477"/>
      <c r="AB441" s="477"/>
      <c r="AC441" s="206"/>
      <c r="AD441" s="206"/>
      <c r="AE441" s="206"/>
      <c r="AF441" s="206"/>
      <c r="AG441" s="206"/>
      <c r="AH441" s="206"/>
      <c r="AI441" s="206"/>
      <c r="AJ441" s="206"/>
      <c r="AK441" s="206"/>
      <c r="AL441" s="206"/>
      <c r="AM441" s="206"/>
      <c r="AN441" s="206"/>
      <c r="CU441" s="382"/>
      <c r="CV441" s="382"/>
      <c r="CW441" s="382"/>
      <c r="DH441" s="382"/>
      <c r="DI441" s="382"/>
      <c r="DJ441" s="382"/>
      <c r="DK441" s="382"/>
      <c r="DL441" s="382"/>
      <c r="DM441" s="382"/>
      <c r="DN441" s="382"/>
      <c r="DO441" s="382"/>
      <c r="DP441" s="382"/>
      <c r="DQ441" s="382"/>
      <c r="DR441" s="382"/>
    </row>
    <row r="442" spans="1:122" s="409" customFormat="1" x14ac:dyDescent="0.2">
      <c r="A442" s="206"/>
      <c r="B442" s="206"/>
      <c r="C442" s="206"/>
      <c r="D442" s="206"/>
      <c r="E442" s="477"/>
      <c r="F442" s="206"/>
      <c r="G442" s="477"/>
      <c r="H442" s="206"/>
      <c r="I442" s="477"/>
      <c r="J442" s="206"/>
      <c r="K442" s="477"/>
      <c r="L442" s="206"/>
      <c r="M442" s="477"/>
      <c r="N442" s="206"/>
      <c r="O442" s="206"/>
      <c r="P442" s="206"/>
      <c r="Q442" s="206"/>
      <c r="R442" s="206"/>
      <c r="S442" s="477"/>
      <c r="T442" s="477"/>
      <c r="U442" s="477"/>
      <c r="V442" s="477"/>
      <c r="W442" s="477"/>
      <c r="X442" s="477"/>
      <c r="Y442" s="477"/>
      <c r="Z442" s="477"/>
      <c r="AA442" s="477"/>
      <c r="AB442" s="477"/>
      <c r="AC442" s="206"/>
      <c r="AD442" s="206"/>
      <c r="AE442" s="206"/>
      <c r="AF442" s="206"/>
      <c r="AG442" s="206"/>
      <c r="AH442" s="206"/>
      <c r="AI442" s="206"/>
      <c r="AJ442" s="206"/>
      <c r="AK442" s="206"/>
      <c r="AL442" s="206"/>
      <c r="AM442" s="206"/>
      <c r="AN442" s="206"/>
      <c r="CU442" s="382"/>
      <c r="CV442" s="382"/>
      <c r="CW442" s="382"/>
      <c r="DH442" s="382"/>
      <c r="DI442" s="382"/>
      <c r="DJ442" s="382"/>
      <c r="DK442" s="382"/>
      <c r="DL442" s="382"/>
      <c r="DM442" s="382"/>
      <c r="DN442" s="382"/>
      <c r="DO442" s="382"/>
      <c r="DP442" s="382"/>
      <c r="DQ442" s="382"/>
      <c r="DR442" s="382"/>
    </row>
    <row r="443" spans="1:122" s="409" customFormat="1" x14ac:dyDescent="0.2">
      <c r="A443" s="206"/>
      <c r="B443" s="206"/>
      <c r="C443" s="206"/>
      <c r="D443" s="206"/>
      <c r="E443" s="477"/>
      <c r="F443" s="206"/>
      <c r="G443" s="477"/>
      <c r="H443" s="206"/>
      <c r="I443" s="477"/>
      <c r="J443" s="206"/>
      <c r="K443" s="477"/>
      <c r="L443" s="206"/>
      <c r="M443" s="477"/>
      <c r="N443" s="206"/>
      <c r="O443" s="206"/>
      <c r="P443" s="206"/>
      <c r="Q443" s="206"/>
      <c r="R443" s="206"/>
      <c r="S443" s="477"/>
      <c r="T443" s="477"/>
      <c r="U443" s="477"/>
      <c r="V443" s="477"/>
      <c r="W443" s="477"/>
      <c r="X443" s="477"/>
      <c r="Y443" s="477"/>
      <c r="Z443" s="477"/>
      <c r="AA443" s="477"/>
      <c r="AB443" s="477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CU443" s="382"/>
      <c r="CV443" s="382"/>
      <c r="CW443" s="382"/>
      <c r="DH443" s="382"/>
      <c r="DI443" s="382"/>
      <c r="DJ443" s="382"/>
      <c r="DK443" s="382"/>
      <c r="DL443" s="382"/>
      <c r="DM443" s="382"/>
      <c r="DN443" s="382"/>
      <c r="DO443" s="382"/>
      <c r="DP443" s="382"/>
      <c r="DQ443" s="382"/>
      <c r="DR443" s="382"/>
    </row>
    <row r="444" spans="1:122" x14ac:dyDescent="0.2">
      <c r="B444" s="176"/>
      <c r="C444" s="176"/>
      <c r="D444" s="176"/>
      <c r="E444" s="388"/>
      <c r="F444" s="176"/>
      <c r="G444" s="388"/>
      <c r="H444" s="176"/>
      <c r="I444" s="388"/>
      <c r="J444" s="176"/>
      <c r="K444" s="388"/>
      <c r="L444" s="176"/>
      <c r="M444" s="388"/>
      <c r="N444" s="176"/>
      <c r="O444" s="176"/>
      <c r="P444" s="176"/>
      <c r="Q444" s="176"/>
      <c r="AS444" s="179"/>
    </row>
    <row r="445" spans="1:122" x14ac:dyDescent="0.2">
      <c r="B445" s="176"/>
      <c r="C445" s="176"/>
      <c r="D445" s="176"/>
      <c r="E445" s="388"/>
      <c r="F445" s="176"/>
      <c r="G445" s="388"/>
      <c r="H445" s="176"/>
      <c r="I445" s="388"/>
      <c r="J445" s="176"/>
      <c r="K445" s="388"/>
      <c r="L445" s="176"/>
      <c r="M445" s="388"/>
      <c r="N445" s="176"/>
      <c r="O445" s="176"/>
      <c r="P445" s="176"/>
      <c r="Q445" s="176"/>
    </row>
    <row r="446" spans="1:122" x14ac:dyDescent="0.2">
      <c r="B446" s="176"/>
      <c r="C446" s="176"/>
      <c r="D446" s="176"/>
      <c r="E446" s="388"/>
      <c r="F446" s="176"/>
      <c r="G446" s="388"/>
      <c r="H446" s="176"/>
      <c r="I446" s="388"/>
      <c r="J446" s="176"/>
      <c r="K446" s="388"/>
      <c r="L446" s="176"/>
      <c r="M446" s="388"/>
      <c r="N446" s="176"/>
      <c r="O446" s="176"/>
      <c r="P446" s="176"/>
      <c r="Q446" s="176"/>
    </row>
    <row r="447" spans="1:122" x14ac:dyDescent="0.2">
      <c r="B447" s="176"/>
      <c r="C447" s="176"/>
      <c r="D447" s="176"/>
      <c r="E447" s="388"/>
      <c r="F447" s="176"/>
      <c r="G447" s="388"/>
      <c r="H447" s="176"/>
      <c r="I447" s="388"/>
      <c r="J447" s="176"/>
      <c r="K447" s="388"/>
      <c r="L447" s="176"/>
      <c r="M447" s="388"/>
      <c r="N447" s="176"/>
      <c r="O447" s="176"/>
      <c r="P447" s="176"/>
      <c r="Q447" s="176"/>
    </row>
    <row r="448" spans="1:122" x14ac:dyDescent="0.2">
      <c r="B448" s="176"/>
      <c r="C448" s="176"/>
      <c r="D448" s="176"/>
      <c r="E448" s="388"/>
      <c r="F448" s="176"/>
      <c r="G448" s="388"/>
      <c r="H448" s="176"/>
      <c r="I448" s="388"/>
      <c r="J448" s="176"/>
      <c r="K448" s="388"/>
      <c r="L448" s="176"/>
      <c r="M448" s="388"/>
      <c r="N448" s="176"/>
      <c r="O448" s="176"/>
      <c r="P448" s="176"/>
      <c r="Q448" s="176"/>
    </row>
    <row r="449" spans="2:17" x14ac:dyDescent="0.2">
      <c r="B449" s="176"/>
      <c r="C449" s="176"/>
      <c r="D449" s="176"/>
      <c r="E449" s="388"/>
      <c r="F449" s="176"/>
      <c r="G449" s="388"/>
      <c r="H449" s="176"/>
      <c r="I449" s="388"/>
      <c r="J449" s="176"/>
      <c r="K449" s="388"/>
      <c r="L449" s="176"/>
      <c r="M449" s="388"/>
      <c r="N449" s="176"/>
      <c r="O449" s="176"/>
      <c r="P449" s="176"/>
      <c r="Q449" s="176"/>
    </row>
    <row r="450" spans="2:17" x14ac:dyDescent="0.2">
      <c r="B450" s="176"/>
      <c r="C450" s="176"/>
      <c r="D450" s="176"/>
      <c r="E450" s="388"/>
      <c r="F450" s="176"/>
      <c r="G450" s="388"/>
      <c r="H450" s="176"/>
      <c r="I450" s="388"/>
      <c r="J450" s="176"/>
      <c r="K450" s="388"/>
      <c r="L450" s="176"/>
      <c r="M450" s="388"/>
      <c r="N450" s="176"/>
      <c r="O450" s="176"/>
      <c r="P450" s="176"/>
      <c r="Q450" s="176"/>
    </row>
    <row r="451" spans="2:17" x14ac:dyDescent="0.2">
      <c r="B451" s="176"/>
      <c r="C451" s="176"/>
      <c r="D451" s="176"/>
      <c r="E451" s="388"/>
      <c r="F451" s="176"/>
      <c r="G451" s="388"/>
      <c r="H451" s="176"/>
      <c r="I451" s="388"/>
      <c r="J451" s="176"/>
      <c r="K451" s="388"/>
      <c r="L451" s="176"/>
      <c r="M451" s="388"/>
      <c r="N451" s="176"/>
      <c r="O451" s="176"/>
      <c r="P451" s="176"/>
      <c r="Q451" s="176"/>
    </row>
    <row r="452" spans="2:17" x14ac:dyDescent="0.2">
      <c r="B452" s="176"/>
      <c r="C452" s="176"/>
      <c r="D452" s="176"/>
      <c r="E452" s="388"/>
      <c r="F452" s="176"/>
      <c r="G452" s="388"/>
      <c r="H452" s="176"/>
      <c r="I452" s="388"/>
      <c r="J452" s="176"/>
      <c r="K452" s="388"/>
      <c r="L452" s="176"/>
      <c r="M452" s="388"/>
      <c r="N452" s="176"/>
      <c r="O452" s="176"/>
      <c r="P452" s="176"/>
      <c r="Q452" s="176"/>
    </row>
    <row r="453" spans="2:17" x14ac:dyDescent="0.2">
      <c r="B453" s="176"/>
      <c r="C453" s="176"/>
      <c r="D453" s="176"/>
      <c r="E453" s="388"/>
      <c r="F453" s="176"/>
      <c r="G453" s="388"/>
      <c r="H453" s="176"/>
      <c r="I453" s="388"/>
      <c r="J453" s="176"/>
      <c r="K453" s="388"/>
      <c r="L453" s="176"/>
      <c r="M453" s="388"/>
      <c r="N453" s="176"/>
      <c r="O453" s="176"/>
      <c r="P453" s="176"/>
      <c r="Q453" s="176"/>
    </row>
    <row r="454" spans="2:17" x14ac:dyDescent="0.2">
      <c r="B454" s="176"/>
      <c r="C454" s="176"/>
      <c r="D454" s="176"/>
      <c r="E454" s="388"/>
      <c r="F454" s="176"/>
      <c r="G454" s="388"/>
      <c r="H454" s="176"/>
      <c r="I454" s="388"/>
      <c r="J454" s="176"/>
      <c r="K454" s="388"/>
      <c r="L454" s="176"/>
      <c r="M454" s="388"/>
      <c r="N454" s="176"/>
      <c r="O454" s="176"/>
      <c r="P454" s="176"/>
      <c r="Q454" s="176"/>
    </row>
    <row r="455" spans="2:17" x14ac:dyDescent="0.2">
      <c r="B455" s="176"/>
      <c r="C455" s="176"/>
      <c r="D455" s="176"/>
      <c r="E455" s="388"/>
      <c r="F455" s="176"/>
      <c r="G455" s="388"/>
      <c r="H455" s="176"/>
      <c r="I455" s="388"/>
      <c r="J455" s="176"/>
      <c r="K455" s="388"/>
      <c r="L455" s="176"/>
      <c r="M455" s="388"/>
      <c r="N455" s="176"/>
      <c r="O455" s="176"/>
      <c r="P455" s="176"/>
      <c r="Q455" s="176"/>
    </row>
    <row r="456" spans="2:17" x14ac:dyDescent="0.2">
      <c r="B456" s="176"/>
      <c r="C456" s="176"/>
      <c r="D456" s="176"/>
      <c r="E456" s="388"/>
      <c r="F456" s="176"/>
      <c r="G456" s="388"/>
      <c r="H456" s="176"/>
      <c r="I456" s="388"/>
      <c r="J456" s="176"/>
      <c r="K456" s="388"/>
      <c r="L456" s="176"/>
      <c r="M456" s="388"/>
      <c r="N456" s="176"/>
      <c r="O456" s="176"/>
      <c r="P456" s="176"/>
      <c r="Q456" s="176"/>
    </row>
    <row r="457" spans="2:17" x14ac:dyDescent="0.2">
      <c r="B457" s="176"/>
      <c r="C457" s="176"/>
      <c r="D457" s="176"/>
      <c r="E457" s="388"/>
      <c r="F457" s="176"/>
      <c r="G457" s="388"/>
      <c r="H457" s="176"/>
      <c r="I457" s="388"/>
      <c r="J457" s="176"/>
      <c r="K457" s="388"/>
      <c r="L457" s="176"/>
      <c r="M457" s="388"/>
      <c r="N457" s="176"/>
      <c r="O457" s="176"/>
      <c r="P457" s="176"/>
      <c r="Q457" s="176"/>
    </row>
    <row r="458" spans="2:17" x14ac:dyDescent="0.2">
      <c r="B458" s="176"/>
      <c r="C458" s="176"/>
      <c r="D458" s="176"/>
      <c r="E458" s="388"/>
      <c r="F458" s="176"/>
      <c r="G458" s="388"/>
      <c r="H458" s="176"/>
      <c r="I458" s="388"/>
      <c r="J458" s="176"/>
      <c r="K458" s="388"/>
      <c r="L458" s="176"/>
      <c r="M458" s="388"/>
      <c r="N458" s="176"/>
      <c r="O458" s="176"/>
      <c r="P458" s="176"/>
      <c r="Q458" s="176"/>
    </row>
    <row r="459" spans="2:17" x14ac:dyDescent="0.2">
      <c r="B459" s="176"/>
      <c r="C459" s="176"/>
      <c r="D459" s="176"/>
      <c r="E459" s="388"/>
      <c r="F459" s="176"/>
      <c r="G459" s="388"/>
      <c r="H459" s="176"/>
      <c r="I459" s="388"/>
      <c r="J459" s="176"/>
      <c r="K459" s="388"/>
      <c r="L459" s="176"/>
      <c r="M459" s="388"/>
      <c r="N459" s="176"/>
      <c r="O459" s="176"/>
      <c r="P459" s="176"/>
      <c r="Q459" s="176"/>
    </row>
    <row r="460" spans="2:17" x14ac:dyDescent="0.2">
      <c r="B460" s="176"/>
      <c r="C460" s="176"/>
      <c r="D460" s="176"/>
      <c r="E460" s="388"/>
      <c r="F460" s="176"/>
      <c r="G460" s="388"/>
      <c r="H460" s="176"/>
      <c r="I460" s="388"/>
      <c r="J460" s="176"/>
      <c r="K460" s="388"/>
      <c r="L460" s="176"/>
      <c r="M460" s="388"/>
      <c r="N460" s="176"/>
      <c r="O460" s="176"/>
      <c r="P460" s="176"/>
      <c r="Q460" s="176"/>
    </row>
    <row r="461" spans="2:17" x14ac:dyDescent="0.2">
      <c r="B461" s="176"/>
      <c r="C461" s="176"/>
      <c r="D461" s="176"/>
      <c r="E461" s="388"/>
      <c r="F461" s="176"/>
      <c r="G461" s="388"/>
      <c r="H461" s="176"/>
      <c r="I461" s="388"/>
      <c r="J461" s="176"/>
      <c r="K461" s="388"/>
      <c r="L461" s="176"/>
      <c r="M461" s="388"/>
      <c r="N461" s="176"/>
      <c r="O461" s="176"/>
      <c r="P461" s="176"/>
      <c r="Q461" s="176"/>
    </row>
    <row r="462" spans="2:17" x14ac:dyDescent="0.2">
      <c r="B462" s="176"/>
      <c r="C462" s="176"/>
      <c r="D462" s="176"/>
      <c r="E462" s="388"/>
      <c r="F462" s="176"/>
      <c r="G462" s="388"/>
      <c r="H462" s="176"/>
      <c r="I462" s="388"/>
      <c r="J462" s="176"/>
      <c r="K462" s="388"/>
      <c r="L462" s="176"/>
      <c r="M462" s="388"/>
      <c r="N462" s="176"/>
      <c r="O462" s="176"/>
      <c r="P462" s="176"/>
      <c r="Q462" s="176"/>
    </row>
    <row r="463" spans="2:17" x14ac:dyDescent="0.2">
      <c r="B463" s="176"/>
      <c r="C463" s="176"/>
      <c r="D463" s="176"/>
      <c r="E463" s="388"/>
      <c r="F463" s="176"/>
      <c r="G463" s="388"/>
      <c r="H463" s="176"/>
      <c r="I463" s="388"/>
      <c r="J463" s="176"/>
      <c r="K463" s="388"/>
      <c r="L463" s="176"/>
      <c r="M463" s="388"/>
      <c r="N463" s="176"/>
      <c r="O463" s="176"/>
      <c r="P463" s="176"/>
      <c r="Q463" s="176"/>
    </row>
    <row r="464" spans="2:17" x14ac:dyDescent="0.2">
      <c r="B464" s="176"/>
      <c r="C464" s="176"/>
      <c r="D464" s="176"/>
      <c r="E464" s="388"/>
      <c r="F464" s="176"/>
      <c r="G464" s="388"/>
      <c r="H464" s="176"/>
      <c r="I464" s="388"/>
      <c r="J464" s="176"/>
      <c r="K464" s="388"/>
      <c r="L464" s="176"/>
      <c r="M464" s="388"/>
      <c r="N464" s="176"/>
      <c r="O464" s="176"/>
      <c r="P464" s="176"/>
      <c r="Q464" s="176"/>
    </row>
    <row r="465" spans="2:17" x14ac:dyDescent="0.2">
      <c r="B465" s="176"/>
      <c r="C465" s="176"/>
      <c r="D465" s="176"/>
      <c r="E465" s="388"/>
      <c r="F465" s="176"/>
      <c r="G465" s="388"/>
      <c r="H465" s="176"/>
      <c r="I465" s="388"/>
      <c r="J465" s="176"/>
      <c r="K465" s="388"/>
      <c r="L465" s="176"/>
      <c r="M465" s="388"/>
      <c r="N465" s="176"/>
      <c r="O465" s="176"/>
      <c r="P465" s="176"/>
      <c r="Q465" s="176"/>
    </row>
    <row r="466" spans="2:17" x14ac:dyDescent="0.2">
      <c r="B466" s="176"/>
      <c r="C466" s="176"/>
      <c r="D466" s="176"/>
      <c r="E466" s="388"/>
      <c r="F466" s="176"/>
      <c r="G466" s="388"/>
      <c r="H466" s="176"/>
      <c r="I466" s="388"/>
      <c r="J466" s="176"/>
      <c r="K466" s="388"/>
      <c r="L466" s="176"/>
      <c r="M466" s="388"/>
      <c r="N466" s="176"/>
      <c r="O466" s="176"/>
      <c r="P466" s="176"/>
      <c r="Q466" s="176"/>
    </row>
    <row r="467" spans="2:17" x14ac:dyDescent="0.2">
      <c r="B467" s="176"/>
      <c r="C467" s="176"/>
      <c r="D467" s="176"/>
      <c r="E467" s="388"/>
      <c r="F467" s="176"/>
      <c r="G467" s="388"/>
      <c r="H467" s="176"/>
      <c r="I467" s="388"/>
      <c r="J467" s="176"/>
      <c r="K467" s="388"/>
      <c r="L467" s="176"/>
      <c r="M467" s="388"/>
      <c r="N467" s="176"/>
      <c r="O467" s="176"/>
      <c r="P467" s="176"/>
      <c r="Q467" s="176"/>
    </row>
    <row r="468" spans="2:17" x14ac:dyDescent="0.2">
      <c r="B468" s="176"/>
      <c r="C468" s="176"/>
      <c r="D468" s="176"/>
      <c r="E468" s="388"/>
      <c r="F468" s="176"/>
      <c r="G468" s="388"/>
      <c r="H468" s="176"/>
      <c r="I468" s="388"/>
      <c r="J468" s="176"/>
      <c r="K468" s="388"/>
      <c r="L468" s="176"/>
      <c r="M468" s="388"/>
      <c r="N468" s="176"/>
      <c r="O468" s="176"/>
      <c r="P468" s="176"/>
      <c r="Q468" s="176"/>
    </row>
    <row r="469" spans="2:17" x14ac:dyDescent="0.2">
      <c r="B469" s="176"/>
      <c r="C469" s="176"/>
      <c r="D469" s="176"/>
      <c r="E469" s="388"/>
      <c r="F469" s="176"/>
      <c r="G469" s="388"/>
      <c r="H469" s="176"/>
      <c r="I469" s="388"/>
      <c r="J469" s="176"/>
      <c r="K469" s="388"/>
      <c r="L469" s="176"/>
      <c r="M469" s="388"/>
      <c r="N469" s="176"/>
      <c r="O469" s="176"/>
      <c r="P469" s="176"/>
      <c r="Q469" s="176"/>
    </row>
    <row r="470" spans="2:17" x14ac:dyDescent="0.2">
      <c r="B470" s="176"/>
      <c r="C470" s="176"/>
      <c r="D470" s="176"/>
      <c r="E470" s="388"/>
      <c r="F470" s="176"/>
      <c r="G470" s="388"/>
      <c r="H470" s="176"/>
      <c r="I470" s="388"/>
      <c r="J470" s="176"/>
      <c r="K470" s="388"/>
      <c r="L470" s="176"/>
      <c r="M470" s="388"/>
      <c r="N470" s="176"/>
      <c r="O470" s="176"/>
      <c r="P470" s="176"/>
      <c r="Q470" s="176"/>
    </row>
    <row r="471" spans="2:17" x14ac:dyDescent="0.2">
      <c r="B471" s="176"/>
      <c r="C471" s="176"/>
      <c r="D471" s="176"/>
      <c r="E471" s="388"/>
      <c r="F471" s="176"/>
      <c r="G471" s="388"/>
      <c r="H471" s="176"/>
      <c r="I471" s="388"/>
      <c r="J471" s="176"/>
      <c r="K471" s="388"/>
      <c r="L471" s="176"/>
      <c r="M471" s="388"/>
      <c r="N471" s="176"/>
      <c r="O471" s="176"/>
      <c r="P471" s="176"/>
      <c r="Q471" s="176"/>
    </row>
    <row r="472" spans="2:17" x14ac:dyDescent="0.2">
      <c r="B472" s="176"/>
      <c r="C472" s="176"/>
      <c r="D472" s="176"/>
      <c r="E472" s="388"/>
      <c r="F472" s="176"/>
      <c r="G472" s="388"/>
      <c r="H472" s="176"/>
      <c r="I472" s="388"/>
      <c r="J472" s="176"/>
      <c r="K472" s="388"/>
      <c r="L472" s="176"/>
      <c r="M472" s="388"/>
      <c r="N472" s="176"/>
      <c r="O472" s="176"/>
      <c r="P472" s="176"/>
      <c r="Q472" s="176"/>
    </row>
    <row r="473" spans="2:17" x14ac:dyDescent="0.2">
      <c r="B473" s="176"/>
      <c r="C473" s="176"/>
      <c r="D473" s="176"/>
      <c r="E473" s="388"/>
      <c r="F473" s="176"/>
      <c r="G473" s="388"/>
      <c r="H473" s="176"/>
      <c r="I473" s="388"/>
      <c r="J473" s="176"/>
      <c r="K473" s="388"/>
      <c r="L473" s="176"/>
      <c r="M473" s="388"/>
      <c r="N473" s="176"/>
      <c r="O473" s="176"/>
      <c r="P473" s="176"/>
      <c r="Q473" s="176"/>
    </row>
    <row r="474" spans="2:17" x14ac:dyDescent="0.2">
      <c r="B474" s="176"/>
      <c r="C474" s="176"/>
      <c r="D474" s="176"/>
      <c r="E474" s="388"/>
      <c r="F474" s="176"/>
      <c r="G474" s="388"/>
      <c r="H474" s="176"/>
      <c r="I474" s="388"/>
      <c r="J474" s="176"/>
      <c r="K474" s="388"/>
      <c r="L474" s="176"/>
      <c r="M474" s="388"/>
      <c r="N474" s="176"/>
      <c r="O474" s="176"/>
      <c r="P474" s="176"/>
      <c r="Q474" s="176"/>
    </row>
    <row r="475" spans="2:17" x14ac:dyDescent="0.2">
      <c r="B475" s="176"/>
      <c r="C475" s="176"/>
      <c r="D475" s="176"/>
      <c r="E475" s="388"/>
      <c r="F475" s="176"/>
      <c r="G475" s="388"/>
      <c r="H475" s="176"/>
      <c r="I475" s="388"/>
      <c r="J475" s="176"/>
      <c r="K475" s="388"/>
      <c r="L475" s="176"/>
      <c r="M475" s="388"/>
      <c r="N475" s="176"/>
      <c r="O475" s="176"/>
      <c r="P475" s="176"/>
      <c r="Q475" s="176"/>
    </row>
    <row r="476" spans="2:17" x14ac:dyDescent="0.2">
      <c r="B476" s="176"/>
      <c r="C476" s="176"/>
      <c r="D476" s="176"/>
      <c r="E476" s="388"/>
      <c r="F476" s="176"/>
      <c r="G476" s="388"/>
      <c r="H476" s="176"/>
      <c r="I476" s="388"/>
      <c r="J476" s="176"/>
      <c r="K476" s="388"/>
      <c r="L476" s="176"/>
      <c r="M476" s="388"/>
      <c r="N476" s="176"/>
      <c r="O476" s="176"/>
      <c r="P476" s="176"/>
      <c r="Q476" s="176"/>
    </row>
    <row r="477" spans="2:17" x14ac:dyDescent="0.2">
      <c r="B477" s="176"/>
      <c r="C477" s="176"/>
      <c r="D477" s="176"/>
      <c r="E477" s="388"/>
      <c r="F477" s="176"/>
      <c r="G477" s="388"/>
      <c r="H477" s="176"/>
      <c r="I477" s="388"/>
      <c r="J477" s="176"/>
      <c r="K477" s="388"/>
      <c r="L477" s="176"/>
      <c r="M477" s="388"/>
      <c r="N477" s="176"/>
      <c r="O477" s="176"/>
      <c r="P477" s="176"/>
      <c r="Q477" s="176"/>
    </row>
    <row r="478" spans="2:17" x14ac:dyDescent="0.2">
      <c r="B478" s="176"/>
      <c r="C478" s="176"/>
      <c r="D478" s="176"/>
      <c r="E478" s="388"/>
      <c r="F478" s="176"/>
      <c r="G478" s="388"/>
      <c r="H478" s="176"/>
      <c r="I478" s="388"/>
      <c r="J478" s="176"/>
      <c r="K478" s="388"/>
      <c r="L478" s="176"/>
      <c r="M478" s="388"/>
      <c r="N478" s="176"/>
      <c r="O478" s="176"/>
      <c r="P478" s="176"/>
      <c r="Q478" s="176"/>
    </row>
    <row r="479" spans="2:17" x14ac:dyDescent="0.2">
      <c r="B479" s="176"/>
      <c r="C479" s="176"/>
      <c r="D479" s="176"/>
      <c r="E479" s="388"/>
      <c r="F479" s="176"/>
      <c r="G479" s="388"/>
      <c r="H479" s="176"/>
      <c r="I479" s="388"/>
      <c r="J479" s="176"/>
      <c r="K479" s="388"/>
      <c r="L479" s="176"/>
      <c r="M479" s="388"/>
      <c r="N479" s="176"/>
      <c r="O479" s="176"/>
      <c r="P479" s="176"/>
      <c r="Q479" s="176"/>
    </row>
    <row r="480" spans="2:17" x14ac:dyDescent="0.2">
      <c r="B480" s="176"/>
      <c r="C480" s="176"/>
      <c r="D480" s="176"/>
      <c r="E480" s="388"/>
      <c r="F480" s="176"/>
      <c r="G480" s="388"/>
      <c r="H480" s="176"/>
      <c r="I480" s="388"/>
      <c r="J480" s="176"/>
      <c r="K480" s="388"/>
      <c r="L480" s="176"/>
      <c r="M480" s="388"/>
      <c r="N480" s="176"/>
      <c r="O480" s="176"/>
      <c r="P480" s="176"/>
      <c r="Q480" s="176"/>
    </row>
    <row r="481" spans="2:17" x14ac:dyDescent="0.2">
      <c r="B481" s="176"/>
      <c r="C481" s="176"/>
      <c r="D481" s="176"/>
      <c r="E481" s="388"/>
      <c r="F481" s="176"/>
      <c r="G481" s="388"/>
      <c r="H481" s="176"/>
      <c r="I481" s="388"/>
      <c r="J481" s="176"/>
      <c r="K481" s="388"/>
      <c r="L481" s="176"/>
      <c r="M481" s="388"/>
      <c r="N481" s="176"/>
      <c r="O481" s="176"/>
      <c r="P481" s="176"/>
      <c r="Q481" s="176"/>
    </row>
    <row r="482" spans="2:17" x14ac:dyDescent="0.2">
      <c r="B482" s="176"/>
      <c r="C482" s="176"/>
      <c r="D482" s="176"/>
      <c r="E482" s="388"/>
      <c r="F482" s="176"/>
      <c r="G482" s="388"/>
      <c r="H482" s="176"/>
      <c r="I482" s="388"/>
      <c r="J482" s="176"/>
      <c r="K482" s="388"/>
      <c r="L482" s="176"/>
      <c r="M482" s="388"/>
      <c r="N482" s="176"/>
      <c r="O482" s="176"/>
      <c r="P482" s="176"/>
      <c r="Q482" s="176"/>
    </row>
    <row r="483" spans="2:17" x14ac:dyDescent="0.2">
      <c r="B483" s="176"/>
      <c r="C483" s="176"/>
      <c r="D483" s="176"/>
      <c r="E483" s="388"/>
      <c r="F483" s="176"/>
      <c r="G483" s="388"/>
      <c r="H483" s="176"/>
      <c r="I483" s="388"/>
      <c r="J483" s="176"/>
      <c r="K483" s="388"/>
      <c r="L483" s="176"/>
      <c r="M483" s="388"/>
      <c r="N483" s="176"/>
      <c r="O483" s="176"/>
      <c r="P483" s="176"/>
      <c r="Q483" s="176"/>
    </row>
    <row r="484" spans="2:17" x14ac:dyDescent="0.2">
      <c r="B484" s="176"/>
      <c r="C484" s="176"/>
      <c r="D484" s="176"/>
      <c r="E484" s="388"/>
      <c r="F484" s="176"/>
      <c r="G484" s="388"/>
      <c r="H484" s="176"/>
      <c r="I484" s="388"/>
      <c r="J484" s="176"/>
      <c r="K484" s="388"/>
      <c r="L484" s="176"/>
      <c r="M484" s="388"/>
      <c r="N484" s="176"/>
      <c r="O484" s="176"/>
      <c r="P484" s="176"/>
      <c r="Q484" s="176"/>
    </row>
    <row r="485" spans="2:17" x14ac:dyDescent="0.2">
      <c r="B485" s="176"/>
      <c r="C485" s="176"/>
      <c r="D485" s="176"/>
      <c r="E485" s="388"/>
      <c r="F485" s="176"/>
      <c r="G485" s="388"/>
      <c r="H485" s="176"/>
      <c r="I485" s="388"/>
      <c r="J485" s="176"/>
      <c r="K485" s="388"/>
      <c r="L485" s="176"/>
      <c r="M485" s="388"/>
      <c r="N485" s="176"/>
      <c r="O485" s="176"/>
      <c r="P485" s="176"/>
      <c r="Q485" s="176"/>
    </row>
    <row r="486" spans="2:17" x14ac:dyDescent="0.2">
      <c r="B486" s="176"/>
      <c r="C486" s="176"/>
      <c r="D486" s="176"/>
      <c r="E486" s="388"/>
      <c r="F486" s="176"/>
      <c r="G486" s="388"/>
      <c r="H486" s="176"/>
      <c r="I486" s="388"/>
      <c r="J486" s="176"/>
      <c r="K486" s="388"/>
      <c r="L486" s="176"/>
      <c r="M486" s="388"/>
      <c r="N486" s="176"/>
      <c r="O486" s="176"/>
      <c r="P486" s="176"/>
      <c r="Q486" s="176"/>
    </row>
    <row r="487" spans="2:17" x14ac:dyDescent="0.2">
      <c r="B487" s="176"/>
      <c r="C487" s="176"/>
      <c r="D487" s="176"/>
      <c r="E487" s="388"/>
      <c r="F487" s="176"/>
      <c r="G487" s="388"/>
      <c r="H487" s="176"/>
      <c r="I487" s="388"/>
      <c r="J487" s="176"/>
      <c r="K487" s="388"/>
      <c r="L487" s="176"/>
      <c r="M487" s="388"/>
      <c r="N487" s="176"/>
      <c r="O487" s="176"/>
      <c r="P487" s="176"/>
      <c r="Q487" s="176"/>
    </row>
    <row r="488" spans="2:17" x14ac:dyDescent="0.2">
      <c r="B488" s="176"/>
      <c r="C488" s="176"/>
      <c r="D488" s="176"/>
      <c r="E488" s="388"/>
      <c r="F488" s="176"/>
      <c r="G488" s="388"/>
      <c r="H488" s="176"/>
      <c r="I488" s="388"/>
      <c r="J488" s="176"/>
      <c r="K488" s="388"/>
      <c r="L488" s="176"/>
      <c r="M488" s="388"/>
      <c r="N488" s="176"/>
      <c r="O488" s="176"/>
      <c r="P488" s="176"/>
      <c r="Q488" s="176"/>
    </row>
    <row r="489" spans="2:17" x14ac:dyDescent="0.2">
      <c r="B489" s="176"/>
      <c r="C489" s="176"/>
      <c r="D489" s="176"/>
      <c r="E489" s="388"/>
      <c r="F489" s="176"/>
      <c r="G489" s="388"/>
      <c r="H489" s="176"/>
      <c r="I489" s="388"/>
      <c r="J489" s="176"/>
      <c r="K489" s="388"/>
      <c r="L489" s="176"/>
      <c r="M489" s="388"/>
      <c r="N489" s="176"/>
      <c r="O489" s="176"/>
      <c r="P489" s="176"/>
      <c r="Q489" s="176"/>
    </row>
    <row r="490" spans="2:17" x14ac:dyDescent="0.2">
      <c r="B490" s="176"/>
      <c r="C490" s="176"/>
      <c r="D490" s="176"/>
      <c r="E490" s="388"/>
      <c r="F490" s="176"/>
      <c r="G490" s="388"/>
      <c r="H490" s="176"/>
      <c r="I490" s="388"/>
      <c r="J490" s="176"/>
      <c r="K490" s="388"/>
      <c r="L490" s="176"/>
      <c r="M490" s="388"/>
      <c r="N490" s="176"/>
      <c r="O490" s="176"/>
      <c r="P490" s="176"/>
      <c r="Q490" s="176"/>
    </row>
    <row r="491" spans="2:17" x14ac:dyDescent="0.2">
      <c r="B491" s="176"/>
      <c r="C491" s="176"/>
      <c r="D491" s="176"/>
      <c r="E491" s="388"/>
      <c r="F491" s="176"/>
      <c r="G491" s="388"/>
      <c r="H491" s="176"/>
      <c r="I491" s="388"/>
      <c r="J491" s="176"/>
      <c r="K491" s="388"/>
      <c r="L491" s="176"/>
      <c r="M491" s="388"/>
      <c r="N491" s="176"/>
      <c r="O491" s="176"/>
      <c r="P491" s="176"/>
      <c r="Q491" s="176"/>
    </row>
    <row r="492" spans="2:17" x14ac:dyDescent="0.2">
      <c r="B492" s="176"/>
      <c r="C492" s="176"/>
      <c r="D492" s="176"/>
      <c r="E492" s="388"/>
      <c r="F492" s="176"/>
      <c r="G492" s="388"/>
      <c r="H492" s="176"/>
      <c r="I492" s="388"/>
      <c r="J492" s="176"/>
      <c r="K492" s="388"/>
      <c r="L492" s="176"/>
      <c r="M492" s="388"/>
      <c r="N492" s="176"/>
      <c r="O492" s="176"/>
      <c r="P492" s="176"/>
      <c r="Q492" s="176"/>
    </row>
    <row r="493" spans="2:17" x14ac:dyDescent="0.2">
      <c r="B493" s="176"/>
      <c r="C493" s="176"/>
      <c r="D493" s="176"/>
      <c r="E493" s="388"/>
      <c r="F493" s="176"/>
      <c r="G493" s="388"/>
      <c r="H493" s="176"/>
      <c r="I493" s="388"/>
      <c r="J493" s="176"/>
      <c r="K493" s="388"/>
      <c r="L493" s="176"/>
      <c r="M493" s="388"/>
      <c r="N493" s="176"/>
      <c r="O493" s="176"/>
      <c r="P493" s="176"/>
      <c r="Q493" s="176"/>
    </row>
    <row r="494" spans="2:17" x14ac:dyDescent="0.2">
      <c r="B494" s="176"/>
      <c r="C494" s="176"/>
      <c r="D494" s="176"/>
      <c r="E494" s="388"/>
      <c r="F494" s="176"/>
      <c r="G494" s="388"/>
      <c r="H494" s="176"/>
      <c r="I494" s="388"/>
      <c r="J494" s="176"/>
      <c r="K494" s="388"/>
      <c r="L494" s="176"/>
      <c r="M494" s="388"/>
      <c r="N494" s="176"/>
      <c r="O494" s="176"/>
      <c r="P494" s="176"/>
      <c r="Q494" s="176"/>
    </row>
    <row r="495" spans="2:17" x14ac:dyDescent="0.2">
      <c r="B495" s="176"/>
      <c r="C495" s="176"/>
      <c r="D495" s="176"/>
      <c r="E495" s="388"/>
      <c r="F495" s="176"/>
      <c r="G495" s="388"/>
      <c r="H495" s="176"/>
      <c r="I495" s="388"/>
      <c r="J495" s="176"/>
      <c r="K495" s="388"/>
      <c r="L495" s="176"/>
      <c r="M495" s="388"/>
      <c r="N495" s="176"/>
      <c r="O495" s="176"/>
      <c r="P495" s="176"/>
      <c r="Q495" s="176"/>
    </row>
    <row r="496" spans="2:17" x14ac:dyDescent="0.2">
      <c r="B496" s="176"/>
      <c r="C496" s="176"/>
      <c r="D496" s="176"/>
      <c r="E496" s="388"/>
      <c r="F496" s="176"/>
      <c r="G496" s="388"/>
      <c r="H496" s="176"/>
      <c r="I496" s="388"/>
      <c r="J496" s="176"/>
      <c r="K496" s="388"/>
      <c r="L496" s="176"/>
      <c r="M496" s="388"/>
      <c r="N496" s="176"/>
      <c r="O496" s="176"/>
      <c r="P496" s="176"/>
      <c r="Q496" s="176"/>
    </row>
    <row r="497" spans="2:17" x14ac:dyDescent="0.2">
      <c r="B497" s="176"/>
      <c r="C497" s="176"/>
      <c r="D497" s="176"/>
      <c r="E497" s="388"/>
      <c r="F497" s="176"/>
      <c r="G497" s="388"/>
      <c r="H497" s="176"/>
      <c r="I497" s="388"/>
      <c r="J497" s="176"/>
      <c r="K497" s="388"/>
      <c r="L497" s="176"/>
      <c r="M497" s="388"/>
      <c r="N497" s="176"/>
      <c r="O497" s="176"/>
      <c r="P497" s="176"/>
      <c r="Q497" s="176"/>
    </row>
    <row r="498" spans="2:17" x14ac:dyDescent="0.2">
      <c r="B498" s="176"/>
      <c r="C498" s="176"/>
      <c r="D498" s="176"/>
      <c r="E498" s="388"/>
      <c r="F498" s="176"/>
      <c r="G498" s="388"/>
      <c r="H498" s="176"/>
      <c r="I498" s="388"/>
      <c r="J498" s="176"/>
      <c r="K498" s="388"/>
      <c r="L498" s="176"/>
      <c r="M498" s="388"/>
      <c r="N498" s="176"/>
      <c r="O498" s="176"/>
      <c r="P498" s="176"/>
      <c r="Q498" s="176"/>
    </row>
    <row r="499" spans="2:17" x14ac:dyDescent="0.2">
      <c r="B499" s="176"/>
      <c r="C499" s="176"/>
      <c r="D499" s="176"/>
      <c r="E499" s="388"/>
      <c r="F499" s="176"/>
      <c r="G499" s="388"/>
      <c r="H499" s="176"/>
      <c r="I499" s="388"/>
      <c r="J499" s="176"/>
      <c r="K499" s="388"/>
      <c r="L499" s="176"/>
      <c r="M499" s="388"/>
      <c r="N499" s="176"/>
      <c r="O499" s="176"/>
      <c r="P499" s="176"/>
      <c r="Q499" s="176"/>
    </row>
    <row r="500" spans="2:17" x14ac:dyDescent="0.2">
      <c r="B500" s="176"/>
      <c r="C500" s="176"/>
      <c r="D500" s="176"/>
      <c r="E500" s="388"/>
      <c r="F500" s="176"/>
      <c r="G500" s="388"/>
      <c r="H500" s="176"/>
      <c r="I500" s="388"/>
      <c r="J500" s="176"/>
      <c r="K500" s="388"/>
      <c r="L500" s="176"/>
      <c r="M500" s="388"/>
      <c r="N500" s="176"/>
      <c r="O500" s="176"/>
      <c r="P500" s="176"/>
      <c r="Q500" s="176"/>
    </row>
    <row r="501" spans="2:17" x14ac:dyDescent="0.2">
      <c r="B501" s="176"/>
      <c r="C501" s="176"/>
      <c r="D501" s="176"/>
      <c r="E501" s="388"/>
      <c r="F501" s="176"/>
      <c r="G501" s="388"/>
      <c r="H501" s="176"/>
      <c r="I501" s="388"/>
      <c r="J501" s="176"/>
      <c r="K501" s="388"/>
      <c r="L501" s="176"/>
      <c r="M501" s="388"/>
      <c r="N501" s="176"/>
      <c r="O501" s="176"/>
      <c r="P501" s="176"/>
      <c r="Q501" s="176"/>
    </row>
    <row r="502" spans="2:17" x14ac:dyDescent="0.2">
      <c r="B502" s="176"/>
      <c r="C502" s="176"/>
      <c r="D502" s="176"/>
      <c r="E502" s="388"/>
      <c r="F502" s="176"/>
      <c r="G502" s="388"/>
      <c r="H502" s="176"/>
      <c r="I502" s="388"/>
      <c r="J502" s="176"/>
      <c r="K502" s="388"/>
      <c r="L502" s="176"/>
      <c r="M502" s="388"/>
      <c r="N502" s="176"/>
      <c r="O502" s="176"/>
      <c r="P502" s="176"/>
      <c r="Q502" s="176"/>
    </row>
    <row r="503" spans="2:17" x14ac:dyDescent="0.2">
      <c r="B503" s="176"/>
      <c r="C503" s="176"/>
      <c r="D503" s="176"/>
      <c r="E503" s="388"/>
      <c r="F503" s="176"/>
      <c r="G503" s="388"/>
      <c r="H503" s="176"/>
      <c r="I503" s="388"/>
      <c r="J503" s="176"/>
      <c r="K503" s="388"/>
      <c r="L503" s="176"/>
      <c r="M503" s="388"/>
      <c r="N503" s="176"/>
      <c r="O503" s="176"/>
      <c r="P503" s="176"/>
      <c r="Q503" s="176"/>
    </row>
    <row r="504" spans="2:17" x14ac:dyDescent="0.2">
      <c r="B504" s="176"/>
      <c r="C504" s="176"/>
      <c r="D504" s="176"/>
      <c r="E504" s="388"/>
      <c r="F504" s="176"/>
      <c r="G504" s="388"/>
      <c r="H504" s="176"/>
      <c r="I504" s="388"/>
      <c r="J504" s="176"/>
      <c r="K504" s="388"/>
      <c r="L504" s="176"/>
      <c r="M504" s="388"/>
      <c r="N504" s="176"/>
      <c r="O504" s="176"/>
      <c r="P504" s="176"/>
      <c r="Q504" s="176"/>
    </row>
    <row r="505" spans="2:17" x14ac:dyDescent="0.2">
      <c r="B505" s="176"/>
      <c r="C505" s="176"/>
      <c r="D505" s="176"/>
      <c r="E505" s="388"/>
      <c r="F505" s="176"/>
      <c r="G505" s="388"/>
      <c r="H505" s="176"/>
      <c r="I505" s="388"/>
      <c r="J505" s="176"/>
      <c r="K505" s="388"/>
      <c r="L505" s="176"/>
      <c r="M505" s="388"/>
      <c r="N505" s="176"/>
      <c r="O505" s="176"/>
      <c r="P505" s="176"/>
      <c r="Q505" s="176"/>
    </row>
    <row r="506" spans="2:17" x14ac:dyDescent="0.2">
      <c r="B506" s="176"/>
      <c r="C506" s="176"/>
      <c r="D506" s="176"/>
      <c r="E506" s="388"/>
      <c r="F506" s="176"/>
      <c r="G506" s="388"/>
      <c r="H506" s="176"/>
      <c r="I506" s="388"/>
      <c r="J506" s="176"/>
      <c r="K506" s="388"/>
      <c r="L506" s="176"/>
      <c r="M506" s="388"/>
      <c r="N506" s="176"/>
      <c r="O506" s="176"/>
      <c r="P506" s="176"/>
      <c r="Q506" s="176"/>
    </row>
    <row r="507" spans="2:17" x14ac:dyDescent="0.2">
      <c r="B507" s="176"/>
      <c r="C507" s="176"/>
      <c r="D507" s="176"/>
      <c r="E507" s="388"/>
      <c r="F507" s="176"/>
      <c r="G507" s="388"/>
      <c r="H507" s="176"/>
      <c r="I507" s="388"/>
      <c r="J507" s="176"/>
      <c r="K507" s="388"/>
      <c r="L507" s="176"/>
      <c r="M507" s="388"/>
      <c r="N507" s="176"/>
      <c r="O507" s="176"/>
      <c r="P507" s="176"/>
      <c r="Q507" s="176"/>
    </row>
    <row r="508" spans="2:17" x14ac:dyDescent="0.2">
      <c r="B508" s="176"/>
      <c r="C508" s="176"/>
      <c r="D508" s="176"/>
      <c r="E508" s="388"/>
      <c r="F508" s="176"/>
      <c r="G508" s="388"/>
      <c r="H508" s="176"/>
      <c r="I508" s="388"/>
      <c r="J508" s="176"/>
      <c r="K508" s="388"/>
      <c r="L508" s="176"/>
      <c r="M508" s="388"/>
      <c r="N508" s="176"/>
      <c r="O508" s="176"/>
      <c r="P508" s="176"/>
      <c r="Q508" s="176"/>
    </row>
    <row r="509" spans="2:17" x14ac:dyDescent="0.2">
      <c r="B509" s="176"/>
      <c r="C509" s="176"/>
      <c r="D509" s="176"/>
      <c r="E509" s="388"/>
      <c r="F509" s="176"/>
      <c r="G509" s="388"/>
      <c r="H509" s="176"/>
      <c r="I509" s="388"/>
      <c r="J509" s="176"/>
      <c r="K509" s="388"/>
      <c r="L509" s="176"/>
      <c r="M509" s="388"/>
      <c r="N509" s="176"/>
      <c r="O509" s="176"/>
      <c r="P509" s="176"/>
      <c r="Q509" s="176"/>
    </row>
    <row r="510" spans="2:17" x14ac:dyDescent="0.2">
      <c r="B510" s="176"/>
      <c r="C510" s="176"/>
      <c r="D510" s="176"/>
      <c r="E510" s="388"/>
      <c r="F510" s="176"/>
      <c r="G510" s="388"/>
      <c r="H510" s="176"/>
      <c r="I510" s="388"/>
      <c r="J510" s="176"/>
      <c r="K510" s="388"/>
      <c r="L510" s="176"/>
      <c r="M510" s="388"/>
      <c r="N510" s="176"/>
      <c r="O510" s="176"/>
      <c r="P510" s="176"/>
      <c r="Q510" s="176"/>
    </row>
    <row r="511" spans="2:17" x14ac:dyDescent="0.2">
      <c r="B511" s="176"/>
      <c r="C511" s="176"/>
      <c r="D511" s="176"/>
      <c r="E511" s="388"/>
      <c r="F511" s="176"/>
      <c r="G511" s="388"/>
      <c r="H511" s="176"/>
      <c r="I511" s="388"/>
      <c r="J511" s="176"/>
      <c r="K511" s="388"/>
      <c r="L511" s="176"/>
      <c r="M511" s="388"/>
      <c r="N511" s="176"/>
      <c r="O511" s="176"/>
      <c r="P511" s="176"/>
      <c r="Q511" s="176"/>
    </row>
    <row r="512" spans="2:17" x14ac:dyDescent="0.2">
      <c r="B512" s="176"/>
      <c r="C512" s="176"/>
      <c r="D512" s="176"/>
      <c r="E512" s="388"/>
      <c r="F512" s="176"/>
      <c r="G512" s="388"/>
      <c r="H512" s="176"/>
      <c r="I512" s="388"/>
      <c r="J512" s="176"/>
      <c r="K512" s="388"/>
      <c r="L512" s="176"/>
      <c r="M512" s="388"/>
      <c r="N512" s="176"/>
      <c r="O512" s="176"/>
      <c r="P512" s="176"/>
      <c r="Q512" s="176"/>
    </row>
    <row r="513" spans="2:17" x14ac:dyDescent="0.2">
      <c r="B513" s="176"/>
      <c r="C513" s="176"/>
      <c r="D513" s="176"/>
      <c r="E513" s="388"/>
      <c r="F513" s="176"/>
      <c r="G513" s="388"/>
      <c r="H513" s="176"/>
      <c r="I513" s="388"/>
      <c r="J513" s="176"/>
      <c r="K513" s="388"/>
      <c r="L513" s="176"/>
      <c r="M513" s="388"/>
      <c r="N513" s="176"/>
      <c r="O513" s="176"/>
      <c r="P513" s="176"/>
      <c r="Q513" s="176"/>
    </row>
    <row r="514" spans="2:17" x14ac:dyDescent="0.2">
      <c r="B514" s="176"/>
      <c r="C514" s="176"/>
      <c r="D514" s="176"/>
      <c r="E514" s="388"/>
      <c r="F514" s="176"/>
      <c r="G514" s="388"/>
      <c r="H514" s="176"/>
      <c r="I514" s="388"/>
      <c r="J514" s="176"/>
      <c r="K514" s="388"/>
      <c r="L514" s="176"/>
      <c r="M514" s="388"/>
      <c r="N514" s="176"/>
      <c r="O514" s="176"/>
      <c r="P514" s="176"/>
      <c r="Q514" s="176"/>
    </row>
    <row r="515" spans="2:17" x14ac:dyDescent="0.2">
      <c r="B515" s="176"/>
      <c r="C515" s="176"/>
      <c r="D515" s="176"/>
      <c r="E515" s="388"/>
      <c r="F515" s="176"/>
      <c r="G515" s="388"/>
      <c r="H515" s="176"/>
      <c r="I515" s="388"/>
      <c r="J515" s="176"/>
      <c r="K515" s="388"/>
      <c r="L515" s="176"/>
      <c r="M515" s="388"/>
      <c r="N515" s="176"/>
      <c r="O515" s="176"/>
      <c r="P515" s="176"/>
      <c r="Q515" s="176"/>
    </row>
    <row r="516" spans="2:17" x14ac:dyDescent="0.2">
      <c r="B516" s="176"/>
      <c r="C516" s="176"/>
      <c r="D516" s="176"/>
      <c r="E516" s="388"/>
      <c r="F516" s="176"/>
      <c r="G516" s="388"/>
      <c r="H516" s="176"/>
      <c r="I516" s="388"/>
      <c r="J516" s="176"/>
      <c r="K516" s="388"/>
      <c r="L516" s="176"/>
      <c r="M516" s="388"/>
      <c r="N516" s="176"/>
      <c r="O516" s="176"/>
      <c r="P516" s="176"/>
      <c r="Q516" s="176"/>
    </row>
    <row r="517" spans="2:17" x14ac:dyDescent="0.2">
      <c r="B517" s="176"/>
      <c r="C517" s="176"/>
      <c r="D517" s="176"/>
      <c r="E517" s="388"/>
      <c r="F517" s="176"/>
      <c r="G517" s="388"/>
      <c r="H517" s="176"/>
      <c r="I517" s="388"/>
      <c r="J517" s="176"/>
      <c r="K517" s="388"/>
      <c r="L517" s="176"/>
      <c r="M517" s="388"/>
      <c r="N517" s="176"/>
      <c r="O517" s="176"/>
      <c r="P517" s="176"/>
      <c r="Q517" s="176"/>
    </row>
    <row r="518" spans="2:17" x14ac:dyDescent="0.2">
      <c r="B518" s="176"/>
      <c r="C518" s="176"/>
      <c r="D518" s="176"/>
      <c r="E518" s="388"/>
      <c r="F518" s="176"/>
      <c r="G518" s="388"/>
      <c r="H518" s="176"/>
      <c r="I518" s="388"/>
      <c r="J518" s="176"/>
      <c r="K518" s="388"/>
      <c r="L518" s="176"/>
      <c r="M518" s="388"/>
      <c r="N518" s="176"/>
      <c r="O518" s="176"/>
      <c r="P518" s="176"/>
      <c r="Q518" s="176"/>
    </row>
    <row r="519" spans="2:17" x14ac:dyDescent="0.2">
      <c r="B519" s="176"/>
      <c r="C519" s="176"/>
      <c r="D519" s="176"/>
      <c r="E519" s="388"/>
      <c r="F519" s="176"/>
      <c r="G519" s="388"/>
      <c r="H519" s="176"/>
      <c r="I519" s="388"/>
      <c r="J519" s="176"/>
      <c r="K519" s="388"/>
      <c r="L519" s="176"/>
      <c r="M519" s="388"/>
      <c r="N519" s="176"/>
      <c r="O519" s="176"/>
      <c r="P519" s="176"/>
      <c r="Q519" s="176"/>
    </row>
    <row r="520" spans="2:17" x14ac:dyDescent="0.2">
      <c r="B520" s="176"/>
      <c r="C520" s="176"/>
      <c r="D520" s="176"/>
      <c r="E520" s="388"/>
      <c r="F520" s="176"/>
      <c r="G520" s="388"/>
      <c r="H520" s="176"/>
      <c r="I520" s="388"/>
      <c r="J520" s="176"/>
      <c r="K520" s="388"/>
      <c r="L520" s="176"/>
      <c r="M520" s="388"/>
      <c r="N520" s="176"/>
      <c r="O520" s="176"/>
      <c r="P520" s="176"/>
      <c r="Q520" s="176"/>
    </row>
    <row r="521" spans="2:17" x14ac:dyDescent="0.2">
      <c r="B521" s="176"/>
      <c r="C521" s="176"/>
      <c r="D521" s="176"/>
      <c r="E521" s="388"/>
      <c r="F521" s="176"/>
      <c r="G521" s="388"/>
      <c r="H521" s="176"/>
      <c r="I521" s="388"/>
      <c r="J521" s="176"/>
      <c r="K521" s="388"/>
      <c r="L521" s="176"/>
      <c r="M521" s="388"/>
      <c r="N521" s="176"/>
      <c r="O521" s="176"/>
      <c r="P521" s="176"/>
      <c r="Q521" s="176"/>
    </row>
    <row r="522" spans="2:17" x14ac:dyDescent="0.2">
      <c r="B522" s="176"/>
      <c r="C522" s="176"/>
      <c r="D522" s="176"/>
      <c r="E522" s="388"/>
      <c r="F522" s="176"/>
      <c r="G522" s="388"/>
      <c r="H522" s="176"/>
      <c r="I522" s="388"/>
      <c r="J522" s="176"/>
      <c r="K522" s="388"/>
      <c r="L522" s="176"/>
      <c r="M522" s="388"/>
      <c r="N522" s="176"/>
      <c r="O522" s="176"/>
      <c r="P522" s="176"/>
      <c r="Q522" s="176"/>
    </row>
    <row r="523" spans="2:17" x14ac:dyDescent="0.2">
      <c r="B523" s="176"/>
      <c r="C523" s="176"/>
      <c r="D523" s="176"/>
      <c r="E523" s="388"/>
      <c r="F523" s="176"/>
      <c r="G523" s="388"/>
      <c r="H523" s="176"/>
      <c r="I523" s="388"/>
      <c r="J523" s="176"/>
      <c r="K523" s="388"/>
      <c r="L523" s="176"/>
      <c r="M523" s="388"/>
      <c r="N523" s="176"/>
      <c r="O523" s="176"/>
      <c r="P523" s="176"/>
      <c r="Q523" s="176"/>
    </row>
    <row r="524" spans="2:17" x14ac:dyDescent="0.2">
      <c r="B524" s="176"/>
      <c r="C524" s="176"/>
      <c r="D524" s="176"/>
      <c r="E524" s="388"/>
      <c r="F524" s="176"/>
      <c r="G524" s="388"/>
      <c r="H524" s="176"/>
      <c r="I524" s="388"/>
      <c r="J524" s="176"/>
      <c r="K524" s="388"/>
      <c r="L524" s="176"/>
      <c r="M524" s="388"/>
      <c r="N524" s="176"/>
      <c r="O524" s="176"/>
      <c r="P524" s="176"/>
      <c r="Q524" s="176"/>
    </row>
    <row r="525" spans="2:17" x14ac:dyDescent="0.2">
      <c r="B525" s="176"/>
      <c r="C525" s="176"/>
      <c r="D525" s="176"/>
      <c r="E525" s="388"/>
      <c r="F525" s="176"/>
      <c r="G525" s="388"/>
      <c r="H525" s="176"/>
      <c r="I525" s="388"/>
      <c r="J525" s="176"/>
      <c r="K525" s="388"/>
      <c r="L525" s="176"/>
      <c r="M525" s="388"/>
      <c r="N525" s="176"/>
      <c r="O525" s="176"/>
      <c r="P525" s="176"/>
      <c r="Q525" s="176"/>
    </row>
    <row r="526" spans="2:17" x14ac:dyDescent="0.2">
      <c r="B526" s="176"/>
      <c r="C526" s="176"/>
      <c r="D526" s="176"/>
      <c r="E526" s="388"/>
      <c r="F526" s="176"/>
      <c r="G526" s="388"/>
      <c r="H526" s="176"/>
      <c r="I526" s="388"/>
      <c r="J526" s="176"/>
      <c r="K526" s="388"/>
      <c r="L526" s="176"/>
      <c r="M526" s="388"/>
      <c r="N526" s="176"/>
      <c r="O526" s="176"/>
      <c r="P526" s="176"/>
      <c r="Q526" s="176"/>
    </row>
    <row r="527" spans="2:17" x14ac:dyDescent="0.2">
      <c r="B527" s="176"/>
      <c r="C527" s="176"/>
      <c r="D527" s="176"/>
      <c r="E527" s="388"/>
      <c r="F527" s="176"/>
      <c r="G527" s="388"/>
      <c r="H527" s="176"/>
      <c r="I527" s="388"/>
      <c r="J527" s="176"/>
      <c r="K527" s="388"/>
      <c r="L527" s="176"/>
      <c r="M527" s="388"/>
      <c r="N527" s="176"/>
      <c r="O527" s="176"/>
      <c r="P527" s="176"/>
      <c r="Q527" s="176"/>
    </row>
    <row r="528" spans="2:17" x14ac:dyDescent="0.2">
      <c r="B528" s="176"/>
      <c r="C528" s="176"/>
      <c r="D528" s="176"/>
      <c r="E528" s="388"/>
      <c r="F528" s="176"/>
      <c r="G528" s="388"/>
      <c r="H528" s="176"/>
      <c r="I528" s="388"/>
      <c r="J528" s="176"/>
      <c r="K528" s="388"/>
      <c r="L528" s="176"/>
      <c r="M528" s="388"/>
      <c r="N528" s="176"/>
      <c r="O528" s="176"/>
      <c r="P528" s="176"/>
      <c r="Q528" s="176"/>
    </row>
    <row r="529" spans="2:17" x14ac:dyDescent="0.2">
      <c r="B529" s="176"/>
      <c r="C529" s="176"/>
      <c r="D529" s="176"/>
      <c r="E529" s="388"/>
      <c r="F529" s="176"/>
      <c r="G529" s="388"/>
      <c r="H529" s="176"/>
      <c r="I529" s="388"/>
      <c r="J529" s="176"/>
      <c r="K529" s="388"/>
      <c r="L529" s="176"/>
      <c r="M529" s="388"/>
      <c r="N529" s="176"/>
      <c r="O529" s="176"/>
      <c r="P529" s="176"/>
      <c r="Q529" s="176"/>
    </row>
    <row r="530" spans="2:17" x14ac:dyDescent="0.2">
      <c r="B530" s="176"/>
      <c r="C530" s="176"/>
      <c r="D530" s="176"/>
      <c r="E530" s="388"/>
      <c r="F530" s="176"/>
      <c r="G530" s="388"/>
      <c r="H530" s="176"/>
      <c r="I530" s="388"/>
      <c r="J530" s="176"/>
      <c r="K530" s="388"/>
      <c r="L530" s="176"/>
      <c r="M530" s="388"/>
      <c r="N530" s="176"/>
      <c r="O530" s="176"/>
      <c r="P530" s="176"/>
      <c r="Q530" s="176"/>
    </row>
    <row r="531" spans="2:17" x14ac:dyDescent="0.2">
      <c r="B531" s="176"/>
      <c r="C531" s="176"/>
      <c r="D531" s="176"/>
      <c r="E531" s="388"/>
      <c r="F531" s="176"/>
      <c r="G531" s="388"/>
      <c r="H531" s="176"/>
      <c r="I531" s="388"/>
      <c r="J531" s="176"/>
      <c r="K531" s="388"/>
      <c r="L531" s="176"/>
      <c r="M531" s="388"/>
      <c r="N531" s="176"/>
      <c r="O531" s="176"/>
      <c r="P531" s="176"/>
      <c r="Q531" s="176"/>
    </row>
    <row r="532" spans="2:17" x14ac:dyDescent="0.2">
      <c r="B532" s="176"/>
      <c r="C532" s="176"/>
      <c r="D532" s="176"/>
      <c r="E532" s="388"/>
      <c r="F532" s="176"/>
      <c r="G532" s="388"/>
      <c r="H532" s="176"/>
      <c r="I532" s="388"/>
      <c r="J532" s="176"/>
      <c r="K532" s="388"/>
      <c r="L532" s="176"/>
      <c r="M532" s="388"/>
      <c r="N532" s="176"/>
      <c r="O532" s="176"/>
      <c r="P532" s="176"/>
      <c r="Q532" s="176"/>
    </row>
    <row r="533" spans="2:17" x14ac:dyDescent="0.2">
      <c r="B533" s="176"/>
      <c r="C533" s="176"/>
      <c r="D533" s="176"/>
      <c r="E533" s="388"/>
      <c r="F533" s="176"/>
      <c r="G533" s="388"/>
      <c r="H533" s="176"/>
      <c r="I533" s="388"/>
      <c r="J533" s="176"/>
      <c r="K533" s="388"/>
      <c r="L533" s="176"/>
      <c r="M533" s="388"/>
      <c r="N533" s="176"/>
      <c r="O533" s="176"/>
      <c r="P533" s="176"/>
      <c r="Q533" s="176"/>
    </row>
    <row r="534" spans="2:17" x14ac:dyDescent="0.2">
      <c r="B534" s="176"/>
      <c r="C534" s="176"/>
      <c r="D534" s="176"/>
      <c r="E534" s="388"/>
      <c r="F534" s="176"/>
      <c r="G534" s="388"/>
      <c r="H534" s="176"/>
      <c r="I534" s="388"/>
      <c r="J534" s="176"/>
      <c r="K534" s="388"/>
      <c r="L534" s="176"/>
      <c r="M534" s="388"/>
      <c r="N534" s="176"/>
      <c r="O534" s="176"/>
      <c r="P534" s="176"/>
      <c r="Q534" s="176"/>
    </row>
    <row r="535" spans="2:17" x14ac:dyDescent="0.2">
      <c r="B535" s="176"/>
      <c r="C535" s="176"/>
      <c r="D535" s="176"/>
      <c r="E535" s="388"/>
      <c r="F535" s="176"/>
      <c r="G535" s="388"/>
      <c r="H535" s="176"/>
      <c r="I535" s="388"/>
      <c r="J535" s="176"/>
      <c r="K535" s="388"/>
      <c r="L535" s="176"/>
      <c r="M535" s="388"/>
      <c r="N535" s="176"/>
      <c r="O535" s="176"/>
      <c r="P535" s="176"/>
      <c r="Q535" s="176"/>
    </row>
    <row r="536" spans="2:17" x14ac:dyDescent="0.2">
      <c r="B536" s="176"/>
      <c r="C536" s="176"/>
      <c r="D536" s="176"/>
      <c r="E536" s="388"/>
      <c r="F536" s="176"/>
      <c r="G536" s="388"/>
      <c r="H536" s="176"/>
      <c r="I536" s="388"/>
      <c r="J536" s="176"/>
      <c r="K536" s="388"/>
      <c r="L536" s="176"/>
      <c r="M536" s="388"/>
      <c r="N536" s="176"/>
      <c r="O536" s="176"/>
      <c r="P536" s="176"/>
      <c r="Q536" s="176"/>
    </row>
    <row r="537" spans="2:17" x14ac:dyDescent="0.2">
      <c r="B537" s="176"/>
      <c r="C537" s="176"/>
      <c r="D537" s="176"/>
      <c r="E537" s="388"/>
      <c r="F537" s="176"/>
      <c r="G537" s="388"/>
      <c r="H537" s="176"/>
      <c r="I537" s="388"/>
      <c r="J537" s="176"/>
      <c r="K537" s="388"/>
      <c r="L537" s="176"/>
      <c r="M537" s="388"/>
      <c r="N537" s="176"/>
      <c r="O537" s="176"/>
      <c r="P537" s="176"/>
      <c r="Q537" s="176"/>
    </row>
    <row r="538" spans="2:17" x14ac:dyDescent="0.2">
      <c r="B538" s="176"/>
      <c r="C538" s="176"/>
      <c r="D538" s="176"/>
      <c r="E538" s="388"/>
      <c r="F538" s="176"/>
      <c r="G538" s="388"/>
      <c r="H538" s="176"/>
      <c r="I538" s="388"/>
      <c r="J538" s="176"/>
      <c r="K538" s="388"/>
      <c r="L538" s="176"/>
      <c r="M538" s="388"/>
      <c r="N538" s="176"/>
      <c r="O538" s="176"/>
      <c r="P538" s="176"/>
      <c r="Q538" s="176"/>
    </row>
    <row r="539" spans="2:17" x14ac:dyDescent="0.2">
      <c r="B539" s="176"/>
      <c r="C539" s="176"/>
      <c r="D539" s="176"/>
      <c r="E539" s="388"/>
      <c r="F539" s="176"/>
      <c r="G539" s="388"/>
      <c r="H539" s="176"/>
      <c r="I539" s="388"/>
      <c r="J539" s="176"/>
      <c r="K539" s="388"/>
      <c r="L539" s="176"/>
      <c r="M539" s="388"/>
      <c r="N539" s="176"/>
      <c r="O539" s="176"/>
      <c r="P539" s="176"/>
      <c r="Q539" s="176"/>
    </row>
    <row r="540" spans="2:17" x14ac:dyDescent="0.2">
      <c r="B540" s="176"/>
      <c r="C540" s="176"/>
      <c r="D540" s="176"/>
      <c r="E540" s="388"/>
      <c r="F540" s="176"/>
      <c r="G540" s="388"/>
      <c r="H540" s="176"/>
      <c r="I540" s="388"/>
      <c r="J540" s="176"/>
      <c r="K540" s="388"/>
      <c r="L540" s="176"/>
      <c r="M540" s="388"/>
      <c r="N540" s="176"/>
      <c r="O540" s="176"/>
      <c r="P540" s="176"/>
      <c r="Q540" s="176"/>
    </row>
    <row r="541" spans="2:17" x14ac:dyDescent="0.2">
      <c r="B541" s="176"/>
      <c r="C541" s="176"/>
      <c r="D541" s="176"/>
      <c r="E541" s="388"/>
      <c r="F541" s="176"/>
      <c r="G541" s="388"/>
      <c r="H541" s="176"/>
      <c r="I541" s="388"/>
      <c r="J541" s="176"/>
      <c r="K541" s="388"/>
      <c r="L541" s="176"/>
      <c r="M541" s="388"/>
      <c r="N541" s="176"/>
      <c r="O541" s="176"/>
      <c r="P541" s="176"/>
      <c r="Q541" s="176"/>
    </row>
    <row r="542" spans="2:17" x14ac:dyDescent="0.2">
      <c r="B542" s="176"/>
      <c r="C542" s="176"/>
      <c r="D542" s="176"/>
      <c r="E542" s="388"/>
      <c r="F542" s="176"/>
      <c r="G542" s="388"/>
      <c r="H542" s="176"/>
      <c r="I542" s="388"/>
      <c r="J542" s="176"/>
      <c r="K542" s="388"/>
      <c r="L542" s="176"/>
      <c r="M542" s="388"/>
      <c r="N542" s="176"/>
      <c r="O542" s="176"/>
      <c r="P542" s="176"/>
      <c r="Q542" s="176"/>
    </row>
    <row r="543" spans="2:17" x14ac:dyDescent="0.2">
      <c r="B543" s="176"/>
      <c r="C543" s="176"/>
      <c r="D543" s="176"/>
      <c r="E543" s="388"/>
      <c r="F543" s="176"/>
      <c r="G543" s="388"/>
      <c r="H543" s="176"/>
      <c r="I543" s="388"/>
      <c r="J543" s="176"/>
      <c r="K543" s="388"/>
      <c r="L543" s="176"/>
      <c r="M543" s="388"/>
      <c r="N543" s="176"/>
      <c r="O543" s="176"/>
      <c r="P543" s="176"/>
      <c r="Q543" s="176"/>
    </row>
    <row r="544" spans="2:17" x14ac:dyDescent="0.2">
      <c r="B544" s="176"/>
      <c r="C544" s="176"/>
      <c r="D544" s="176"/>
      <c r="E544" s="388"/>
      <c r="F544" s="176"/>
      <c r="G544" s="388"/>
      <c r="H544" s="176"/>
      <c r="I544" s="388"/>
      <c r="J544" s="176"/>
      <c r="K544" s="388"/>
      <c r="L544" s="176"/>
      <c r="M544" s="388"/>
      <c r="N544" s="176"/>
      <c r="O544" s="176"/>
      <c r="P544" s="176"/>
      <c r="Q544" s="176"/>
    </row>
    <row r="545" spans="2:17" x14ac:dyDescent="0.2">
      <c r="B545" s="176"/>
      <c r="C545" s="176"/>
      <c r="D545" s="176"/>
      <c r="E545" s="388"/>
      <c r="F545" s="176"/>
      <c r="G545" s="388"/>
      <c r="H545" s="176"/>
      <c r="I545" s="388"/>
      <c r="J545" s="176"/>
      <c r="K545" s="388"/>
      <c r="L545" s="176"/>
      <c r="M545" s="388"/>
      <c r="N545" s="176"/>
      <c r="O545" s="176"/>
      <c r="P545" s="176"/>
      <c r="Q545" s="176"/>
    </row>
    <row r="546" spans="2:17" x14ac:dyDescent="0.2">
      <c r="B546" s="176"/>
      <c r="C546" s="176"/>
      <c r="D546" s="176"/>
      <c r="E546" s="388"/>
      <c r="F546" s="176"/>
      <c r="G546" s="388"/>
      <c r="H546" s="176"/>
      <c r="I546" s="388"/>
      <c r="J546" s="176"/>
      <c r="K546" s="388"/>
      <c r="L546" s="176"/>
      <c r="M546" s="388"/>
      <c r="N546" s="176"/>
      <c r="O546" s="176"/>
      <c r="P546" s="176"/>
      <c r="Q546" s="176"/>
    </row>
    <row r="547" spans="2:17" x14ac:dyDescent="0.2">
      <c r="B547" s="176"/>
      <c r="C547" s="176"/>
      <c r="D547" s="176"/>
      <c r="E547" s="388"/>
      <c r="F547" s="176"/>
      <c r="G547" s="388"/>
      <c r="H547" s="176"/>
      <c r="I547" s="388"/>
      <c r="J547" s="176"/>
      <c r="K547" s="388"/>
      <c r="L547" s="176"/>
      <c r="M547" s="388"/>
      <c r="N547" s="176"/>
      <c r="O547" s="176"/>
      <c r="P547" s="176"/>
      <c r="Q547" s="176"/>
    </row>
    <row r="548" spans="2:17" x14ac:dyDescent="0.2">
      <c r="B548" s="176"/>
      <c r="C548" s="176"/>
      <c r="D548" s="176"/>
      <c r="E548" s="388"/>
      <c r="F548" s="176"/>
      <c r="G548" s="388"/>
      <c r="H548" s="176"/>
      <c r="I548" s="388"/>
      <c r="J548" s="176"/>
      <c r="K548" s="388"/>
      <c r="L548" s="176"/>
      <c r="M548" s="388"/>
      <c r="N548" s="176"/>
      <c r="O548" s="176"/>
      <c r="P548" s="176"/>
      <c r="Q548" s="176"/>
    </row>
    <row r="549" spans="2:17" x14ac:dyDescent="0.2">
      <c r="B549" s="176"/>
      <c r="C549" s="176"/>
      <c r="D549" s="176"/>
      <c r="E549" s="388"/>
      <c r="F549" s="176"/>
      <c r="G549" s="388"/>
      <c r="H549" s="176"/>
      <c r="I549" s="388"/>
      <c r="J549" s="176"/>
      <c r="K549" s="388"/>
      <c r="L549" s="176"/>
      <c r="M549" s="388"/>
      <c r="N549" s="176"/>
      <c r="O549" s="176"/>
      <c r="P549" s="176"/>
      <c r="Q549" s="176"/>
    </row>
    <row r="550" spans="2:17" x14ac:dyDescent="0.2">
      <c r="B550" s="176"/>
      <c r="C550" s="176"/>
      <c r="D550" s="176"/>
      <c r="E550" s="388"/>
      <c r="F550" s="176"/>
      <c r="G550" s="388"/>
      <c r="H550" s="176"/>
      <c r="I550" s="388"/>
      <c r="J550" s="176"/>
      <c r="K550" s="388"/>
      <c r="L550" s="176"/>
      <c r="M550" s="388"/>
      <c r="N550" s="176"/>
      <c r="O550" s="176"/>
      <c r="P550" s="176"/>
      <c r="Q550" s="176"/>
    </row>
    <row r="551" spans="2:17" x14ac:dyDescent="0.2">
      <c r="B551" s="176"/>
      <c r="C551" s="176"/>
      <c r="D551" s="176"/>
      <c r="E551" s="388"/>
      <c r="F551" s="176"/>
      <c r="G551" s="388"/>
      <c r="H551" s="176"/>
      <c r="I551" s="388"/>
      <c r="J551" s="176"/>
      <c r="K551" s="388"/>
      <c r="L551" s="176"/>
      <c r="M551" s="388"/>
      <c r="N551" s="176"/>
      <c r="O551" s="176"/>
      <c r="P551" s="176"/>
      <c r="Q551" s="176"/>
    </row>
    <row r="552" spans="2:17" x14ac:dyDescent="0.2">
      <c r="B552" s="176"/>
      <c r="C552" s="176"/>
      <c r="D552" s="176"/>
      <c r="E552" s="388"/>
      <c r="F552" s="176"/>
      <c r="G552" s="388"/>
      <c r="H552" s="176"/>
      <c r="I552" s="388"/>
      <c r="J552" s="176"/>
      <c r="K552" s="388"/>
      <c r="L552" s="176"/>
      <c r="M552" s="388"/>
      <c r="N552" s="176"/>
      <c r="O552" s="176"/>
      <c r="P552" s="176"/>
      <c r="Q552" s="176"/>
    </row>
    <row r="553" spans="2:17" x14ac:dyDescent="0.2">
      <c r="B553" s="176"/>
      <c r="C553" s="176"/>
      <c r="D553" s="176"/>
      <c r="E553" s="388"/>
      <c r="F553" s="176"/>
      <c r="G553" s="388"/>
      <c r="H553" s="176"/>
      <c r="I553" s="388"/>
      <c r="J553" s="176"/>
      <c r="K553" s="388"/>
      <c r="L553" s="176"/>
      <c r="M553" s="388"/>
      <c r="N553" s="176"/>
      <c r="O553" s="176"/>
      <c r="P553" s="176"/>
      <c r="Q553" s="176"/>
    </row>
    <row r="554" spans="2:17" x14ac:dyDescent="0.2">
      <c r="B554" s="176"/>
      <c r="C554" s="176"/>
      <c r="D554" s="176"/>
      <c r="E554" s="388"/>
      <c r="F554" s="176"/>
      <c r="G554" s="388"/>
      <c r="H554" s="176"/>
      <c r="I554" s="388"/>
      <c r="J554" s="176"/>
      <c r="K554" s="388"/>
      <c r="L554" s="176"/>
      <c r="M554" s="388"/>
      <c r="N554" s="176"/>
      <c r="O554" s="176"/>
      <c r="P554" s="176"/>
      <c r="Q554" s="176"/>
    </row>
    <row r="555" spans="2:17" x14ac:dyDescent="0.2">
      <c r="B555" s="176"/>
      <c r="C555" s="176"/>
      <c r="D555" s="176"/>
      <c r="E555" s="388"/>
      <c r="F555" s="176"/>
      <c r="G555" s="388"/>
      <c r="H555" s="176"/>
      <c r="I555" s="388"/>
      <c r="J555" s="176"/>
      <c r="K555" s="388"/>
      <c r="L555" s="176"/>
      <c r="M555" s="388"/>
      <c r="N555" s="176"/>
      <c r="O555" s="176"/>
      <c r="P555" s="176"/>
      <c r="Q555" s="176"/>
    </row>
    <row r="556" spans="2:17" x14ac:dyDescent="0.2">
      <c r="B556" s="176"/>
      <c r="C556" s="176"/>
      <c r="D556" s="176"/>
      <c r="E556" s="388"/>
      <c r="F556" s="176"/>
      <c r="G556" s="388"/>
      <c r="H556" s="176"/>
      <c r="I556" s="388"/>
      <c r="J556" s="176"/>
      <c r="K556" s="388"/>
      <c r="L556" s="176"/>
      <c r="M556" s="388"/>
      <c r="N556" s="176"/>
      <c r="O556" s="176"/>
      <c r="P556" s="176"/>
      <c r="Q556" s="176"/>
    </row>
    <row r="557" spans="2:17" x14ac:dyDescent="0.2">
      <c r="B557" s="176"/>
      <c r="C557" s="176"/>
      <c r="D557" s="176"/>
      <c r="E557" s="388"/>
      <c r="F557" s="176"/>
      <c r="G557" s="388"/>
      <c r="H557" s="176"/>
      <c r="I557" s="388"/>
      <c r="J557" s="176"/>
      <c r="K557" s="388"/>
      <c r="L557" s="176"/>
      <c r="M557" s="388"/>
      <c r="N557" s="176"/>
      <c r="O557" s="176"/>
      <c r="P557" s="176"/>
      <c r="Q557" s="176"/>
    </row>
    <row r="558" spans="2:17" x14ac:dyDescent="0.2">
      <c r="B558" s="176"/>
      <c r="C558" s="176"/>
      <c r="D558" s="176"/>
      <c r="E558" s="388"/>
      <c r="F558" s="176"/>
      <c r="G558" s="388"/>
      <c r="H558" s="176"/>
      <c r="I558" s="388"/>
      <c r="J558" s="176"/>
      <c r="K558" s="388"/>
      <c r="L558" s="176"/>
      <c r="M558" s="388"/>
      <c r="N558" s="176"/>
      <c r="O558" s="176"/>
      <c r="P558" s="176"/>
      <c r="Q558" s="176"/>
    </row>
    <row r="559" spans="2:17" x14ac:dyDescent="0.2">
      <c r="B559" s="176"/>
      <c r="C559" s="176"/>
      <c r="D559" s="176"/>
      <c r="E559" s="388"/>
      <c r="F559" s="176"/>
      <c r="G559" s="388"/>
      <c r="H559" s="176"/>
      <c r="I559" s="388"/>
      <c r="J559" s="176"/>
      <c r="K559" s="388"/>
      <c r="L559" s="176"/>
      <c r="M559" s="388"/>
      <c r="N559" s="176"/>
      <c r="O559" s="176"/>
      <c r="P559" s="176"/>
      <c r="Q559" s="176"/>
    </row>
    <row r="560" spans="2:17" x14ac:dyDescent="0.2">
      <c r="B560" s="176"/>
      <c r="C560" s="176"/>
      <c r="D560" s="176"/>
      <c r="E560" s="388"/>
      <c r="F560" s="176"/>
      <c r="G560" s="388"/>
      <c r="H560" s="176"/>
      <c r="I560" s="388"/>
      <c r="J560" s="176"/>
      <c r="K560" s="388"/>
      <c r="L560" s="176"/>
      <c r="M560" s="388"/>
      <c r="N560" s="176"/>
      <c r="O560" s="176"/>
      <c r="P560" s="176"/>
      <c r="Q560" s="176"/>
    </row>
    <row r="561" spans="2:17" x14ac:dyDescent="0.2">
      <c r="B561" s="176"/>
      <c r="C561" s="176"/>
      <c r="D561" s="176"/>
      <c r="E561" s="388"/>
      <c r="F561" s="176"/>
      <c r="G561" s="388"/>
      <c r="H561" s="176"/>
      <c r="I561" s="388"/>
      <c r="J561" s="176"/>
      <c r="K561" s="388"/>
      <c r="L561" s="176"/>
      <c r="M561" s="388"/>
      <c r="N561" s="176"/>
      <c r="O561" s="176"/>
      <c r="P561" s="176"/>
      <c r="Q561" s="176"/>
    </row>
    <row r="562" spans="2:17" x14ac:dyDescent="0.2">
      <c r="B562" s="176"/>
      <c r="C562" s="176"/>
      <c r="D562" s="176"/>
      <c r="E562" s="388"/>
      <c r="F562" s="176"/>
      <c r="G562" s="388"/>
      <c r="H562" s="176"/>
      <c r="I562" s="388"/>
      <c r="J562" s="176"/>
      <c r="K562" s="388"/>
      <c r="L562" s="176"/>
      <c r="M562" s="388"/>
      <c r="N562" s="176"/>
      <c r="O562" s="176"/>
      <c r="P562" s="176"/>
      <c r="Q562" s="176"/>
    </row>
    <row r="563" spans="2:17" x14ac:dyDescent="0.2">
      <c r="B563" s="176"/>
      <c r="C563" s="176"/>
      <c r="D563" s="176"/>
      <c r="E563" s="388"/>
      <c r="F563" s="176"/>
      <c r="G563" s="388"/>
      <c r="H563" s="176"/>
      <c r="I563" s="388"/>
      <c r="J563" s="176"/>
      <c r="K563" s="388"/>
      <c r="L563" s="176"/>
      <c r="M563" s="388"/>
      <c r="N563" s="176"/>
      <c r="O563" s="176"/>
      <c r="P563" s="176"/>
      <c r="Q563" s="176"/>
    </row>
    <row r="564" spans="2:17" x14ac:dyDescent="0.2">
      <c r="B564" s="176"/>
      <c r="C564" s="176"/>
      <c r="D564" s="176"/>
      <c r="E564" s="388"/>
      <c r="F564" s="176"/>
      <c r="G564" s="388"/>
      <c r="H564" s="176"/>
      <c r="I564" s="388"/>
      <c r="J564" s="176"/>
      <c r="K564" s="388"/>
      <c r="L564" s="176"/>
      <c r="M564" s="388"/>
      <c r="N564" s="176"/>
      <c r="O564" s="176"/>
      <c r="P564" s="176"/>
      <c r="Q564" s="176"/>
    </row>
    <row r="565" spans="2:17" x14ac:dyDescent="0.2">
      <c r="B565" s="176"/>
      <c r="C565" s="176"/>
      <c r="D565" s="176"/>
      <c r="E565" s="388"/>
      <c r="F565" s="176"/>
      <c r="G565" s="388"/>
      <c r="H565" s="176"/>
      <c r="I565" s="388"/>
      <c r="J565" s="176"/>
      <c r="K565" s="388"/>
      <c r="L565" s="176"/>
      <c r="M565" s="388"/>
      <c r="N565" s="176"/>
      <c r="O565" s="176"/>
      <c r="P565" s="176"/>
      <c r="Q565" s="176"/>
    </row>
    <row r="566" spans="2:17" x14ac:dyDescent="0.2">
      <c r="B566" s="176"/>
      <c r="C566" s="176"/>
      <c r="D566" s="176"/>
      <c r="E566" s="388"/>
      <c r="F566" s="176"/>
      <c r="G566" s="388"/>
      <c r="H566" s="176"/>
      <c r="I566" s="388"/>
      <c r="J566" s="176"/>
      <c r="K566" s="388"/>
      <c r="L566" s="176"/>
      <c r="M566" s="388"/>
      <c r="N566" s="176"/>
      <c r="O566" s="176"/>
      <c r="P566" s="176"/>
      <c r="Q566" s="176"/>
    </row>
    <row r="567" spans="2:17" x14ac:dyDescent="0.2">
      <c r="B567" s="176"/>
      <c r="C567" s="176"/>
      <c r="D567" s="176"/>
      <c r="E567" s="388"/>
      <c r="F567" s="176"/>
      <c r="G567" s="388"/>
      <c r="H567" s="176"/>
      <c r="I567" s="388"/>
      <c r="J567" s="176"/>
      <c r="K567" s="388"/>
      <c r="L567" s="176"/>
      <c r="M567" s="388"/>
      <c r="N567" s="176"/>
      <c r="O567" s="176"/>
      <c r="P567" s="176"/>
      <c r="Q567" s="176"/>
    </row>
    <row r="568" spans="2:17" x14ac:dyDescent="0.2">
      <c r="B568" s="176"/>
      <c r="C568" s="176"/>
      <c r="D568" s="176"/>
      <c r="E568" s="388"/>
      <c r="F568" s="176"/>
      <c r="G568" s="388"/>
      <c r="H568" s="176"/>
      <c r="I568" s="388"/>
      <c r="J568" s="176"/>
      <c r="K568" s="388"/>
      <c r="L568" s="176"/>
      <c r="M568" s="388"/>
      <c r="N568" s="176"/>
      <c r="O568" s="176"/>
      <c r="P568" s="176"/>
      <c r="Q568" s="176"/>
    </row>
    <row r="569" spans="2:17" x14ac:dyDescent="0.2">
      <c r="B569" s="176"/>
      <c r="C569" s="176"/>
      <c r="D569" s="176"/>
      <c r="E569" s="388"/>
      <c r="F569" s="176"/>
      <c r="G569" s="388"/>
      <c r="H569" s="176"/>
      <c r="I569" s="388"/>
      <c r="J569" s="176"/>
      <c r="K569" s="388"/>
      <c r="L569" s="176"/>
      <c r="M569" s="388"/>
      <c r="N569" s="176"/>
      <c r="O569" s="176"/>
      <c r="P569" s="176"/>
      <c r="Q569" s="176"/>
    </row>
    <row r="570" spans="2:17" x14ac:dyDescent="0.2">
      <c r="B570" s="176"/>
      <c r="C570" s="176"/>
      <c r="D570" s="176"/>
      <c r="E570" s="388"/>
      <c r="F570" s="176"/>
      <c r="G570" s="388"/>
      <c r="H570" s="176"/>
      <c r="I570" s="388"/>
      <c r="J570" s="176"/>
      <c r="K570" s="388"/>
      <c r="L570" s="176"/>
      <c r="M570" s="388"/>
      <c r="N570" s="176"/>
      <c r="O570" s="176"/>
      <c r="P570" s="176"/>
      <c r="Q570" s="176"/>
    </row>
    <row r="571" spans="2:17" x14ac:dyDescent="0.2">
      <c r="B571" s="176"/>
      <c r="C571" s="176"/>
      <c r="D571" s="176"/>
      <c r="E571" s="388"/>
      <c r="F571" s="176"/>
      <c r="G571" s="388"/>
      <c r="H571" s="176"/>
      <c r="I571" s="388"/>
      <c r="J571" s="176"/>
      <c r="K571" s="388"/>
      <c r="L571" s="176"/>
      <c r="M571" s="388"/>
      <c r="N571" s="176"/>
      <c r="O571" s="176"/>
      <c r="P571" s="176"/>
      <c r="Q571" s="176"/>
    </row>
    <row r="572" spans="2:17" x14ac:dyDescent="0.2">
      <c r="B572" s="176"/>
      <c r="C572" s="176"/>
      <c r="D572" s="176"/>
      <c r="E572" s="388"/>
      <c r="F572" s="176"/>
      <c r="G572" s="388"/>
      <c r="H572" s="176"/>
      <c r="I572" s="388"/>
      <c r="J572" s="176"/>
      <c r="K572" s="388"/>
      <c r="L572" s="176"/>
      <c r="M572" s="388"/>
      <c r="N572" s="176"/>
      <c r="O572" s="176"/>
      <c r="P572" s="176"/>
      <c r="Q572" s="176"/>
    </row>
    <row r="573" spans="2:17" x14ac:dyDescent="0.2">
      <c r="B573" s="176"/>
      <c r="C573" s="176"/>
      <c r="D573" s="176"/>
      <c r="E573" s="388"/>
      <c r="F573" s="176"/>
      <c r="G573" s="388"/>
      <c r="H573" s="176"/>
      <c r="I573" s="388"/>
      <c r="J573" s="176"/>
      <c r="K573" s="388"/>
      <c r="L573" s="176"/>
      <c r="M573" s="388"/>
      <c r="N573" s="176"/>
      <c r="O573" s="176"/>
      <c r="P573" s="176"/>
      <c r="Q573" s="176"/>
    </row>
    <row r="574" spans="2:17" x14ac:dyDescent="0.2">
      <c r="B574" s="176"/>
      <c r="C574" s="176"/>
      <c r="D574" s="176"/>
      <c r="E574" s="388"/>
      <c r="F574" s="176"/>
      <c r="G574" s="388"/>
      <c r="H574" s="176"/>
      <c r="I574" s="388"/>
      <c r="J574" s="176"/>
      <c r="K574" s="388"/>
      <c r="L574" s="176"/>
      <c r="M574" s="388"/>
      <c r="N574" s="176"/>
      <c r="O574" s="176"/>
      <c r="P574" s="176"/>
      <c r="Q574" s="176"/>
    </row>
    <row r="575" spans="2:17" x14ac:dyDescent="0.2">
      <c r="B575" s="176"/>
      <c r="C575" s="176"/>
      <c r="D575" s="176"/>
      <c r="E575" s="388"/>
      <c r="F575" s="176"/>
      <c r="G575" s="388"/>
      <c r="H575" s="176"/>
      <c r="I575" s="388"/>
      <c r="J575" s="176"/>
      <c r="K575" s="388"/>
      <c r="L575" s="176"/>
      <c r="M575" s="388"/>
      <c r="N575" s="176"/>
      <c r="O575" s="176"/>
      <c r="P575" s="176"/>
      <c r="Q575" s="176"/>
    </row>
  </sheetData>
  <sheetProtection algorithmName="SHA-512" hashValue="pNBhJdnz65PN+pOjascCgQpQ1HLlJqQj1d7TA5YoScrty2E47gJReHd2E6dBt+On0DSbIvVrgEnvUJfgGKrN2w==" saltValue="oGxNXK3lARJWcFuHZNSqmw==" spinCount="100000" sheet="1" objects="1" scenarios="1"/>
  <mergeCells count="209">
    <mergeCell ref="B189:C189"/>
    <mergeCell ref="B190:C190"/>
    <mergeCell ref="B191:C191"/>
    <mergeCell ref="B192:C192"/>
    <mergeCell ref="B193:C193"/>
    <mergeCell ref="B194:C194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8:C138"/>
    <mergeCell ref="B139:C139"/>
    <mergeCell ref="B140:C140"/>
    <mergeCell ref="B129:C129"/>
    <mergeCell ref="B130:C130"/>
    <mergeCell ref="B118:C118"/>
    <mergeCell ref="B186:C186"/>
    <mergeCell ref="B187:C187"/>
    <mergeCell ref="B188:C188"/>
    <mergeCell ref="L25:M25"/>
    <mergeCell ref="L26:M26"/>
    <mergeCell ref="C19:D19"/>
    <mergeCell ref="C20:D20"/>
    <mergeCell ref="C21:D21"/>
    <mergeCell ref="C22:D22"/>
    <mergeCell ref="C23:D23"/>
    <mergeCell ref="C24:D24"/>
    <mergeCell ref="C25:D25"/>
    <mergeCell ref="C26:D26"/>
    <mergeCell ref="I25:J25"/>
    <mergeCell ref="F24:G24"/>
    <mergeCell ref="F25:G25"/>
    <mergeCell ref="L19:M19"/>
    <mergeCell ref="L20:M20"/>
    <mergeCell ref="L21:M21"/>
    <mergeCell ref="F21:G21"/>
    <mergeCell ref="F22:G22"/>
    <mergeCell ref="F23:G23"/>
    <mergeCell ref="L22:M22"/>
    <mergeCell ref="L23:M23"/>
    <mergeCell ref="L24:M24"/>
    <mergeCell ref="B36:D36"/>
    <mergeCell ref="B37:D37"/>
    <mergeCell ref="F18:G18"/>
    <mergeCell ref="I19:J19"/>
    <mergeCell ref="I20:J20"/>
    <mergeCell ref="F20:G20"/>
    <mergeCell ref="I22:J22"/>
    <mergeCell ref="I21:J21"/>
    <mergeCell ref="I23:J23"/>
    <mergeCell ref="I24:J24"/>
    <mergeCell ref="B31:D31"/>
    <mergeCell ref="B32:D32"/>
    <mergeCell ref="C5:D5"/>
    <mergeCell ref="C6:D6"/>
    <mergeCell ref="C8:D8"/>
    <mergeCell ref="C9:D9"/>
    <mergeCell ref="C10:D10"/>
    <mergeCell ref="C7:D7"/>
    <mergeCell ref="C11:D11"/>
    <mergeCell ref="C12:D12"/>
    <mergeCell ref="F19:G19"/>
    <mergeCell ref="C18:D18"/>
    <mergeCell ref="C13:D13"/>
    <mergeCell ref="L18:M18"/>
    <mergeCell ref="I18:J18"/>
    <mergeCell ref="C431:D431"/>
    <mergeCell ref="C419:D419"/>
    <mergeCell ref="C420:D420"/>
    <mergeCell ref="C425:D425"/>
    <mergeCell ref="C427:D427"/>
    <mergeCell ref="C428:D428"/>
    <mergeCell ref="C429:D429"/>
    <mergeCell ref="C426:D426"/>
    <mergeCell ref="C430:D430"/>
    <mergeCell ref="C413:D413"/>
    <mergeCell ref="C414:D414"/>
    <mergeCell ref="C415:D415"/>
    <mergeCell ref="C387:D387"/>
    <mergeCell ref="C424:D424"/>
    <mergeCell ref="C409:D409"/>
    <mergeCell ref="C416:D416"/>
    <mergeCell ref="C417:D417"/>
    <mergeCell ref="C418:D418"/>
    <mergeCell ref="C404:D404"/>
    <mergeCell ref="C405:D405"/>
    <mergeCell ref="C406:D406"/>
    <mergeCell ref="C407:D407"/>
    <mergeCell ref="C408:D408"/>
    <mergeCell ref="C396:D396"/>
    <mergeCell ref="C397:D397"/>
    <mergeCell ref="C395:D395"/>
    <mergeCell ref="O347:T347"/>
    <mergeCell ref="K347:N347"/>
    <mergeCell ref="F26:G26"/>
    <mergeCell ref="C403:D403"/>
    <mergeCell ref="C366:D366"/>
    <mergeCell ref="C398:D398"/>
    <mergeCell ref="B42:D42"/>
    <mergeCell ref="B55:D55"/>
    <mergeCell ref="E366:F366"/>
    <mergeCell ref="I26:J26"/>
    <mergeCell ref="F347:G347"/>
    <mergeCell ref="C402:D402"/>
    <mergeCell ref="C391:D391"/>
    <mergeCell ref="C392:D392"/>
    <mergeCell ref="C385:D385"/>
    <mergeCell ref="C386:D386"/>
    <mergeCell ref="C50:D50"/>
    <mergeCell ref="C51:D51"/>
    <mergeCell ref="C52:D52"/>
    <mergeCell ref="C393:D393"/>
    <mergeCell ref="C394:D394"/>
    <mergeCell ref="C382:D382"/>
    <mergeCell ref="C383:D383"/>
    <mergeCell ref="C384:D384"/>
    <mergeCell ref="C43:D43"/>
    <mergeCell ref="C44:D44"/>
    <mergeCell ref="C45:D45"/>
    <mergeCell ref="C46:D46"/>
    <mergeCell ref="C47:D47"/>
    <mergeCell ref="C48:D48"/>
    <mergeCell ref="C49:D49"/>
    <mergeCell ref="C381:D381"/>
    <mergeCell ref="C380:D380"/>
    <mergeCell ref="B65:J65"/>
    <mergeCell ref="H347:J347"/>
    <mergeCell ref="C53:D53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41:C141"/>
    <mergeCell ref="B142:C142"/>
    <mergeCell ref="B144:C144"/>
    <mergeCell ref="B104:C104"/>
    <mergeCell ref="B122:C122"/>
    <mergeCell ref="B123:C123"/>
    <mergeCell ref="B124:C124"/>
    <mergeCell ref="B125:C125"/>
    <mergeCell ref="B126:C126"/>
    <mergeCell ref="B127:C127"/>
    <mergeCell ref="B128:C128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34:C134"/>
    <mergeCell ref="B135:C135"/>
    <mergeCell ref="B136:C136"/>
    <mergeCell ref="B137:C137"/>
    <mergeCell ref="B166:C166"/>
    <mergeCell ref="B167:C167"/>
    <mergeCell ref="B168:C168"/>
    <mergeCell ref="B170:C170"/>
    <mergeCell ref="B148:C148"/>
    <mergeCell ref="B149:C149"/>
    <mergeCell ref="B150:C150"/>
    <mergeCell ref="B151:C151"/>
    <mergeCell ref="B152:C152"/>
    <mergeCell ref="B153:C153"/>
    <mergeCell ref="B154:C154"/>
    <mergeCell ref="B196:C196"/>
    <mergeCell ref="B185:C185"/>
    <mergeCell ref="B159:C159"/>
    <mergeCell ref="B133:C133"/>
    <mergeCell ref="B107:C107"/>
    <mergeCell ref="B81:C81"/>
    <mergeCell ref="B92:C92"/>
    <mergeCell ref="B181:C181"/>
    <mergeCell ref="B182:C182"/>
    <mergeCell ref="B155:C155"/>
    <mergeCell ref="B156:C156"/>
    <mergeCell ref="B174:C174"/>
    <mergeCell ref="B175:C175"/>
    <mergeCell ref="B176:C176"/>
    <mergeCell ref="B177:C177"/>
    <mergeCell ref="B178:C178"/>
    <mergeCell ref="B179:C179"/>
    <mergeCell ref="B180:C180"/>
    <mergeCell ref="B160:C160"/>
    <mergeCell ref="B161:C161"/>
    <mergeCell ref="B162:C162"/>
    <mergeCell ref="B163:C163"/>
    <mergeCell ref="B164:C164"/>
    <mergeCell ref="B165:C165"/>
  </mergeCells>
  <phoneticPr fontId="0" type="noConversion"/>
  <conditionalFormatting sqref="S19:S26 S6:S12">
    <cfRule type="notContainsBlanks" dxfId="562" priority="604" stopIfTrue="1">
      <formula>LEN(TRIM(S6))&gt;0</formula>
    </cfRule>
  </conditionalFormatting>
  <conditionalFormatting sqref="E19:E26">
    <cfRule type="notContainsBlanks" dxfId="561" priority="603" stopIfTrue="1">
      <formula>LEN(TRIM(E19))&gt;0</formula>
    </cfRule>
  </conditionalFormatting>
  <conditionalFormatting sqref="CV6:CV12">
    <cfRule type="expression" dxfId="560" priority="583" stopIfTrue="1">
      <formula>IF(OR(LEFT(CV6,15)="Investitionsgut",CV6=""),0,1)=1</formula>
    </cfRule>
  </conditionalFormatting>
  <conditionalFormatting sqref="CV19:CV26">
    <cfRule type="expression" dxfId="559" priority="582" stopIfTrue="1">
      <formula>IF(OR(LEFT(CV19,12)="Sammelposten",CV19=""),0,1)=1</formula>
    </cfRule>
  </conditionalFormatting>
  <conditionalFormatting sqref="CW43:CW49">
    <cfRule type="expression" dxfId="558" priority="581" stopIfTrue="1">
      <formula>IF(OR(LEFT(CW43,15)="Investitionsgut",CW43=""),0,1)=1</formula>
    </cfRule>
  </conditionalFormatting>
  <conditionalFormatting sqref="CW6:CW12">
    <cfRule type="expression" dxfId="557" priority="580" stopIfTrue="1">
      <formula>IF(OR(LEFT(CW6,15)="Investitionsgut",CW6=""),0,1)=1</formula>
    </cfRule>
  </conditionalFormatting>
  <conditionalFormatting sqref="F19:F26">
    <cfRule type="expression" dxfId="556" priority="544" stopIfTrue="1">
      <formula>IF(OR(LEFT(F19,2="Sa"),LEFT(F19,2="Co"),F19=""),0,1)=1</formula>
    </cfRule>
  </conditionalFormatting>
  <conditionalFormatting sqref="I19:I26">
    <cfRule type="expression" dxfId="555" priority="542" stopIfTrue="1">
      <formula>IF(OR(LEFT(I19,2="Sa"),LEFT(I19,2="Co"),I19=""),0,1)=1</formula>
    </cfRule>
  </conditionalFormatting>
  <conditionalFormatting sqref="G54:I54">
    <cfRule type="cellIs" dxfId="554" priority="355" stopIfTrue="1" operator="greaterThan">
      <formula>0</formula>
    </cfRule>
  </conditionalFormatting>
  <conditionalFormatting sqref="E6:E12">
    <cfRule type="cellIs" dxfId="553" priority="347" stopIfTrue="1" operator="greaterThan">
      <formula>0</formula>
    </cfRule>
  </conditionalFormatting>
  <conditionalFormatting sqref="H19:H26">
    <cfRule type="cellIs" dxfId="552" priority="139" stopIfTrue="1" operator="greaterThan">
      <formula>0</formula>
    </cfRule>
  </conditionalFormatting>
  <conditionalFormatting sqref="K19:K26">
    <cfRule type="cellIs" dxfId="551" priority="136" stopIfTrue="1" operator="greaterThan">
      <formula>0</formula>
    </cfRule>
  </conditionalFormatting>
  <conditionalFormatting sqref="N19:N26">
    <cfRule type="cellIs" dxfId="550" priority="133" stopIfTrue="1" operator="greaterThan">
      <formula>0</formula>
    </cfRule>
  </conditionalFormatting>
  <conditionalFormatting sqref="F6:F12">
    <cfRule type="expression" dxfId="549" priority="79" stopIfTrue="1">
      <formula>IF(AND(E6&gt;0,F6=0),1,0)</formula>
    </cfRule>
    <cfRule type="expression" dxfId="548" priority="83" stopIfTrue="1">
      <formula>IF(AND(E6=0,F6&gt;0),1,0)=1</formula>
    </cfRule>
    <cfRule type="cellIs" dxfId="547" priority="85" stopIfTrue="1" operator="greaterThan">
      <formula>0</formula>
    </cfRule>
  </conditionalFormatting>
  <conditionalFormatting sqref="G6:G12">
    <cfRule type="expression" dxfId="546" priority="278" stopIfTrue="1">
      <formula>IF(AND(E6&gt;0,G6&gt;0),1,0)=1</formula>
    </cfRule>
    <cfRule type="expression" dxfId="545" priority="279" stopIfTrue="1">
      <formula>IF(AND(E6=0,G6&gt;0),1,0)=1</formula>
    </cfRule>
  </conditionalFormatting>
  <conditionalFormatting sqref="I6:I12">
    <cfRule type="expression" dxfId="544" priority="272" stopIfTrue="1">
      <formula>IF(AND(AND(E6=0,G6=0),I6&gt;0),1,0)=1</formula>
    </cfRule>
    <cfRule type="expression" dxfId="543" priority="273" stopIfTrue="1">
      <formula>IF(AND(OR(E6&gt;0,G6&gt;0),I6&gt;0),1,0)=1</formula>
    </cfRule>
  </conditionalFormatting>
  <conditionalFormatting sqref="K6:K12">
    <cfRule type="expression" dxfId="542" priority="267" stopIfTrue="1">
      <formula>IF(AND(AND(E6=0,G6=0,I6=0),K6&gt;0),1,0)=1</formula>
    </cfRule>
    <cfRule type="expression" dxfId="541" priority="268" stopIfTrue="1">
      <formula>IF(AND(OR(E6&gt;0,G6&gt;0,I6&gt;0),K6&gt;0),1,0)=1</formula>
    </cfRule>
  </conditionalFormatting>
  <conditionalFormatting sqref="M6:M12">
    <cfRule type="expression" dxfId="540" priority="265" stopIfTrue="1">
      <formula>IF(AND(E6=0,G6=0,I6=0,K6=0,M6&gt;0),1,0)=1</formula>
    </cfRule>
    <cfRule type="expression" dxfId="539" priority="266" stopIfTrue="1">
      <formula>IF(AND(OR(E6&gt;0,G6&gt;0,I6&gt;0,K6&gt;0),M6&gt;0),1,0)=1</formula>
    </cfRule>
  </conditionalFormatting>
  <conditionalFormatting sqref="P6:P12">
    <cfRule type="expression" dxfId="538" priority="156" stopIfTrue="1">
      <formula>IF(AND(P6=0,OR(E6&gt;0,G6&gt;0,I6&gt;0,K6&gt;0,M6&gt;0)),1,0)=1</formula>
    </cfRule>
    <cfRule type="expression" dxfId="537" priority="157" stopIfTrue="1">
      <formula>IF(AND(OR(P6&gt;0,P6="x"),E6=0,G6=0,I6=0,K6=0,M6=0),1,0)=1</formula>
    </cfRule>
    <cfRule type="expression" dxfId="536" priority="158" stopIfTrue="1">
      <formula>IF(AND(OR(P6&gt;1,P6="x"),OR(E6&gt;0,G6&gt;0,I6&gt;0,K6&gt;0,M6&gt;0)),1,0)=1</formula>
    </cfRule>
  </conditionalFormatting>
  <conditionalFormatting sqref="N6:N12">
    <cfRule type="expression" dxfId="535" priority="261" stopIfTrue="1">
      <formula>IF(AND(E6=0,G6=0,I6=0,K6=0,M6&gt;0,N6&gt;0),1,0)=1</formula>
    </cfRule>
    <cfRule type="expression" dxfId="534" priority="262" stopIfTrue="1">
      <formula>IF(AND(OR(E6&gt;0,G6&gt;0,I6&gt;0,K6&gt;0),M6&gt;0),1,0)=1</formula>
    </cfRule>
    <cfRule type="expression" dxfId="533" priority="263" stopIfTrue="1">
      <formula>IF(AND(AND(E6=0,G6=0,I6=0,K6=0),M6&gt;0,N6=0),1,0)=1</formula>
    </cfRule>
  </conditionalFormatting>
  <conditionalFormatting sqref="L19:L26">
    <cfRule type="expression" dxfId="532" priority="76" stopIfTrue="1">
      <formula>IF(OR(LEFT(L19,2="Sa"),LEFT(L19,2="Co"),L19=""),0,1)=1</formula>
    </cfRule>
  </conditionalFormatting>
  <conditionalFormatting sqref="C6:C7">
    <cfRule type="expression" dxfId="531" priority="73" stopIfTrue="1">
      <formula>IF(OR(LEFT(C6,2="Sa"),LEFT(C6,2="Co"),C6=""),0,1)=1</formula>
    </cfRule>
  </conditionalFormatting>
  <conditionalFormatting sqref="C8">
    <cfRule type="expression" dxfId="530" priority="72" stopIfTrue="1">
      <formula>IF(OR(LEFT(C8,2="Sa"),LEFT(C8,2="Co"),C8=""),0,1)=1</formula>
    </cfRule>
  </conditionalFormatting>
  <conditionalFormatting sqref="C9">
    <cfRule type="expression" dxfId="529" priority="71" stopIfTrue="1">
      <formula>IF(OR(LEFT(C9,2="Sa"),LEFT(C9,2="Co"),C9=""),0,1)=1</formula>
    </cfRule>
  </conditionalFormatting>
  <conditionalFormatting sqref="C10">
    <cfRule type="expression" dxfId="528" priority="70" stopIfTrue="1">
      <formula>IF(OR(LEFT(C10,2="Sa"),LEFT(C10,2="Co"),C10=""),0,1)=1</formula>
    </cfRule>
  </conditionalFormatting>
  <conditionalFormatting sqref="C11">
    <cfRule type="expression" dxfId="527" priority="69" stopIfTrue="1">
      <formula>IF(OR(LEFT(C11,2="Sa"),LEFT(C11,2="Co"),C11=""),0,1)=1</formula>
    </cfRule>
  </conditionalFormatting>
  <conditionalFormatting sqref="C12">
    <cfRule type="expression" dxfId="526" priority="68" stopIfTrue="1">
      <formula>IF(OR(LEFT(C12,2="Sa"),LEFT(C12,2="Co"),C12=""),0,1)=1</formula>
    </cfRule>
  </conditionalFormatting>
  <conditionalFormatting sqref="B71:B77">
    <cfRule type="expression" dxfId="525" priority="63" stopIfTrue="1">
      <formula>IF(OR(LEFT(B71,2="Sa"),LEFT(B71,2="Co"),B71=""),0,1)=1</formula>
    </cfRule>
  </conditionalFormatting>
  <conditionalFormatting sqref="B187:B193">
    <cfRule type="expression" dxfId="524" priority="28" stopIfTrue="1">
      <formula>IF(OR(LEFT(B187,2="Sa"),LEFT(B187,2="Co"),B187=""),0,1)=1</formula>
    </cfRule>
  </conditionalFormatting>
  <conditionalFormatting sqref="H6:H12">
    <cfRule type="expression" dxfId="523" priority="25" stopIfTrue="1">
      <formula>IF(AND(G6&gt;0,H6=0),1,0)</formula>
    </cfRule>
    <cfRule type="expression" dxfId="522" priority="26" stopIfTrue="1">
      <formula>IF(AND(G6=0,H6&gt;0),1,0)=1</formula>
    </cfRule>
    <cfRule type="cellIs" dxfId="521" priority="27" stopIfTrue="1" operator="greaterThan">
      <formula>0</formula>
    </cfRule>
  </conditionalFormatting>
  <conditionalFormatting sqref="L6:L12">
    <cfRule type="expression" dxfId="520" priority="22" stopIfTrue="1">
      <formula>IF(AND(K6&gt;0,L6=0),1,0)</formula>
    </cfRule>
    <cfRule type="expression" dxfId="519" priority="23" stopIfTrue="1">
      <formula>IF(AND(K6=0,L6&gt;0),1,0)=1</formula>
    </cfRule>
    <cfRule type="cellIs" dxfId="518" priority="24" stopIfTrue="1" operator="greaterThan">
      <formula>0</formula>
    </cfRule>
  </conditionalFormatting>
  <conditionalFormatting sqref="B161:B167">
    <cfRule type="expression" dxfId="517" priority="17" stopIfTrue="1">
      <formula>IF(OR(LEFT(B161,2="Sa"),LEFT(B161,2="Co"),B161=""),0,1)=1</formula>
    </cfRule>
  </conditionalFormatting>
  <conditionalFormatting sqref="B135:B141">
    <cfRule type="expression" dxfId="516" priority="16" stopIfTrue="1">
      <formula>IF(OR(LEFT(B135,2="Sa"),LEFT(B135,2="Co"),B135=""),0,1)=1</formula>
    </cfRule>
  </conditionalFormatting>
  <conditionalFormatting sqref="B109:B115">
    <cfRule type="expression" dxfId="515" priority="15" stopIfTrue="1">
      <formula>IF(OR(LEFT(B109,2="Sa"),LEFT(B109,2="Co"),B109=""),0,1)=1</formula>
    </cfRule>
  </conditionalFormatting>
  <conditionalFormatting sqref="B83:B89">
    <cfRule type="expression" dxfId="514" priority="14" stopIfTrue="1">
      <formula>IF(OR(LEFT(B83,2="Sa"),LEFT(B83,2="Co"),B83=""),0,1)=1</formula>
    </cfRule>
  </conditionalFormatting>
  <conditionalFormatting sqref="B97:B103">
    <cfRule type="expression" dxfId="513" priority="13" stopIfTrue="1">
      <formula>IF(OR(LEFT(B97,2="Sa"),LEFT(B97,2="Co"),B97=""),0,1)=1</formula>
    </cfRule>
  </conditionalFormatting>
  <conditionalFormatting sqref="B123:B129">
    <cfRule type="expression" dxfId="512" priority="12" stopIfTrue="1">
      <formula>IF(OR(LEFT(B123,2="Sa"),LEFT(B123,2="Co"),B123=""),0,1)=1</formula>
    </cfRule>
  </conditionalFormatting>
  <conditionalFormatting sqref="B149:B155">
    <cfRule type="expression" dxfId="511" priority="11" stopIfTrue="1">
      <formula>IF(OR(LEFT(B149,2="Sa"),LEFT(B149,2="Co"),B149=""),0,1)=1</formula>
    </cfRule>
  </conditionalFormatting>
  <conditionalFormatting sqref="B175:B181">
    <cfRule type="expression" dxfId="510" priority="10" stopIfTrue="1">
      <formula>IF(OR(LEFT(B175,2="Sa"),LEFT(B175,2="Co"),B175=""),0,1)=1</formula>
    </cfRule>
  </conditionalFormatting>
  <conditionalFormatting sqref="C19:C26">
    <cfRule type="expression" dxfId="509" priority="7" stopIfTrue="1">
      <formula>IF(OR(LEFT(C19,2="Sa"),LEFT(C19,2="Co"),C19=""),0,1)=1</formula>
    </cfRule>
  </conditionalFormatting>
  <conditionalFormatting sqref="J6:J12">
    <cfRule type="expression" dxfId="508" priority="4" stopIfTrue="1">
      <formula>IF(AND(I6&gt;0,J6=0),1,0)</formula>
    </cfRule>
    <cfRule type="expression" dxfId="507" priority="5" stopIfTrue="1">
      <formula>IF(AND(I6=0,J6&gt;0),1,0)=1</formula>
    </cfRule>
    <cfRule type="cellIs" dxfId="506" priority="6" stopIfTrue="1" operator="greaterThan">
      <formula>0</formula>
    </cfRule>
  </conditionalFormatting>
  <dataValidations xWindow="411" yWindow="523" count="12">
    <dataValidation allowBlank="1" showInputMessage="1" showErrorMessage="1" promptTitle="Beispiele" prompt="Grundstücke, Gebäude, Maschinen, Büroeinrichtungen, PC-anlagen_x000a_Software, Kraftfahrzeuge, ... und sonstiges &gt;450 EUR" sqref="C413:C420 C391:C398 C380:C387 C424:C431 CV402:CV409 C402:C409 CV413:CV420 CV391:CV398 CV380:CV387 CV424:CV431 CV6:CV13 B78 C13:C14 C27"/>
    <dataValidation type="list" allowBlank="1" showErrorMessage="1" promptTitle="Mit Mauszeiger auf Pfeil klicken" prompt="In Menü-Liste den Monat anklicken, in dem investiert werden soll._x000a_Keine Eingabe = Januar" sqref="H6:H12 L6:L12 J6:J12 F6:F12 N6:N12">
      <formula1>$U$350:$AF$350</formula1>
    </dataValidation>
    <dataValidation type="decimal" allowBlank="1" showInputMessage="1" showErrorMessage="1" errorTitle="Wertebeschränkung" error="Im Sammelposten können nur Wirtschaftsgüter von 150 EUR bis einschließlich 1000 EUR aufgenommen werden" sqref="N19:N26 H19:H26 K19:K26 E19:E26">
      <formula1>150</formula1>
      <formula2>1000</formula2>
    </dataValidation>
    <dataValidation operator="equal" allowBlank="1" showInputMessage="1" showErrorMessage="1" sqref="F13 H13 J13 L13 N13"/>
    <dataValidation showDropDown="1" showInputMessage="1" showErrorMessage="1" prompt="_x000a__x000a_" sqref="P13"/>
    <dataValidation type="whole" operator="greaterThan" allowBlank="1" showInputMessage="1" showErrorMessage="1" error="Werte unter410 EUR als Betriebsausgaben im Jahr abschreiben oder in den Sammelposten eingeben" sqref="K6:K12 I6:I12 G6:G12 E6:E12 M6:M12">
      <formula1>409</formula1>
    </dataValidation>
    <dataValidation allowBlank="1" showInputMessage="1" showErrorMessage="1" promptTitle="Beispiele" prompt="Kleinere Anschaffungen zwischen 150 EUR bis 1000 EUR können als Sammelposten gemeinsam über 5 Jahre abgeschreiben werden!_x000a_Siehe auch Kommentar 1 b)_x000a_" sqref="CV19:CV26 F19:F26 I19:I26 L19:L26 C19:C26"/>
    <dataValidation type="list" showErrorMessage="1" prompt="_x000a_" sqref="P6:P12">
      <formula1>$R$1:$R$14</formula1>
    </dataValidation>
    <dataValidation operator="greaterThan" allowBlank="1" showInputMessage="1" showErrorMessage="1" error="Werte unter410 EUR als Betriebsausgaben im Jahr abschreiben oder in den Sammelposten eingeben" sqref="D71:D77 D97:D104 D123:D130 D149:D156 D175:D182"/>
    <dataValidation allowBlank="1" showErrorMessage="1" promptTitle="Mit Mauszeiger auf Pfeil klicken" prompt="In Menü-Liste den Monat anklicken, in dem investiert werden soll._x000a_Keine Eingabe = Januar" sqref="F71:F78 F97:F104 F175:F182 F149:F156 F123:F130"/>
    <dataValidation allowBlank="1" showErrorMessage="1" promptTitle="Beispiele" prompt="Grundstücke, Gebäude, Maschinen, Büroeinrichtungen, PC-anlagen_x000a_Software, Kraftfahrzeuge, ... und sonstiges &gt;450 EUR" sqref="B131 B157 B183 B105 B79"/>
    <dataValidation type="list" allowBlank="1" showErrorMessage="1" promptTitle="Mit Mauszeiger auf Pfeil klicken" prompt="In Menü-Liste den Monat anklicken, in dem investiert werden soll._x000a_Keine Eingabe = Januar" sqref="O6:O12">
      <formula1>$O$3</formula1>
    </dataValidation>
  </dataValidations>
  <hyperlinks>
    <hyperlink ref="B65:D65" r:id="rId1" display="Abschreibungen von geringwertigen_Wirtschaftsgütern / Sammelposten"/>
    <hyperlink ref="B65" r:id="rId2" display="Erläuterungen zu Abschreibungen von geringwertigen Wirtschaftsgütern / Sammelposten"/>
    <hyperlink ref="B57" r:id="rId3"/>
    <hyperlink ref="CW57" r:id="rId4"/>
    <hyperlink ref="B65:J65" r:id="rId5" display="Erläuterungen zu geringwertige Wirtschaftsgüter/Sammelposten |  Annotation low-value Assets/Compound Item"/>
  </hyperlinks>
  <printOptions horizontalCentered="1"/>
  <pageMargins left="0.59055118110236227" right="0.59055118110236227" top="0.51181102362204722" bottom="0.51181102362204722" header="0.31496062992125984" footer="0.31496062992125984"/>
  <pageSetup paperSize="9" scale="52" orientation="landscape" r:id="rId6"/>
  <headerFooter>
    <oddFooter>&amp;L&amp;"Verdana,Standard"&amp;9&amp;A&amp;C&amp;"Verdana,Standard"&amp;9&amp;F&amp;R&amp;"Verdana,Standard"&amp;9© 2017 www.Kindermanns.de
Jürgen Erlewein</oddFooter>
  </headerFooter>
  <rowBreaks count="1" manualBreakCount="1">
    <brk id="28" min="1" max="15" man="1"/>
  </rowBreaks>
  <ignoredErrors>
    <ignoredError sqref="W6:AC12" formula="1"/>
  </ignoredError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DZ1084"/>
  <sheetViews>
    <sheetView showGridLines="0" zoomScale="70" zoomScaleNormal="70" zoomScalePageLayoutView="50" workbookViewId="0">
      <selection activeCell="G3" sqref="G3"/>
    </sheetView>
  </sheetViews>
  <sheetFormatPr baseColWidth="10" defaultColWidth="11.42578125" defaultRowHeight="14.25" x14ac:dyDescent="0.2"/>
  <cols>
    <col min="1" max="1" width="6" style="34" customWidth="1"/>
    <col min="2" max="2" width="5.7109375" style="39" customWidth="1"/>
    <col min="3" max="3" width="61.85546875" style="39" customWidth="1"/>
    <col min="4" max="16" width="14.7109375" style="174" customWidth="1"/>
    <col min="17" max="17" width="22.140625" style="1565" customWidth="1"/>
    <col min="18" max="18" width="4.7109375" style="1097" customWidth="1"/>
    <col min="19" max="19" width="52.28515625" style="39" customWidth="1"/>
    <col min="20" max="20" width="8.7109375" style="35" customWidth="1"/>
    <col min="21" max="21" width="30.28515625" style="39" customWidth="1"/>
    <col min="22" max="34" width="15" style="39" customWidth="1"/>
    <col min="35" max="35" width="11.42578125" style="35" customWidth="1"/>
    <col min="36" max="36" width="10.85546875" style="35" customWidth="1"/>
    <col min="37" max="51" width="11.42578125" style="35" customWidth="1"/>
    <col min="52" max="53" width="11.42578125" style="35" hidden="1" customWidth="1"/>
    <col min="54" max="54" width="62.85546875" style="35" hidden="1" customWidth="1"/>
    <col min="55" max="70" width="11.42578125" style="35" hidden="1" customWidth="1"/>
    <col min="71" max="71" width="62.85546875" style="35" hidden="1" customWidth="1"/>
    <col min="72" max="85" width="11.42578125" style="35" hidden="1" customWidth="1"/>
    <col min="86" max="98" width="11.42578125" style="39" hidden="1" customWidth="1"/>
    <col min="99" max="99" width="21.7109375" style="875" hidden="1" customWidth="1"/>
    <col min="100" max="100" width="31.140625" style="875" hidden="1" customWidth="1"/>
    <col min="101" max="101" width="59.5703125" style="875" hidden="1" customWidth="1"/>
    <col min="102" max="102" width="11.42578125" style="856" hidden="1" customWidth="1"/>
    <col min="103" max="104" width="61.5703125" style="856" hidden="1" customWidth="1"/>
    <col min="105" max="106" width="11.42578125" style="126" hidden="1" customWidth="1"/>
    <col min="107" max="107" width="66.42578125" style="126" hidden="1" customWidth="1"/>
    <col min="108" max="108" width="68.42578125" style="126" hidden="1" customWidth="1"/>
    <col min="109" max="118" width="11.42578125" style="856" hidden="1" customWidth="1"/>
    <col min="119" max="119" width="10.28515625" style="856" hidden="1" customWidth="1"/>
    <col min="120" max="121" width="11.42578125" style="856" hidden="1" customWidth="1"/>
    <col min="122" max="130" width="11.42578125" style="39" hidden="1" customWidth="1"/>
    <col min="131" max="156" width="11.42578125" style="39" customWidth="1"/>
    <col min="157" max="16384" width="11.42578125" style="39"/>
  </cols>
  <sheetData>
    <row r="1" spans="1:128" ht="66" customHeight="1" x14ac:dyDescent="0.2">
      <c r="Q1" s="158"/>
    </row>
    <row r="2" spans="1:128" s="35" customFormat="1" ht="33" customHeight="1" x14ac:dyDescent="0.2">
      <c r="A2" s="1677" t="str">
        <f>IF(C2="English","Choose VAT","Auswahl MwSt")</f>
        <v>Auswahl MwSt</v>
      </c>
      <c r="B2" s="33"/>
      <c r="C2" s="34" t="str">
        <f>'Deckblatt Gruender|Data Founder'!$D$8</f>
        <v>Deutsch</v>
      </c>
      <c r="P2" s="36"/>
      <c r="Q2" s="1583">
        <v>0.19</v>
      </c>
      <c r="R2" s="1566"/>
      <c r="T2" s="37" t="s">
        <v>225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CU2" s="40"/>
      <c r="CV2" s="40"/>
      <c r="CW2" s="1265" t="s">
        <v>520</v>
      </c>
      <c r="CX2" s="929" t="s">
        <v>523</v>
      </c>
      <c r="CY2" s="875"/>
      <c r="CZ2" s="875"/>
      <c r="DA2" s="923" t="s">
        <v>520</v>
      </c>
      <c r="DB2" s="147" t="s">
        <v>523</v>
      </c>
      <c r="DI2" s="40" t="s">
        <v>1</v>
      </c>
      <c r="DJ2" s="40" t="s">
        <v>2</v>
      </c>
      <c r="DK2" s="40" t="s">
        <v>3</v>
      </c>
      <c r="DL2" s="40" t="s">
        <v>4</v>
      </c>
      <c r="DM2" s="40" t="s">
        <v>5</v>
      </c>
      <c r="DN2" s="40" t="s">
        <v>6</v>
      </c>
      <c r="DO2" s="40" t="s">
        <v>7</v>
      </c>
      <c r="DP2" s="40" t="s">
        <v>8</v>
      </c>
      <c r="DQ2" s="40" t="s">
        <v>9</v>
      </c>
      <c r="DR2" s="40" t="s">
        <v>10</v>
      </c>
      <c r="DS2" s="40" t="s">
        <v>11</v>
      </c>
      <c r="DT2" s="40" t="s">
        <v>12</v>
      </c>
      <c r="DU2" s="40" t="str">
        <f ca="1">"Jahr "&amp;'1 Pers.Ausgaben|Pers Expenses'!$C$4</f>
        <v>Jahr 2019</v>
      </c>
      <c r="DV2" s="40" t="str">
        <f ca="1">"Jahr "&amp;'1 Pers.Ausgaben|Pers Expenses'!$C$4+1</f>
        <v>Jahr 2020</v>
      </c>
      <c r="DW2" s="152"/>
      <c r="DX2" s="34"/>
    </row>
    <row r="3" spans="1:128" s="42" customFormat="1" ht="24.75" x14ac:dyDescent="0.2">
      <c r="A3" s="1677"/>
      <c r="B3" s="41" t="str">
        <f ca="1">IF($C$2="English",CZ3,CY3)</f>
        <v xml:space="preserve">4a-1 Betriebskosten für das Jahr 2019 in EUR (ohne MwSt) 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Q3" s="1583">
        <v>7.0000000000000007E-2</v>
      </c>
      <c r="R3" s="1566"/>
      <c r="T3" s="37" t="s">
        <v>317</v>
      </c>
      <c r="U3" s="43" t="str">
        <f>IF($C$2="English",CV5,CU5)</f>
        <v>Nebenrechung Personalkosten</v>
      </c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CU3" s="40"/>
      <c r="CV3" s="40"/>
      <c r="CW3" s="920" t="s">
        <v>521</v>
      </c>
      <c r="CX3" s="924"/>
      <c r="CY3" s="894" t="str">
        <f ca="1">"4a-1 Betriebskosten für das Jahr " &amp;'1 Pers.Ausgaben|Pers Expenses'!$C$4&amp;" in EUR" &amp; " (" &amp; IF(OR($D$4=1,$D$4=2),"mit MwSt","ohne MwSt")&amp; ") "</f>
        <v xml:space="preserve">4a-1 Betriebskosten für das Jahr 2019 in EUR (ohne MwSt) </v>
      </c>
      <c r="CZ3" s="895" t="str">
        <f ca="1">"4a-1 Operating Cost for Year " &amp;'1 Pers.Ausgaben|Pers Expenses'!$C$4&amp;" in EUR" &amp; " (" &amp;IF(OR($D$4=1,$D$4=2),"incl. VAT","w/o VAT")&amp; ") "</f>
        <v xml:space="preserve">4a-1 Operating Cost for Year 2019 in EUR (w/o VAT) </v>
      </c>
      <c r="DA3" s="1306" t="s">
        <v>522</v>
      </c>
      <c r="DB3" s="923"/>
      <c r="DI3" s="40" t="s">
        <v>73</v>
      </c>
      <c r="DJ3" s="40" t="s">
        <v>74</v>
      </c>
      <c r="DK3" s="40" t="s">
        <v>313</v>
      </c>
      <c r="DL3" s="40" t="s">
        <v>76</v>
      </c>
      <c r="DM3" s="40" t="s">
        <v>310</v>
      </c>
      <c r="DN3" s="40" t="s">
        <v>311</v>
      </c>
      <c r="DO3" s="40" t="s">
        <v>312</v>
      </c>
      <c r="DP3" s="40" t="s">
        <v>79</v>
      </c>
      <c r="DQ3" s="40" t="s">
        <v>314</v>
      </c>
      <c r="DR3" s="40" t="s">
        <v>315</v>
      </c>
      <c r="DS3" s="40" t="s">
        <v>82</v>
      </c>
      <c r="DT3" s="40" t="s">
        <v>316</v>
      </c>
      <c r="DU3" s="40" t="str">
        <f ca="1">"Year "&amp;'1 Pers.Ausgaben|Pers Expenses'!$C$4</f>
        <v>Year 2019</v>
      </c>
      <c r="DV3" s="40" t="str">
        <f ca="1">"Year "&amp;'1 Pers.Ausgaben|Pers Expenses'!$C$4+1</f>
        <v>Year 2020</v>
      </c>
      <c r="DW3" s="152"/>
      <c r="DX3" s="34"/>
    </row>
    <row r="4" spans="1:128" s="47" customFormat="1" ht="15.75" thickBot="1" x14ac:dyDescent="0.25">
      <c r="A4" s="1677"/>
      <c r="B4" s="46" t="str">
        <f>IF($C$2="English",CZ4,CY4)</f>
        <v xml:space="preserve">   ┌   MwSt-Satz der jeweiligen Kostenart</v>
      </c>
      <c r="D4" s="47">
        <f>'Deckblatt Gruender|Data Founder'!M1</f>
        <v>0</v>
      </c>
      <c r="Q4" s="879">
        <v>0</v>
      </c>
      <c r="R4" s="1567"/>
      <c r="T4" s="48"/>
      <c r="U4" s="34"/>
      <c r="V4" s="49">
        <f>IFERROR(V13,-1)</f>
        <v>0</v>
      </c>
      <c r="W4" s="49">
        <f t="shared" ref="W4:AG4" si="0">IFERROR(W13,-1)</f>
        <v>0</v>
      </c>
      <c r="X4" s="49">
        <f t="shared" si="0"/>
        <v>0</v>
      </c>
      <c r="Y4" s="49">
        <f t="shared" si="0"/>
        <v>0</v>
      </c>
      <c r="Z4" s="49">
        <f t="shared" si="0"/>
        <v>0</v>
      </c>
      <c r="AA4" s="49">
        <f t="shared" si="0"/>
        <v>0</v>
      </c>
      <c r="AB4" s="49">
        <f t="shared" si="0"/>
        <v>0</v>
      </c>
      <c r="AC4" s="49">
        <f t="shared" si="0"/>
        <v>0</v>
      </c>
      <c r="AD4" s="49">
        <f t="shared" si="0"/>
        <v>0</v>
      </c>
      <c r="AE4" s="49">
        <f t="shared" si="0"/>
        <v>0</v>
      </c>
      <c r="AF4" s="49">
        <f t="shared" si="0"/>
        <v>0</v>
      </c>
      <c r="AG4" s="49">
        <f t="shared" si="0"/>
        <v>0</v>
      </c>
      <c r="AH4" s="44"/>
      <c r="CU4" s="923"/>
      <c r="CV4" s="923"/>
      <c r="CW4" s="920"/>
      <c r="CX4" s="924"/>
      <c r="CY4" s="896" t="str">
        <f>IF($D$4=-1,"","   ┌   MwSt-Satz der jeweiligen Kostenart")</f>
        <v xml:space="preserve">   ┌   MwSt-Satz der jeweiligen Kostenart</v>
      </c>
      <c r="CZ4" s="875" t="str">
        <f>IF($D$4=-1,"","   ┌   VAT for Cost Type")</f>
        <v xml:space="preserve">   ┌   VAT for Cost Type</v>
      </c>
      <c r="DA4" s="833"/>
      <c r="DB4" s="923"/>
      <c r="DC4" s="45"/>
      <c r="DD4" s="45"/>
      <c r="DE4" s="989"/>
      <c r="DF4" s="989"/>
      <c r="DG4" s="989"/>
      <c r="DH4" s="989"/>
      <c r="DI4" s="989"/>
      <c r="DJ4" s="989"/>
      <c r="DK4" s="989"/>
      <c r="DL4" s="989"/>
      <c r="DM4" s="989"/>
      <c r="DN4" s="989"/>
      <c r="DO4" s="989"/>
      <c r="DP4" s="989"/>
      <c r="DQ4" s="151"/>
    </row>
    <row r="5" spans="1:128" s="60" customFormat="1" ht="15" thickBot="1" x14ac:dyDescent="0.25">
      <c r="A5" s="1677"/>
      <c r="B5" s="51" t="s">
        <v>309</v>
      </c>
      <c r="C5" s="52" t="str">
        <f t="shared" ref="C5:C68" si="1">IF($C$2="Deutsch",CY5,IF($C$2="English",CZ5,DB5))</f>
        <v>Kostenart</v>
      </c>
      <c r="D5" s="53" t="str">
        <f t="shared" ref="D5:P5" si="2">IF($C$2="English",DI3,DI2)</f>
        <v>Jan.</v>
      </c>
      <c r="E5" s="53" t="str">
        <f t="shared" si="2"/>
        <v>Febr.</v>
      </c>
      <c r="F5" s="53" t="str">
        <f t="shared" si="2"/>
        <v>März</v>
      </c>
      <c r="G5" s="53" t="str">
        <f t="shared" si="2"/>
        <v>April</v>
      </c>
      <c r="H5" s="53" t="str">
        <f t="shared" si="2"/>
        <v>Mai</v>
      </c>
      <c r="I5" s="53" t="str">
        <f t="shared" si="2"/>
        <v>Juni</v>
      </c>
      <c r="J5" s="53" t="str">
        <f t="shared" si="2"/>
        <v>Juli</v>
      </c>
      <c r="K5" s="53" t="str">
        <f t="shared" si="2"/>
        <v>Aug.</v>
      </c>
      <c r="L5" s="53" t="str">
        <f t="shared" si="2"/>
        <v>Sept.</v>
      </c>
      <c r="M5" s="53" t="str">
        <f t="shared" si="2"/>
        <v>Okt.</v>
      </c>
      <c r="N5" s="53" t="str">
        <f t="shared" si="2"/>
        <v>Nov.</v>
      </c>
      <c r="O5" s="53" t="str">
        <f t="shared" si="2"/>
        <v>Dez.</v>
      </c>
      <c r="P5" s="54" t="str">
        <f t="shared" ca="1" si="2"/>
        <v>Jahr 2019</v>
      </c>
      <c r="Q5" s="47"/>
      <c r="R5" s="1097"/>
      <c r="S5" s="56" t="str">
        <f>IF(C2="English",T3,T2)</f>
        <v>Aufgaben und/oder Kommentar</v>
      </c>
      <c r="T5" s="57"/>
      <c r="U5" s="709">
        <f ca="1">D153</f>
        <v>2019</v>
      </c>
      <c r="V5" s="59" t="str">
        <f t="shared" ref="V5:AG5" si="3">D5</f>
        <v>Jan.</v>
      </c>
      <c r="W5" s="59" t="str">
        <f t="shared" si="3"/>
        <v>Febr.</v>
      </c>
      <c r="X5" s="59" t="str">
        <f t="shared" si="3"/>
        <v>März</v>
      </c>
      <c r="Y5" s="59" t="str">
        <f t="shared" si="3"/>
        <v>April</v>
      </c>
      <c r="Z5" s="59" t="str">
        <f t="shared" si="3"/>
        <v>Mai</v>
      </c>
      <c r="AA5" s="59" t="str">
        <f t="shared" si="3"/>
        <v>Juni</v>
      </c>
      <c r="AB5" s="59" t="str">
        <f t="shared" si="3"/>
        <v>Juli</v>
      </c>
      <c r="AC5" s="59" t="str">
        <f t="shared" si="3"/>
        <v>Aug.</v>
      </c>
      <c r="AD5" s="59" t="str">
        <f t="shared" si="3"/>
        <v>Sept.</v>
      </c>
      <c r="AE5" s="59" t="str">
        <f t="shared" si="3"/>
        <v>Okt.</v>
      </c>
      <c r="AF5" s="59" t="str">
        <f t="shared" si="3"/>
        <v>Nov.</v>
      </c>
      <c r="AG5" s="156" t="str">
        <f t="shared" si="3"/>
        <v>Dez.</v>
      </c>
      <c r="AH5" s="44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1" t="s">
        <v>309</v>
      </c>
      <c r="BB5" s="52" t="str">
        <f>"MwSt "&amp;$Q$2*100&amp;"%"</f>
        <v>MwSt 19%</v>
      </c>
      <c r="BC5" s="53" t="s">
        <v>1</v>
      </c>
      <c r="BD5" s="53" t="s">
        <v>2</v>
      </c>
      <c r="BE5" s="53" t="s">
        <v>3</v>
      </c>
      <c r="BF5" s="53" t="s">
        <v>4</v>
      </c>
      <c r="BG5" s="53" t="s">
        <v>5</v>
      </c>
      <c r="BH5" s="53" t="s">
        <v>6</v>
      </c>
      <c r="BI5" s="53" t="s">
        <v>7</v>
      </c>
      <c r="BJ5" s="53" t="s">
        <v>8</v>
      </c>
      <c r="BK5" s="53" t="s">
        <v>9</v>
      </c>
      <c r="BL5" s="53" t="s">
        <v>10</v>
      </c>
      <c r="BM5" s="53" t="s">
        <v>11</v>
      </c>
      <c r="BN5" s="53" t="s">
        <v>12</v>
      </c>
      <c r="BO5" s="54">
        <f>IF($C$2="English",FN3,FN2)</f>
        <v>0</v>
      </c>
      <c r="BP5" s="130"/>
      <c r="BQ5" s="130"/>
      <c r="BR5" s="51" t="s">
        <v>309</v>
      </c>
      <c r="BS5" s="52" t="str">
        <f>"MwSt "&amp;$Q$3*100&amp;"%"</f>
        <v>MwSt 7%</v>
      </c>
      <c r="BT5" s="53" t="s">
        <v>1</v>
      </c>
      <c r="BU5" s="53" t="s">
        <v>2</v>
      </c>
      <c r="BV5" s="53" t="s">
        <v>3</v>
      </c>
      <c r="BW5" s="53" t="s">
        <v>4</v>
      </c>
      <c r="BX5" s="53" t="s">
        <v>5</v>
      </c>
      <c r="BY5" s="53" t="s">
        <v>6</v>
      </c>
      <c r="BZ5" s="53" t="s">
        <v>7</v>
      </c>
      <c r="CA5" s="53" t="s">
        <v>8</v>
      </c>
      <c r="CB5" s="53" t="s">
        <v>9</v>
      </c>
      <c r="CC5" s="53" t="s">
        <v>10</v>
      </c>
      <c r="CD5" s="53" t="s">
        <v>11</v>
      </c>
      <c r="CE5" s="53" t="s">
        <v>12</v>
      </c>
      <c r="CF5" s="54">
        <f>IF($C$2="English",GE3,GE2)</f>
        <v>0</v>
      </c>
      <c r="CG5" s="57"/>
      <c r="CU5" s="40" t="s">
        <v>325</v>
      </c>
      <c r="CV5" s="40" t="s">
        <v>525</v>
      </c>
      <c r="CW5" s="417"/>
      <c r="CX5" s="925"/>
      <c r="CY5" s="61" t="s">
        <v>0</v>
      </c>
      <c r="CZ5" s="40" t="s">
        <v>304</v>
      </c>
      <c r="DA5" s="860"/>
      <c r="DB5" s="137"/>
      <c r="DC5" s="146" t="s">
        <v>325</v>
      </c>
      <c r="DD5" s="146" t="s">
        <v>326</v>
      </c>
      <c r="DE5" s="625"/>
      <c r="DF5" s="625"/>
      <c r="DG5" s="625"/>
      <c r="DH5" s="625"/>
      <c r="DI5" s="625"/>
      <c r="DJ5" s="625"/>
      <c r="DK5" s="625"/>
      <c r="DL5" s="625"/>
      <c r="DM5" s="625"/>
      <c r="DN5" s="625"/>
      <c r="DO5" s="625"/>
      <c r="DP5" s="625"/>
      <c r="DQ5" s="625"/>
      <c r="DR5" s="287"/>
    </row>
    <row r="6" spans="1:128" ht="14.25" customHeight="1" x14ac:dyDescent="0.2">
      <c r="A6" s="1677"/>
      <c r="B6" s="140">
        <v>1</v>
      </c>
      <c r="C6" s="63" t="str">
        <f t="shared" si="1"/>
        <v>Bürokosten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5"/>
      <c r="Q6" s="47"/>
      <c r="R6" s="1568"/>
      <c r="S6" s="67"/>
      <c r="T6" s="68"/>
      <c r="U6" s="76" t="str">
        <f t="shared" ref="U6:U13" si="4">IF($C$2="English",CV6,CU6)</f>
        <v xml:space="preserve"> Anzahl Mitarbeiter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36"/>
      <c r="AH6" s="44"/>
      <c r="BA6" s="140">
        <v>1</v>
      </c>
      <c r="BB6" s="63" t="s">
        <v>46</v>
      </c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5"/>
      <c r="BP6" s="68"/>
      <c r="BQ6" s="68"/>
      <c r="BR6" s="140">
        <v>1</v>
      </c>
      <c r="BS6" s="63" t="s">
        <v>46</v>
      </c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5"/>
      <c r="CU6" s="934" t="s">
        <v>177</v>
      </c>
      <c r="CV6" s="934" t="s">
        <v>322</v>
      </c>
      <c r="CW6" s="920">
        <v>1</v>
      </c>
      <c r="CX6" s="924"/>
      <c r="CY6" s="876" t="s">
        <v>46</v>
      </c>
      <c r="CZ6" s="874" t="s">
        <v>260</v>
      </c>
      <c r="DA6" s="920">
        <v>1</v>
      </c>
      <c r="DB6" s="930">
        <f>VLOOKUP(DA6,$CW$6:$CZ$66,2,FALSE)</f>
        <v>0</v>
      </c>
      <c r="DC6" s="928" t="str">
        <f>VLOOKUP(DA6,$CW$6:$CZ$66,3,FALSE)</f>
        <v>Bürokosten</v>
      </c>
      <c r="DD6" s="928" t="str">
        <f>VLOOKUP(DA6,$CW$6:$CZ$66,4,FALSE)</f>
        <v>Office expences</v>
      </c>
      <c r="DR6" s="126"/>
    </row>
    <row r="7" spans="1:128" ht="14.25" customHeight="1" x14ac:dyDescent="0.2">
      <c r="A7" s="1002">
        <f>$Q$2</f>
        <v>0.19</v>
      </c>
      <c r="B7" s="72">
        <f t="shared" ref="B7:B12" si="5">IF($D$4&lt;&gt;1, A7,"")</f>
        <v>0.19</v>
      </c>
      <c r="C7" s="1429" t="str">
        <f t="shared" si="1"/>
        <v>Raummiete</v>
      </c>
      <c r="D7" s="1430"/>
      <c r="E7" s="1430"/>
      <c r="F7" s="1430"/>
      <c r="G7" s="1430"/>
      <c r="H7" s="1430"/>
      <c r="I7" s="1430"/>
      <c r="J7" s="1430"/>
      <c r="K7" s="1430"/>
      <c r="L7" s="1430"/>
      <c r="M7" s="1430"/>
      <c r="N7" s="1430"/>
      <c r="O7" s="1430"/>
      <c r="P7" s="1431">
        <f t="shared" ref="P7:P12" si="6">SUM(D7:O7)</f>
        <v>0</v>
      </c>
      <c r="Q7" s="1675" t="str">
        <f>IF($C$2="english",$CV$16,$CU$16)</f>
        <v>Verschieben von Zellen
führt zu Bezugsfehlern!
Mit (Str+Z) oder
(Undo-Symbol) rückgängig machen</v>
      </c>
      <c r="R7" s="1569"/>
      <c r="S7" s="1556"/>
      <c r="T7" s="68"/>
      <c r="U7" s="76" t="str">
        <f t="shared" si="4"/>
        <v>Gehalt1</v>
      </c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937"/>
      <c r="AH7" s="44"/>
      <c r="BA7" s="72">
        <v>0.19</v>
      </c>
      <c r="BB7" s="73" t="s">
        <v>467</v>
      </c>
      <c r="BC7" s="1230">
        <f t="shared" ref="BC7:BN12" si="7">IF($A7=$Q$2,D7*IF(OR($D$4=0,$D$4=3),$A7,$A7/(1+$A7)),0)</f>
        <v>0</v>
      </c>
      <c r="BD7" s="1230">
        <f t="shared" si="7"/>
        <v>0</v>
      </c>
      <c r="BE7" s="1230">
        <f t="shared" si="7"/>
        <v>0</v>
      </c>
      <c r="BF7" s="1230">
        <f t="shared" si="7"/>
        <v>0</v>
      </c>
      <c r="BG7" s="1230">
        <f t="shared" si="7"/>
        <v>0</v>
      </c>
      <c r="BH7" s="1230">
        <f t="shared" si="7"/>
        <v>0</v>
      </c>
      <c r="BI7" s="1230">
        <f t="shared" si="7"/>
        <v>0</v>
      </c>
      <c r="BJ7" s="1230">
        <f t="shared" si="7"/>
        <v>0</v>
      </c>
      <c r="BK7" s="1230">
        <f t="shared" si="7"/>
        <v>0</v>
      </c>
      <c r="BL7" s="1230">
        <f t="shared" si="7"/>
        <v>0</v>
      </c>
      <c r="BM7" s="1230">
        <f t="shared" si="7"/>
        <v>0</v>
      </c>
      <c r="BN7" s="1230">
        <f t="shared" si="7"/>
        <v>0</v>
      </c>
      <c r="BO7" s="1186">
        <f t="shared" ref="BO7:BO12" si="8">SUM(BC7:BN7)</f>
        <v>0</v>
      </c>
      <c r="BP7" s="68"/>
      <c r="BQ7" s="68"/>
      <c r="BR7" s="72">
        <v>0.19</v>
      </c>
      <c r="BS7" s="73" t="s">
        <v>467</v>
      </c>
      <c r="BT7" s="1230">
        <f t="shared" ref="BT7:CE12" si="9">IF($A7=$Q$3,D7*IF(OR($D$4=0,$D$4=3),$A7,$A7/(1+$A7)),0)</f>
        <v>0</v>
      </c>
      <c r="BU7" s="1230">
        <f t="shared" si="9"/>
        <v>0</v>
      </c>
      <c r="BV7" s="1230">
        <f t="shared" si="9"/>
        <v>0</v>
      </c>
      <c r="BW7" s="1230">
        <f t="shared" si="9"/>
        <v>0</v>
      </c>
      <c r="BX7" s="1230">
        <f t="shared" si="9"/>
        <v>0</v>
      </c>
      <c r="BY7" s="1230">
        <f t="shared" si="9"/>
        <v>0</v>
      </c>
      <c r="BZ7" s="1230">
        <f t="shared" si="9"/>
        <v>0</v>
      </c>
      <c r="CA7" s="1230">
        <f t="shared" si="9"/>
        <v>0</v>
      </c>
      <c r="CB7" s="1230">
        <f t="shared" si="9"/>
        <v>0</v>
      </c>
      <c r="CC7" s="1230">
        <f t="shared" si="9"/>
        <v>0</v>
      </c>
      <c r="CD7" s="1230">
        <f t="shared" si="9"/>
        <v>0</v>
      </c>
      <c r="CE7" s="1230">
        <f t="shared" si="9"/>
        <v>0</v>
      </c>
      <c r="CF7" s="1186">
        <f t="shared" ref="CF7:CF12" si="10">SUM(BT7:CE7)</f>
        <v>0</v>
      </c>
      <c r="CU7" s="934" t="s">
        <v>178</v>
      </c>
      <c r="CV7" s="934" t="s">
        <v>319</v>
      </c>
      <c r="CW7" s="920">
        <v>2</v>
      </c>
      <c r="CX7" s="926">
        <f t="shared" ref="CX7:CX12" si="11">$Q$2</f>
        <v>0.19</v>
      </c>
      <c r="CY7" s="872" t="s">
        <v>467</v>
      </c>
      <c r="CZ7" s="875" t="s">
        <v>655</v>
      </c>
      <c r="DA7" s="920">
        <v>2</v>
      </c>
      <c r="DB7" s="930">
        <f t="shared" ref="DB7:DB66" si="12">VLOOKUP(DA7,$CW$6:$CZ$66,2,FALSE)</f>
        <v>0.19</v>
      </c>
      <c r="DC7" s="928" t="str">
        <f t="shared" ref="DC7:DC66" si="13">VLOOKUP(DA7,$CW$6:$CZ$66,3,FALSE)</f>
        <v>Raummiete</v>
      </c>
      <c r="DD7" s="928" t="str">
        <f t="shared" ref="DD7:DD66" si="14">VLOOKUP(DA7,$CW$6:$CZ$66,4,FALSE)</f>
        <v>Room rental</v>
      </c>
      <c r="DR7" s="126"/>
    </row>
    <row r="8" spans="1:128" x14ac:dyDescent="0.2">
      <c r="A8" s="1002">
        <f>$Q$2</f>
        <v>0.19</v>
      </c>
      <c r="B8" s="72">
        <f t="shared" si="5"/>
        <v>0.19</v>
      </c>
      <c r="C8" s="1429" t="str">
        <f t="shared" si="1"/>
        <v>Strom, Wasser, Heizung, sonst. Nebenkosten</v>
      </c>
      <c r="D8" s="1430"/>
      <c r="E8" s="1430"/>
      <c r="F8" s="1430"/>
      <c r="G8" s="1430"/>
      <c r="H8" s="1430"/>
      <c r="I8" s="1430"/>
      <c r="J8" s="1430"/>
      <c r="K8" s="1430"/>
      <c r="L8" s="1430"/>
      <c r="M8" s="1430"/>
      <c r="N8" s="1430"/>
      <c r="O8" s="1430"/>
      <c r="P8" s="1431">
        <f t="shared" si="6"/>
        <v>0</v>
      </c>
      <c r="Q8" s="1675"/>
      <c r="R8" s="1569"/>
      <c r="S8" s="1556"/>
      <c r="T8" s="68"/>
      <c r="U8" s="76" t="str">
        <f>IF($C$2="English",CV8,CU8)</f>
        <v xml:space="preserve"> Anzahl Mitarbeiter</v>
      </c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937"/>
      <c r="AH8" s="44"/>
      <c r="BA8" s="72">
        <v>0.19</v>
      </c>
      <c r="BB8" s="73" t="s">
        <v>468</v>
      </c>
      <c r="BC8" s="1230">
        <f t="shared" si="7"/>
        <v>0</v>
      </c>
      <c r="BD8" s="1230">
        <f t="shared" si="7"/>
        <v>0</v>
      </c>
      <c r="BE8" s="1230">
        <f t="shared" si="7"/>
        <v>0</v>
      </c>
      <c r="BF8" s="1230">
        <f t="shared" si="7"/>
        <v>0</v>
      </c>
      <c r="BG8" s="1230">
        <f t="shared" si="7"/>
        <v>0</v>
      </c>
      <c r="BH8" s="1230">
        <f t="shared" si="7"/>
        <v>0</v>
      </c>
      <c r="BI8" s="1230">
        <f t="shared" si="7"/>
        <v>0</v>
      </c>
      <c r="BJ8" s="1230">
        <f t="shared" si="7"/>
        <v>0</v>
      </c>
      <c r="BK8" s="1230">
        <f t="shared" si="7"/>
        <v>0</v>
      </c>
      <c r="BL8" s="1230">
        <f t="shared" si="7"/>
        <v>0</v>
      </c>
      <c r="BM8" s="1230">
        <f t="shared" si="7"/>
        <v>0</v>
      </c>
      <c r="BN8" s="1230">
        <f t="shared" si="7"/>
        <v>0</v>
      </c>
      <c r="BO8" s="1186">
        <f t="shared" si="8"/>
        <v>0</v>
      </c>
      <c r="BP8" s="68"/>
      <c r="BQ8" s="68"/>
      <c r="BR8" s="72">
        <v>0.19</v>
      </c>
      <c r="BS8" s="73" t="s">
        <v>468</v>
      </c>
      <c r="BT8" s="1230">
        <f t="shared" si="9"/>
        <v>0</v>
      </c>
      <c r="BU8" s="1230">
        <f t="shared" si="9"/>
        <v>0</v>
      </c>
      <c r="BV8" s="1230">
        <f t="shared" si="9"/>
        <v>0</v>
      </c>
      <c r="BW8" s="1230">
        <f t="shared" si="9"/>
        <v>0</v>
      </c>
      <c r="BX8" s="1230">
        <f t="shared" si="9"/>
        <v>0</v>
      </c>
      <c r="BY8" s="1230">
        <f t="shared" si="9"/>
        <v>0</v>
      </c>
      <c r="BZ8" s="1230">
        <f t="shared" si="9"/>
        <v>0</v>
      </c>
      <c r="CA8" s="1230">
        <f t="shared" si="9"/>
        <v>0</v>
      </c>
      <c r="CB8" s="1230">
        <f t="shared" si="9"/>
        <v>0</v>
      </c>
      <c r="CC8" s="1230">
        <f t="shared" si="9"/>
        <v>0</v>
      </c>
      <c r="CD8" s="1230">
        <f t="shared" si="9"/>
        <v>0</v>
      </c>
      <c r="CE8" s="1230">
        <f t="shared" si="9"/>
        <v>0</v>
      </c>
      <c r="CF8" s="1186">
        <f t="shared" si="10"/>
        <v>0</v>
      </c>
      <c r="CU8" s="934" t="s">
        <v>177</v>
      </c>
      <c r="CV8" s="934" t="s">
        <v>322</v>
      </c>
      <c r="CW8" s="920">
        <v>3</v>
      </c>
      <c r="CX8" s="926">
        <f t="shared" si="11"/>
        <v>0.19</v>
      </c>
      <c r="CY8" s="872" t="s">
        <v>468</v>
      </c>
      <c r="CZ8" s="874" t="s">
        <v>477</v>
      </c>
      <c r="DA8" s="920">
        <v>3</v>
      </c>
      <c r="DB8" s="930">
        <f t="shared" si="12"/>
        <v>0.19</v>
      </c>
      <c r="DC8" s="928" t="str">
        <f t="shared" si="13"/>
        <v>Strom, Wasser, Heizung, sonst. Nebenkosten</v>
      </c>
      <c r="DD8" s="928" t="str">
        <f t="shared" si="14"/>
        <v>Electricity, water, heating, other costs</v>
      </c>
      <c r="DR8" s="126"/>
    </row>
    <row r="9" spans="1:128" ht="14.25" customHeight="1" x14ac:dyDescent="0.2">
      <c r="A9" s="1002">
        <f>$Q$2</f>
        <v>0.19</v>
      </c>
      <c r="B9" s="72">
        <f t="shared" si="5"/>
        <v>0.19</v>
      </c>
      <c r="C9" s="1429" t="str">
        <f t="shared" si="1"/>
        <v>Telefon, Fax, Internet, Porto</v>
      </c>
      <c r="D9" s="1430"/>
      <c r="E9" s="1430"/>
      <c r="F9" s="1430"/>
      <c r="G9" s="1430"/>
      <c r="H9" s="1430"/>
      <c r="I9" s="1430"/>
      <c r="J9" s="1430"/>
      <c r="K9" s="1430"/>
      <c r="L9" s="1430"/>
      <c r="M9" s="1430"/>
      <c r="N9" s="1430"/>
      <c r="O9" s="1430"/>
      <c r="P9" s="1431">
        <f t="shared" si="6"/>
        <v>0</v>
      </c>
      <c r="Q9" s="1675"/>
      <c r="R9" s="1569"/>
      <c r="S9" s="1556"/>
      <c r="T9" s="68"/>
      <c r="U9" s="76" t="str">
        <f t="shared" si="4"/>
        <v>Gehalt2</v>
      </c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937"/>
      <c r="AH9" s="44"/>
      <c r="BA9" s="72">
        <v>0.19</v>
      </c>
      <c r="BB9" s="73" t="s">
        <v>305</v>
      </c>
      <c r="BC9" s="1230">
        <f t="shared" si="7"/>
        <v>0</v>
      </c>
      <c r="BD9" s="1230">
        <f t="shared" si="7"/>
        <v>0</v>
      </c>
      <c r="BE9" s="1230">
        <f t="shared" si="7"/>
        <v>0</v>
      </c>
      <c r="BF9" s="1230">
        <f t="shared" si="7"/>
        <v>0</v>
      </c>
      <c r="BG9" s="1230">
        <f t="shared" si="7"/>
        <v>0</v>
      </c>
      <c r="BH9" s="1230">
        <f t="shared" si="7"/>
        <v>0</v>
      </c>
      <c r="BI9" s="1230">
        <f t="shared" si="7"/>
        <v>0</v>
      </c>
      <c r="BJ9" s="1230">
        <f t="shared" si="7"/>
        <v>0</v>
      </c>
      <c r="BK9" s="1230">
        <f t="shared" si="7"/>
        <v>0</v>
      </c>
      <c r="BL9" s="1230">
        <f t="shared" si="7"/>
        <v>0</v>
      </c>
      <c r="BM9" s="1230">
        <f t="shared" si="7"/>
        <v>0</v>
      </c>
      <c r="BN9" s="1230">
        <f t="shared" si="7"/>
        <v>0</v>
      </c>
      <c r="BO9" s="1186">
        <f t="shared" si="8"/>
        <v>0</v>
      </c>
      <c r="BP9" s="68"/>
      <c r="BQ9" s="68"/>
      <c r="BR9" s="72">
        <v>0.19</v>
      </c>
      <c r="BS9" s="73" t="s">
        <v>305</v>
      </c>
      <c r="BT9" s="1230">
        <f t="shared" si="9"/>
        <v>0</v>
      </c>
      <c r="BU9" s="1230">
        <f t="shared" si="9"/>
        <v>0</v>
      </c>
      <c r="BV9" s="1230">
        <f t="shared" si="9"/>
        <v>0</v>
      </c>
      <c r="BW9" s="1230">
        <f t="shared" si="9"/>
        <v>0</v>
      </c>
      <c r="BX9" s="1230">
        <f t="shared" si="9"/>
        <v>0</v>
      </c>
      <c r="BY9" s="1230">
        <f t="shared" si="9"/>
        <v>0</v>
      </c>
      <c r="BZ9" s="1230">
        <f t="shared" si="9"/>
        <v>0</v>
      </c>
      <c r="CA9" s="1230">
        <f t="shared" si="9"/>
        <v>0</v>
      </c>
      <c r="CB9" s="1230">
        <f t="shared" si="9"/>
        <v>0</v>
      </c>
      <c r="CC9" s="1230">
        <f t="shared" si="9"/>
        <v>0</v>
      </c>
      <c r="CD9" s="1230">
        <f t="shared" si="9"/>
        <v>0</v>
      </c>
      <c r="CE9" s="1230">
        <f t="shared" si="9"/>
        <v>0</v>
      </c>
      <c r="CF9" s="1186">
        <f t="shared" si="10"/>
        <v>0</v>
      </c>
      <c r="CU9" s="934" t="s">
        <v>179</v>
      </c>
      <c r="CV9" s="934" t="s">
        <v>320</v>
      </c>
      <c r="CW9" s="920">
        <v>4</v>
      </c>
      <c r="CX9" s="926">
        <f t="shared" si="11"/>
        <v>0.19</v>
      </c>
      <c r="CY9" s="872" t="s">
        <v>305</v>
      </c>
      <c r="CZ9" s="874" t="s">
        <v>656</v>
      </c>
      <c r="DA9" s="920">
        <v>5</v>
      </c>
      <c r="DB9" s="930">
        <f t="shared" si="12"/>
        <v>0.19</v>
      </c>
      <c r="DC9" s="928" t="str">
        <f t="shared" si="13"/>
        <v>Geringw. Wirtschaftsgüter (Büromöbel, Einrichtungen,...)</v>
      </c>
      <c r="DD9" s="928" t="str">
        <f t="shared" si="14"/>
        <v>Low value assets (office furniture,  facilities, ...)</v>
      </c>
      <c r="DR9" s="126"/>
    </row>
    <row r="10" spans="1:128" x14ac:dyDescent="0.2">
      <c r="A10" s="1002">
        <f>$Q$2</f>
        <v>0.19</v>
      </c>
      <c r="B10" s="72">
        <f t="shared" si="5"/>
        <v>0.19</v>
      </c>
      <c r="C10" s="1429" t="str">
        <f t="shared" si="1"/>
        <v>Geringw. Wirtschaftsgüter (Büromöbel, Einrichtungen,...)</v>
      </c>
      <c r="D10" s="1430"/>
      <c r="E10" s="1430"/>
      <c r="F10" s="1430"/>
      <c r="G10" s="1430"/>
      <c r="H10" s="1430"/>
      <c r="I10" s="1430"/>
      <c r="J10" s="1430"/>
      <c r="K10" s="1430"/>
      <c r="L10" s="1430"/>
      <c r="M10" s="1430"/>
      <c r="N10" s="1430"/>
      <c r="O10" s="1430"/>
      <c r="P10" s="1431">
        <f t="shared" si="6"/>
        <v>0</v>
      </c>
      <c r="Q10" s="1675"/>
      <c r="R10" s="1569"/>
      <c r="S10" s="1556"/>
      <c r="T10" s="68"/>
      <c r="U10" s="76" t="str">
        <f t="shared" si="4"/>
        <v xml:space="preserve"> Anzahl Mitarbeiter</v>
      </c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937"/>
      <c r="AH10" s="44"/>
      <c r="BA10" s="72">
        <v>0.19</v>
      </c>
      <c r="BB10" s="73" t="s">
        <v>471</v>
      </c>
      <c r="BC10" s="1230">
        <f t="shared" si="7"/>
        <v>0</v>
      </c>
      <c r="BD10" s="1230">
        <f t="shared" si="7"/>
        <v>0</v>
      </c>
      <c r="BE10" s="1230">
        <f t="shared" si="7"/>
        <v>0</v>
      </c>
      <c r="BF10" s="1230">
        <f t="shared" si="7"/>
        <v>0</v>
      </c>
      <c r="BG10" s="1230">
        <f t="shared" si="7"/>
        <v>0</v>
      </c>
      <c r="BH10" s="1230">
        <f t="shared" si="7"/>
        <v>0</v>
      </c>
      <c r="BI10" s="1230">
        <f t="shared" si="7"/>
        <v>0</v>
      </c>
      <c r="BJ10" s="1230">
        <f t="shared" si="7"/>
        <v>0</v>
      </c>
      <c r="BK10" s="1230">
        <f t="shared" si="7"/>
        <v>0</v>
      </c>
      <c r="BL10" s="1230">
        <f>IF($A10=$Q$2,M10*IF(OR($D$4=0,$D$4=3),$A10,$A10/(1+$A10)),0)</f>
        <v>0</v>
      </c>
      <c r="BM10" s="1230">
        <f t="shared" si="7"/>
        <v>0</v>
      </c>
      <c r="BN10" s="1230">
        <f t="shared" si="7"/>
        <v>0</v>
      </c>
      <c r="BO10" s="1186">
        <f t="shared" si="8"/>
        <v>0</v>
      </c>
      <c r="BP10" s="68"/>
      <c r="BQ10" s="68"/>
      <c r="BR10" s="72">
        <v>0.19</v>
      </c>
      <c r="BS10" s="73" t="s">
        <v>471</v>
      </c>
      <c r="BT10" s="1230">
        <f t="shared" si="9"/>
        <v>0</v>
      </c>
      <c r="BU10" s="1230">
        <f t="shared" si="9"/>
        <v>0</v>
      </c>
      <c r="BV10" s="1230">
        <f t="shared" si="9"/>
        <v>0</v>
      </c>
      <c r="BW10" s="1230">
        <f t="shared" si="9"/>
        <v>0</v>
      </c>
      <c r="BX10" s="1230">
        <f t="shared" si="9"/>
        <v>0</v>
      </c>
      <c r="BY10" s="1230">
        <f t="shared" si="9"/>
        <v>0</v>
      </c>
      <c r="BZ10" s="1230">
        <f t="shared" si="9"/>
        <v>0</v>
      </c>
      <c r="CA10" s="1230">
        <f t="shared" si="9"/>
        <v>0</v>
      </c>
      <c r="CB10" s="1230">
        <f t="shared" si="9"/>
        <v>0</v>
      </c>
      <c r="CC10" s="1230">
        <f>IF($A10=$Q$3,M10*IF(OR($D$4=0,$D$4=3),$A10,$A10/(1+$A10)),0)</f>
        <v>0</v>
      </c>
      <c r="CD10" s="1230">
        <f t="shared" si="9"/>
        <v>0</v>
      </c>
      <c r="CE10" s="1230">
        <f t="shared" si="9"/>
        <v>0</v>
      </c>
      <c r="CF10" s="1186">
        <f t="shared" si="10"/>
        <v>0</v>
      </c>
      <c r="CU10" s="934" t="s">
        <v>177</v>
      </c>
      <c r="CV10" s="934" t="s">
        <v>322</v>
      </c>
      <c r="CW10" s="920">
        <v>5</v>
      </c>
      <c r="CX10" s="926">
        <f t="shared" si="11"/>
        <v>0.19</v>
      </c>
      <c r="CY10" s="872" t="s">
        <v>471</v>
      </c>
      <c r="CZ10" s="874" t="s">
        <v>657</v>
      </c>
      <c r="DA10" s="920">
        <v>4</v>
      </c>
      <c r="DB10" s="930">
        <f t="shared" si="12"/>
        <v>0.19</v>
      </c>
      <c r="DC10" s="928" t="str">
        <f t="shared" si="13"/>
        <v>Telefon, Fax, Internet, Porto</v>
      </c>
      <c r="DD10" s="928" t="str">
        <f t="shared" si="14"/>
        <v>Phone, fax, internet, postage</v>
      </c>
      <c r="DR10" s="126"/>
    </row>
    <row r="11" spans="1:128" x14ac:dyDescent="0.2">
      <c r="A11" s="1002">
        <f>$Q$2</f>
        <v>0.19</v>
      </c>
      <c r="B11" s="72">
        <f t="shared" si="5"/>
        <v>0.19</v>
      </c>
      <c r="C11" s="1429" t="str">
        <f t="shared" si="1"/>
        <v>IT (Lizenzen, Windows, Office, Wartung)</v>
      </c>
      <c r="D11" s="1430"/>
      <c r="E11" s="1430"/>
      <c r="F11" s="1430"/>
      <c r="G11" s="1430"/>
      <c r="H11" s="1430"/>
      <c r="I11" s="1430"/>
      <c r="J11" s="1430"/>
      <c r="K11" s="1430"/>
      <c r="L11" s="1430"/>
      <c r="M11" s="1430"/>
      <c r="N11" s="1430"/>
      <c r="O11" s="1430"/>
      <c r="P11" s="1431">
        <f t="shared" si="6"/>
        <v>0</v>
      </c>
      <c r="Q11" s="1675"/>
      <c r="R11" s="1569"/>
      <c r="S11" s="1556"/>
      <c r="T11" s="68"/>
      <c r="U11" s="76" t="str">
        <f t="shared" si="4"/>
        <v>Gehalt3</v>
      </c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937"/>
      <c r="AH11" s="44"/>
      <c r="BA11" s="72">
        <v>0.19</v>
      </c>
      <c r="BB11" s="73" t="s">
        <v>469</v>
      </c>
      <c r="BC11" s="1230">
        <f t="shared" si="7"/>
        <v>0</v>
      </c>
      <c r="BD11" s="1230">
        <f t="shared" si="7"/>
        <v>0</v>
      </c>
      <c r="BE11" s="1230">
        <f t="shared" si="7"/>
        <v>0</v>
      </c>
      <c r="BF11" s="1230">
        <f t="shared" si="7"/>
        <v>0</v>
      </c>
      <c r="BG11" s="1230">
        <f t="shared" si="7"/>
        <v>0</v>
      </c>
      <c r="BH11" s="1230">
        <f t="shared" si="7"/>
        <v>0</v>
      </c>
      <c r="BI11" s="1230">
        <f t="shared" si="7"/>
        <v>0</v>
      </c>
      <c r="BJ11" s="1230">
        <f t="shared" si="7"/>
        <v>0</v>
      </c>
      <c r="BK11" s="1230">
        <f t="shared" si="7"/>
        <v>0</v>
      </c>
      <c r="BL11" s="1230">
        <f>IF($A11=$Q$2,M11*IF(OR($D$4=0,$D$4=3),$A11,$A11/(1+$A11)),0)</f>
        <v>0</v>
      </c>
      <c r="BM11" s="1230">
        <f t="shared" si="7"/>
        <v>0</v>
      </c>
      <c r="BN11" s="1230">
        <f t="shared" si="7"/>
        <v>0</v>
      </c>
      <c r="BO11" s="1186">
        <f t="shared" si="8"/>
        <v>0</v>
      </c>
      <c r="BP11" s="68"/>
      <c r="BQ11" s="68"/>
      <c r="BR11" s="72">
        <v>0.19</v>
      </c>
      <c r="BS11" s="73" t="s">
        <v>469</v>
      </c>
      <c r="BT11" s="1230">
        <f t="shared" si="9"/>
        <v>0</v>
      </c>
      <c r="BU11" s="1230">
        <f t="shared" si="9"/>
        <v>0</v>
      </c>
      <c r="BV11" s="1230">
        <f t="shared" si="9"/>
        <v>0</v>
      </c>
      <c r="BW11" s="1230">
        <f t="shared" si="9"/>
        <v>0</v>
      </c>
      <c r="BX11" s="1230">
        <f t="shared" si="9"/>
        <v>0</v>
      </c>
      <c r="BY11" s="1230">
        <f t="shared" si="9"/>
        <v>0</v>
      </c>
      <c r="BZ11" s="1230">
        <f t="shared" si="9"/>
        <v>0</v>
      </c>
      <c r="CA11" s="1230">
        <f t="shared" si="9"/>
        <v>0</v>
      </c>
      <c r="CB11" s="1230">
        <f t="shared" si="9"/>
        <v>0</v>
      </c>
      <c r="CC11" s="1230">
        <f>IF($A11=$Q$3,M11*IF(OR($D$4=0,$D$4=3),$A11,$A11/(1+$A11)),0)</f>
        <v>0</v>
      </c>
      <c r="CD11" s="1230">
        <f t="shared" si="9"/>
        <v>0</v>
      </c>
      <c r="CE11" s="1230">
        <f t="shared" si="9"/>
        <v>0</v>
      </c>
      <c r="CF11" s="1186">
        <f t="shared" si="10"/>
        <v>0</v>
      </c>
      <c r="CU11" s="934" t="s">
        <v>180</v>
      </c>
      <c r="CV11" s="934" t="s">
        <v>321</v>
      </c>
      <c r="CW11" s="920">
        <v>6</v>
      </c>
      <c r="CX11" s="926">
        <f t="shared" si="11"/>
        <v>0.19</v>
      </c>
      <c r="CY11" s="872" t="s">
        <v>469</v>
      </c>
      <c r="CZ11" s="875" t="s">
        <v>474</v>
      </c>
      <c r="DA11" s="920">
        <v>6</v>
      </c>
      <c r="DB11" s="930">
        <f t="shared" si="12"/>
        <v>0.19</v>
      </c>
      <c r="DC11" s="928" t="str">
        <f t="shared" si="13"/>
        <v>IT (Lizenzen, Windows, Office, Wartung)</v>
      </c>
      <c r="DD11" s="928" t="str">
        <f t="shared" si="14"/>
        <v>IT (licenses, windows, office, maintenace, ...)</v>
      </c>
      <c r="DR11" s="126"/>
    </row>
    <row r="12" spans="1:128" ht="15" thickBot="1" x14ac:dyDescent="0.25">
      <c r="A12" s="1385">
        <v>0.19</v>
      </c>
      <c r="B12" s="72">
        <f t="shared" si="5"/>
        <v>0.19</v>
      </c>
      <c r="C12" s="1432" t="s">
        <v>470</v>
      </c>
      <c r="D12" s="1433"/>
      <c r="E12" s="1433"/>
      <c r="F12" s="1433"/>
      <c r="G12" s="1433"/>
      <c r="H12" s="1433"/>
      <c r="I12" s="1433"/>
      <c r="J12" s="1433"/>
      <c r="K12" s="1433"/>
      <c r="L12" s="1433"/>
      <c r="M12" s="1433"/>
      <c r="N12" s="1433"/>
      <c r="O12" s="1433"/>
      <c r="P12" s="1434">
        <f t="shared" si="6"/>
        <v>0</v>
      </c>
      <c r="Q12" s="1675"/>
      <c r="R12" s="1569"/>
      <c r="S12" s="1556"/>
      <c r="T12" s="68"/>
      <c r="U12" s="78" t="str">
        <f t="shared" si="4"/>
        <v>Nebenkosten (%)</v>
      </c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938"/>
      <c r="AH12" s="44"/>
      <c r="BA12" s="72"/>
      <c r="BB12" s="1063" t="s">
        <v>470</v>
      </c>
      <c r="BC12" s="1230">
        <f t="shared" si="7"/>
        <v>0</v>
      </c>
      <c r="BD12" s="1230">
        <f t="shared" si="7"/>
        <v>0</v>
      </c>
      <c r="BE12" s="1230">
        <f t="shared" si="7"/>
        <v>0</v>
      </c>
      <c r="BF12" s="1230">
        <f t="shared" si="7"/>
        <v>0</v>
      </c>
      <c r="BG12" s="1230">
        <f t="shared" si="7"/>
        <v>0</v>
      </c>
      <c r="BH12" s="1230">
        <f t="shared" si="7"/>
        <v>0</v>
      </c>
      <c r="BI12" s="1230">
        <f t="shared" si="7"/>
        <v>0</v>
      </c>
      <c r="BJ12" s="1230">
        <f t="shared" si="7"/>
        <v>0</v>
      </c>
      <c r="BK12" s="1230">
        <f t="shared" si="7"/>
        <v>0</v>
      </c>
      <c r="BL12" s="1230">
        <f t="shared" si="7"/>
        <v>0</v>
      </c>
      <c r="BM12" s="1230">
        <f t="shared" si="7"/>
        <v>0</v>
      </c>
      <c r="BN12" s="1230">
        <f t="shared" si="7"/>
        <v>0</v>
      </c>
      <c r="BO12" s="1187">
        <f t="shared" si="8"/>
        <v>0</v>
      </c>
      <c r="BP12" s="68"/>
      <c r="BQ12" s="68"/>
      <c r="BR12" s="72"/>
      <c r="BS12" s="990" t="s">
        <v>470</v>
      </c>
      <c r="BT12" s="1230">
        <f t="shared" si="9"/>
        <v>0</v>
      </c>
      <c r="BU12" s="1230">
        <f t="shared" si="9"/>
        <v>0</v>
      </c>
      <c r="BV12" s="1230">
        <f t="shared" si="9"/>
        <v>0</v>
      </c>
      <c r="BW12" s="1230">
        <f t="shared" si="9"/>
        <v>0</v>
      </c>
      <c r="BX12" s="1230">
        <f t="shared" si="9"/>
        <v>0</v>
      </c>
      <c r="BY12" s="1230">
        <f t="shared" si="9"/>
        <v>0</v>
      </c>
      <c r="BZ12" s="1230">
        <f t="shared" si="9"/>
        <v>0</v>
      </c>
      <c r="CA12" s="1230">
        <f t="shared" si="9"/>
        <v>0</v>
      </c>
      <c r="CB12" s="1230">
        <f t="shared" si="9"/>
        <v>0</v>
      </c>
      <c r="CC12" s="1230">
        <f t="shared" si="9"/>
        <v>0</v>
      </c>
      <c r="CD12" s="1230">
        <f t="shared" si="9"/>
        <v>0</v>
      </c>
      <c r="CE12" s="1230">
        <f t="shared" si="9"/>
        <v>0</v>
      </c>
      <c r="CF12" s="1187">
        <f t="shared" si="10"/>
        <v>0</v>
      </c>
      <c r="CU12" s="934" t="s">
        <v>181</v>
      </c>
      <c r="CV12" s="934" t="s">
        <v>323</v>
      </c>
      <c r="CW12" s="920">
        <v>7</v>
      </c>
      <c r="CX12" s="1296">
        <f t="shared" si="11"/>
        <v>0.19</v>
      </c>
      <c r="CY12" s="873" t="s">
        <v>470</v>
      </c>
      <c r="CZ12" s="873" t="s">
        <v>473</v>
      </c>
      <c r="DA12" s="920">
        <v>7</v>
      </c>
      <c r="DB12" s="930">
        <f t="shared" si="12"/>
        <v>0.19</v>
      </c>
      <c r="DC12" s="928" t="str">
        <f t="shared" si="13"/>
        <v>Sonstiges</v>
      </c>
      <c r="DD12" s="928" t="str">
        <f t="shared" si="14"/>
        <v>Others</v>
      </c>
      <c r="DR12" s="126"/>
    </row>
    <row r="13" spans="1:128" ht="15.75" thickTop="1" thickBot="1" x14ac:dyDescent="0.25">
      <c r="A13" s="1002"/>
      <c r="B13" s="1487"/>
      <c r="C13" s="1488" t="str">
        <f t="shared" si="1"/>
        <v>Summe Bürokosten</v>
      </c>
      <c r="D13" s="1489">
        <f>SUM(D7:D12)</f>
        <v>0</v>
      </c>
      <c r="E13" s="1489">
        <f t="shared" ref="E13:O13" si="15">SUM(E7:E12)</f>
        <v>0</v>
      </c>
      <c r="F13" s="1489">
        <f t="shared" si="15"/>
        <v>0</v>
      </c>
      <c r="G13" s="1489">
        <f t="shared" si="15"/>
        <v>0</v>
      </c>
      <c r="H13" s="1489">
        <f t="shared" si="15"/>
        <v>0</v>
      </c>
      <c r="I13" s="1489">
        <f t="shared" si="15"/>
        <v>0</v>
      </c>
      <c r="J13" s="1489">
        <f t="shared" si="15"/>
        <v>0</v>
      </c>
      <c r="K13" s="1489">
        <f t="shared" si="15"/>
        <v>0</v>
      </c>
      <c r="L13" s="1489">
        <f t="shared" si="15"/>
        <v>0</v>
      </c>
      <c r="M13" s="1489">
        <f t="shared" si="15"/>
        <v>0</v>
      </c>
      <c r="N13" s="1489">
        <f t="shared" si="15"/>
        <v>0</v>
      </c>
      <c r="O13" s="1489">
        <f t="shared" si="15"/>
        <v>0</v>
      </c>
      <c r="P13" s="1490">
        <f>SUM(D13:O13)</f>
        <v>0</v>
      </c>
      <c r="Q13" s="1584"/>
      <c r="R13" s="1569"/>
      <c r="S13" s="82"/>
      <c r="T13" s="68"/>
      <c r="U13" s="83" t="str">
        <f t="shared" si="4"/>
        <v>Gehaltssumme</v>
      </c>
      <c r="V13" s="84">
        <f>((V6*V7)+(V8*V9)+(V10*V11))*(1+V12)</f>
        <v>0</v>
      </c>
      <c r="W13" s="84">
        <f t="shared" ref="W13:AG13" si="16">((W6*W7)+(W8*W9)+(W10*W11))*(1+W12)</f>
        <v>0</v>
      </c>
      <c r="X13" s="84">
        <f t="shared" si="16"/>
        <v>0</v>
      </c>
      <c r="Y13" s="84">
        <f t="shared" si="16"/>
        <v>0</v>
      </c>
      <c r="Z13" s="84">
        <f t="shared" si="16"/>
        <v>0</v>
      </c>
      <c r="AA13" s="84">
        <f t="shared" si="16"/>
        <v>0</v>
      </c>
      <c r="AB13" s="84">
        <f t="shared" si="16"/>
        <v>0</v>
      </c>
      <c r="AC13" s="84">
        <f t="shared" si="16"/>
        <v>0</v>
      </c>
      <c r="AD13" s="84">
        <f t="shared" si="16"/>
        <v>0</v>
      </c>
      <c r="AE13" s="84">
        <f t="shared" si="16"/>
        <v>0</v>
      </c>
      <c r="AF13" s="84">
        <f t="shared" si="16"/>
        <v>0</v>
      </c>
      <c r="AG13" s="85">
        <f t="shared" si="16"/>
        <v>0</v>
      </c>
      <c r="AH13" s="944">
        <f>SUM(V13:AG13)</f>
        <v>0</v>
      </c>
      <c r="AZ13" s="35" t="b">
        <f>IFERROR(OR(BO13,CF13),-1)</f>
        <v>0</v>
      </c>
      <c r="BA13" s="80"/>
      <c r="BB13" s="81" t="s">
        <v>617</v>
      </c>
      <c r="BC13" s="1188">
        <f>SUM(BC7:BC12)</f>
        <v>0</v>
      </c>
      <c r="BD13" s="1188">
        <f t="shared" ref="BD13:BN13" si="17">SUM(BD7:BD12)</f>
        <v>0</v>
      </c>
      <c r="BE13" s="1188">
        <f t="shared" si="17"/>
        <v>0</v>
      </c>
      <c r="BF13" s="1188">
        <f t="shared" si="17"/>
        <v>0</v>
      </c>
      <c r="BG13" s="1188">
        <f t="shared" si="17"/>
        <v>0</v>
      </c>
      <c r="BH13" s="1188">
        <f t="shared" si="17"/>
        <v>0</v>
      </c>
      <c r="BI13" s="1188">
        <f t="shared" si="17"/>
        <v>0</v>
      </c>
      <c r="BJ13" s="1188">
        <f t="shared" si="17"/>
        <v>0</v>
      </c>
      <c r="BK13" s="1188">
        <f t="shared" si="17"/>
        <v>0</v>
      </c>
      <c r="BL13" s="1188">
        <f t="shared" si="17"/>
        <v>0</v>
      </c>
      <c r="BM13" s="1188">
        <f t="shared" si="17"/>
        <v>0</v>
      </c>
      <c r="BN13" s="1188">
        <f t="shared" si="17"/>
        <v>0</v>
      </c>
      <c r="BO13" s="1189">
        <f>SUM(BC13:BN13)</f>
        <v>0</v>
      </c>
      <c r="BP13" s="68"/>
      <c r="BQ13" s="68"/>
      <c r="BR13" s="80"/>
      <c r="BS13" s="81" t="s">
        <v>617</v>
      </c>
      <c r="BT13" s="1188">
        <f>SUM(BT7:BT12)</f>
        <v>0</v>
      </c>
      <c r="BU13" s="1188">
        <f t="shared" ref="BU13:CE13" si="18">SUM(BU7:BU12)</f>
        <v>0</v>
      </c>
      <c r="BV13" s="1188">
        <f t="shared" si="18"/>
        <v>0</v>
      </c>
      <c r="BW13" s="1188">
        <f t="shared" si="18"/>
        <v>0</v>
      </c>
      <c r="BX13" s="1188">
        <f t="shared" si="18"/>
        <v>0</v>
      </c>
      <c r="BY13" s="1188">
        <f t="shared" si="18"/>
        <v>0</v>
      </c>
      <c r="BZ13" s="1188">
        <f t="shared" si="18"/>
        <v>0</v>
      </c>
      <c r="CA13" s="1188">
        <f t="shared" si="18"/>
        <v>0</v>
      </c>
      <c r="CB13" s="1188">
        <f t="shared" si="18"/>
        <v>0</v>
      </c>
      <c r="CC13" s="1188">
        <f t="shared" si="18"/>
        <v>0</v>
      </c>
      <c r="CD13" s="1188">
        <f t="shared" si="18"/>
        <v>0</v>
      </c>
      <c r="CE13" s="1188">
        <f t="shared" si="18"/>
        <v>0</v>
      </c>
      <c r="CF13" s="1189">
        <f>SUM(BT13:CE13)</f>
        <v>0</v>
      </c>
      <c r="CU13" s="875" t="s">
        <v>182</v>
      </c>
      <c r="CV13" s="875" t="s">
        <v>324</v>
      </c>
      <c r="CW13" s="920">
        <v>8</v>
      </c>
      <c r="CX13" s="926"/>
      <c r="CY13" s="876" t="str">
        <f>"Summe " &amp;CY6</f>
        <v>Summe Bürokosten</v>
      </c>
      <c r="CZ13" s="874" t="s">
        <v>282</v>
      </c>
      <c r="DA13" s="920">
        <v>8</v>
      </c>
      <c r="DB13" s="930">
        <f t="shared" si="12"/>
        <v>0</v>
      </c>
      <c r="DC13" s="928" t="str">
        <f t="shared" si="13"/>
        <v>Summe Bürokosten</v>
      </c>
      <c r="DD13" s="928" t="str">
        <f t="shared" si="14"/>
        <v>Sum office expences</v>
      </c>
      <c r="DR13" s="126"/>
    </row>
    <row r="14" spans="1:128" x14ac:dyDescent="0.2">
      <c r="A14" s="1002"/>
      <c r="B14" s="140">
        <v>2</v>
      </c>
      <c r="C14" s="63" t="str">
        <f t="shared" si="1"/>
        <v>Produktionskosten</v>
      </c>
      <c r="D14" s="1193"/>
      <c r="E14" s="1193"/>
      <c r="F14" s="1193"/>
      <c r="G14" s="1193"/>
      <c r="H14" s="1193"/>
      <c r="I14" s="1193"/>
      <c r="J14" s="1193"/>
      <c r="K14" s="1193"/>
      <c r="L14" s="1193"/>
      <c r="M14" s="1193"/>
      <c r="N14" s="1193"/>
      <c r="O14" s="1193"/>
      <c r="P14" s="1186"/>
      <c r="Q14" s="1584"/>
      <c r="R14" s="1569"/>
      <c r="S14" s="93"/>
      <c r="T14" s="68"/>
      <c r="U14" s="35"/>
      <c r="V14" s="1591" t="s">
        <v>797</v>
      </c>
      <c r="W14" s="1591" t="s">
        <v>797</v>
      </c>
      <c r="X14" s="1591" t="s">
        <v>797</v>
      </c>
      <c r="Y14" s="1591" t="s">
        <v>797</v>
      </c>
      <c r="Z14" s="1591" t="s">
        <v>797</v>
      </c>
      <c r="AA14" s="1591" t="s">
        <v>797</v>
      </c>
      <c r="AB14" s="1591" t="s">
        <v>797</v>
      </c>
      <c r="AC14" s="1591" t="s">
        <v>797</v>
      </c>
      <c r="AD14" s="1591" t="s">
        <v>797</v>
      </c>
      <c r="AE14" s="1591" t="s">
        <v>797</v>
      </c>
      <c r="AF14" s="1591" t="s">
        <v>797</v>
      </c>
      <c r="AG14" s="1591" t="s">
        <v>797</v>
      </c>
      <c r="AH14" s="44"/>
      <c r="BA14" s="141">
        <v>2</v>
      </c>
      <c r="BB14" s="86" t="s">
        <v>48</v>
      </c>
      <c r="BC14" s="1190"/>
      <c r="BD14" s="1190"/>
      <c r="BE14" s="1190"/>
      <c r="BF14" s="1190"/>
      <c r="BG14" s="1190"/>
      <c r="BH14" s="1190"/>
      <c r="BI14" s="1190"/>
      <c r="BJ14" s="1190"/>
      <c r="BK14" s="1190"/>
      <c r="BL14" s="1190"/>
      <c r="BM14" s="1190"/>
      <c r="BN14" s="1190"/>
      <c r="BO14" s="1191"/>
      <c r="BP14" s="68"/>
      <c r="BQ14" s="68"/>
      <c r="BR14" s="141">
        <v>2</v>
      </c>
      <c r="BS14" s="86" t="s">
        <v>48</v>
      </c>
      <c r="BT14" s="1190"/>
      <c r="BU14" s="1190"/>
      <c r="BV14" s="1190"/>
      <c r="BW14" s="1190"/>
      <c r="BX14" s="1190"/>
      <c r="BY14" s="1190"/>
      <c r="BZ14" s="1190"/>
      <c r="CA14" s="1190"/>
      <c r="CB14" s="1190"/>
      <c r="CC14" s="1190"/>
      <c r="CD14" s="1190"/>
      <c r="CE14" s="1190"/>
      <c r="CF14" s="1191"/>
      <c r="CW14" s="920">
        <v>9</v>
      </c>
      <c r="CX14" s="926"/>
      <c r="CY14" s="876" t="s">
        <v>48</v>
      </c>
      <c r="CZ14" s="876" t="s">
        <v>274</v>
      </c>
      <c r="DA14" s="920">
        <v>9</v>
      </c>
      <c r="DB14" s="930">
        <f t="shared" si="12"/>
        <v>0</v>
      </c>
      <c r="DC14" s="928" t="str">
        <f t="shared" si="13"/>
        <v>Produktionskosten</v>
      </c>
      <c r="DD14" s="928" t="str">
        <f t="shared" si="14"/>
        <v>Production costs</v>
      </c>
      <c r="DR14" s="126"/>
    </row>
    <row r="15" spans="1:128" x14ac:dyDescent="0.2">
      <c r="A15" s="1002">
        <f>$Q$2</f>
        <v>0.19</v>
      </c>
      <c r="B15" s="72">
        <f t="shared" ref="B15:B22" si="19">IF($D$4&lt;&gt;1, A15,"")</f>
        <v>0.19</v>
      </c>
      <c r="C15" s="1429" t="str">
        <f t="shared" si="1"/>
        <v>Raummiete</v>
      </c>
      <c r="D15" s="1430"/>
      <c r="E15" s="1430"/>
      <c r="F15" s="1430"/>
      <c r="G15" s="1430"/>
      <c r="H15" s="1430"/>
      <c r="I15" s="1430"/>
      <c r="J15" s="1430"/>
      <c r="K15" s="1430"/>
      <c r="L15" s="1430"/>
      <c r="M15" s="1430"/>
      <c r="N15" s="1430"/>
      <c r="O15" s="1430"/>
      <c r="P15" s="1431">
        <f t="shared" ref="P15:P22" si="20">SUM(D15:O15)</f>
        <v>0</v>
      </c>
      <c r="Q15" s="1675" t="str">
        <f>IF($C$2="english",$CV$16,$CU$16)</f>
        <v>Verschieben von Zellen
führt zu Bezugsfehlern!
Mit (Str+Z) oder
(Undo-Symbol) rückgängig machen</v>
      </c>
      <c r="R15" s="1569"/>
      <c r="S15" s="1556"/>
      <c r="T15" s="68"/>
      <c r="U15" s="35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44"/>
      <c r="BA15" s="72">
        <v>0.19</v>
      </c>
      <c r="BB15" s="73" t="s">
        <v>467</v>
      </c>
      <c r="BC15" s="1230">
        <f t="shared" ref="BC15:BN22" si="21">IF($A15=$Q$2,D15*IF(OR($D$4=0,$D$4=3),$A15,$A15/(1+$A15)),0)</f>
        <v>0</v>
      </c>
      <c r="BD15" s="1230">
        <f t="shared" si="21"/>
        <v>0</v>
      </c>
      <c r="BE15" s="1230">
        <f t="shared" si="21"/>
        <v>0</v>
      </c>
      <c r="BF15" s="1230">
        <f t="shared" si="21"/>
        <v>0</v>
      </c>
      <c r="BG15" s="1230">
        <f t="shared" si="21"/>
        <v>0</v>
      </c>
      <c r="BH15" s="1230">
        <f t="shared" si="21"/>
        <v>0</v>
      </c>
      <c r="BI15" s="1230">
        <f t="shared" si="21"/>
        <v>0</v>
      </c>
      <c r="BJ15" s="1230">
        <f t="shared" si="21"/>
        <v>0</v>
      </c>
      <c r="BK15" s="1230">
        <f t="shared" si="21"/>
        <v>0</v>
      </c>
      <c r="BL15" s="1230">
        <f t="shared" si="21"/>
        <v>0</v>
      </c>
      <c r="BM15" s="1230">
        <f t="shared" si="21"/>
        <v>0</v>
      </c>
      <c r="BN15" s="1230">
        <f t="shared" si="21"/>
        <v>0</v>
      </c>
      <c r="BO15" s="1186">
        <f t="shared" ref="BO15:BO22" si="22">SUM(BC15:BN15)</f>
        <v>0</v>
      </c>
      <c r="BP15" s="68"/>
      <c r="BQ15" s="68"/>
      <c r="BR15" s="72">
        <v>0.19</v>
      </c>
      <c r="BS15" s="73" t="s">
        <v>467</v>
      </c>
      <c r="BT15" s="1230">
        <f t="shared" ref="BT15:CE22" si="23">IF($A15=$Q$3,D15*IF(OR($D$4=0,$D$4=3),$A15,$A15/(1+$A15)),0)</f>
        <v>0</v>
      </c>
      <c r="BU15" s="1230">
        <f t="shared" si="23"/>
        <v>0</v>
      </c>
      <c r="BV15" s="1230">
        <f t="shared" si="23"/>
        <v>0</v>
      </c>
      <c r="BW15" s="1230">
        <f t="shared" si="23"/>
        <v>0</v>
      </c>
      <c r="BX15" s="1230">
        <f t="shared" si="23"/>
        <v>0</v>
      </c>
      <c r="BY15" s="1230">
        <f t="shared" si="23"/>
        <v>0</v>
      </c>
      <c r="BZ15" s="1230">
        <f t="shared" si="23"/>
        <v>0</v>
      </c>
      <c r="CA15" s="1230">
        <f t="shared" si="23"/>
        <v>0</v>
      </c>
      <c r="CB15" s="1230">
        <f t="shared" si="23"/>
        <v>0</v>
      </c>
      <c r="CC15" s="1230">
        <f t="shared" si="23"/>
        <v>0</v>
      </c>
      <c r="CD15" s="1230">
        <f t="shared" si="23"/>
        <v>0</v>
      </c>
      <c r="CE15" s="1230">
        <f t="shared" si="23"/>
        <v>0</v>
      </c>
      <c r="CF15" s="1186">
        <f t="shared" ref="CF15:CF23" si="24">SUM(BT15:CE15)</f>
        <v>0</v>
      </c>
      <c r="CW15" s="920">
        <v>10</v>
      </c>
      <c r="CX15" s="926">
        <f>$Q$2</f>
        <v>0.19</v>
      </c>
      <c r="CY15" s="872" t="s">
        <v>467</v>
      </c>
      <c r="CZ15" s="876" t="s">
        <v>655</v>
      </c>
      <c r="DA15" s="920">
        <v>10</v>
      </c>
      <c r="DB15" s="930">
        <f t="shared" si="12"/>
        <v>0.19</v>
      </c>
      <c r="DC15" s="928" t="str">
        <f t="shared" si="13"/>
        <v>Raummiete</v>
      </c>
      <c r="DD15" s="928" t="str">
        <f t="shared" si="14"/>
        <v>Room rental</v>
      </c>
      <c r="DR15" s="126"/>
    </row>
    <row r="16" spans="1:128" ht="15" thickBot="1" x14ac:dyDescent="0.25">
      <c r="A16" s="1002">
        <f>$Q$2</f>
        <v>0.19</v>
      </c>
      <c r="B16" s="72">
        <f t="shared" si="19"/>
        <v>0.19</v>
      </c>
      <c r="C16" s="1429" t="str">
        <f t="shared" si="1"/>
        <v>Strom, Wasser, Heizung, sonst. Nebenkosten</v>
      </c>
      <c r="D16" s="1430"/>
      <c r="E16" s="1430"/>
      <c r="F16" s="1430"/>
      <c r="G16" s="1430"/>
      <c r="H16" s="1430"/>
      <c r="I16" s="1430"/>
      <c r="J16" s="1430"/>
      <c r="K16" s="1430"/>
      <c r="L16" s="1430"/>
      <c r="M16" s="1430"/>
      <c r="N16" s="1430"/>
      <c r="O16" s="1430"/>
      <c r="P16" s="1431">
        <f t="shared" si="20"/>
        <v>0</v>
      </c>
      <c r="Q16" s="1675"/>
      <c r="R16" s="1569"/>
      <c r="S16" s="1556"/>
      <c r="T16" s="68"/>
      <c r="U16" s="35"/>
      <c r="V16" s="49">
        <f>IFERROR(V25,-1)</f>
        <v>0</v>
      </c>
      <c r="W16" s="49">
        <f t="shared" ref="W16:AG16" si="25">IFERROR(W25,-1)</f>
        <v>0</v>
      </c>
      <c r="X16" s="49">
        <f t="shared" si="25"/>
        <v>0</v>
      </c>
      <c r="Y16" s="49">
        <f t="shared" si="25"/>
        <v>0</v>
      </c>
      <c r="Z16" s="49">
        <f t="shared" si="25"/>
        <v>0</v>
      </c>
      <c r="AA16" s="49">
        <f t="shared" si="25"/>
        <v>0</v>
      </c>
      <c r="AB16" s="49">
        <f t="shared" si="25"/>
        <v>0</v>
      </c>
      <c r="AC16" s="49">
        <f t="shared" si="25"/>
        <v>0</v>
      </c>
      <c r="AD16" s="49">
        <f t="shared" si="25"/>
        <v>0</v>
      </c>
      <c r="AE16" s="49">
        <f t="shared" si="25"/>
        <v>0</v>
      </c>
      <c r="AF16" s="49">
        <f t="shared" si="25"/>
        <v>0</v>
      </c>
      <c r="AG16" s="49">
        <f t="shared" si="25"/>
        <v>0</v>
      </c>
      <c r="AH16" s="44"/>
      <c r="BA16" s="72">
        <v>0.19</v>
      </c>
      <c r="BB16" s="73" t="s">
        <v>468</v>
      </c>
      <c r="BC16" s="1230">
        <f t="shared" si="21"/>
        <v>0</v>
      </c>
      <c r="BD16" s="1230">
        <f t="shared" si="21"/>
        <v>0</v>
      </c>
      <c r="BE16" s="1230">
        <f t="shared" si="21"/>
        <v>0</v>
      </c>
      <c r="BF16" s="1230">
        <f t="shared" si="21"/>
        <v>0</v>
      </c>
      <c r="BG16" s="1230">
        <f t="shared" si="21"/>
        <v>0</v>
      </c>
      <c r="BH16" s="1230">
        <f t="shared" si="21"/>
        <v>0</v>
      </c>
      <c r="BI16" s="1230">
        <f t="shared" si="21"/>
        <v>0</v>
      </c>
      <c r="BJ16" s="1230">
        <f t="shared" si="21"/>
        <v>0</v>
      </c>
      <c r="BK16" s="1230">
        <f t="shared" si="21"/>
        <v>0</v>
      </c>
      <c r="BL16" s="1230">
        <f t="shared" si="21"/>
        <v>0</v>
      </c>
      <c r="BM16" s="1230">
        <f t="shared" si="21"/>
        <v>0</v>
      </c>
      <c r="BN16" s="1230">
        <f t="shared" si="21"/>
        <v>0</v>
      </c>
      <c r="BO16" s="1186">
        <f t="shared" si="22"/>
        <v>0</v>
      </c>
      <c r="BP16" s="68"/>
      <c r="BQ16" s="68"/>
      <c r="BR16" s="72">
        <v>0.19</v>
      </c>
      <c r="BS16" s="73" t="s">
        <v>468</v>
      </c>
      <c r="BT16" s="1230">
        <f t="shared" si="23"/>
        <v>0</v>
      </c>
      <c r="BU16" s="1230">
        <f t="shared" si="23"/>
        <v>0</v>
      </c>
      <c r="BV16" s="1230">
        <f t="shared" si="23"/>
        <v>0</v>
      </c>
      <c r="BW16" s="1230">
        <f t="shared" si="23"/>
        <v>0</v>
      </c>
      <c r="BX16" s="1230">
        <f t="shared" si="23"/>
        <v>0</v>
      </c>
      <c r="BY16" s="1230">
        <f t="shared" si="23"/>
        <v>0</v>
      </c>
      <c r="BZ16" s="1230">
        <f t="shared" si="23"/>
        <v>0</v>
      </c>
      <c r="CA16" s="1230">
        <f t="shared" si="23"/>
        <v>0</v>
      </c>
      <c r="CB16" s="1230">
        <f t="shared" si="23"/>
        <v>0</v>
      </c>
      <c r="CC16" s="1230">
        <f t="shared" si="23"/>
        <v>0</v>
      </c>
      <c r="CD16" s="1230">
        <f t="shared" si="23"/>
        <v>0</v>
      </c>
      <c r="CE16" s="1230">
        <f t="shared" si="23"/>
        <v>0</v>
      </c>
      <c r="CF16" s="1186">
        <f t="shared" si="24"/>
        <v>0</v>
      </c>
      <c r="CU16" s="875" t="s">
        <v>798</v>
      </c>
      <c r="CV16" s="875" t="s">
        <v>799</v>
      </c>
      <c r="CW16" s="920">
        <v>11</v>
      </c>
      <c r="CX16" s="926">
        <f>$Q$2</f>
        <v>0.19</v>
      </c>
      <c r="CY16" s="872" t="s">
        <v>468</v>
      </c>
      <c r="CZ16" s="874" t="s">
        <v>477</v>
      </c>
      <c r="DA16" s="920">
        <v>11</v>
      </c>
      <c r="DB16" s="930">
        <f t="shared" si="12"/>
        <v>0.19</v>
      </c>
      <c r="DC16" s="928" t="str">
        <f t="shared" si="13"/>
        <v>Strom, Wasser, Heizung, sonst. Nebenkosten</v>
      </c>
      <c r="DD16" s="928" t="str">
        <f t="shared" si="14"/>
        <v>Electricity, water, heating, other costs</v>
      </c>
      <c r="DR16" s="126"/>
    </row>
    <row r="17" spans="1:122" ht="15.75" customHeight="1" thickBot="1" x14ac:dyDescent="0.25">
      <c r="A17" s="1002">
        <f>$Q$2</f>
        <v>0.19</v>
      </c>
      <c r="B17" s="72">
        <f t="shared" si="19"/>
        <v>0.19</v>
      </c>
      <c r="C17" s="1429" t="str">
        <f t="shared" si="1"/>
        <v>Materialaufwand zur Produktion (19%)</v>
      </c>
      <c r="D17" s="1430"/>
      <c r="E17" s="1430"/>
      <c r="F17" s="1430"/>
      <c r="G17" s="1430"/>
      <c r="H17" s="1430"/>
      <c r="I17" s="1430"/>
      <c r="J17" s="1430"/>
      <c r="K17" s="1430"/>
      <c r="L17" s="1430"/>
      <c r="M17" s="1430"/>
      <c r="N17" s="1430"/>
      <c r="O17" s="1430"/>
      <c r="P17" s="1431">
        <f>SUM(D17:O17)</f>
        <v>0</v>
      </c>
      <c r="Q17" s="1675"/>
      <c r="R17" s="1569"/>
      <c r="S17" s="1556"/>
      <c r="T17" s="68"/>
      <c r="U17" s="709">
        <f ca="1">E153</f>
        <v>2020</v>
      </c>
      <c r="V17" s="59" t="str">
        <f t="shared" ref="V17:AG17" si="26">V5</f>
        <v>Jan.</v>
      </c>
      <c r="W17" s="59" t="str">
        <f t="shared" si="26"/>
        <v>Febr.</v>
      </c>
      <c r="X17" s="59" t="str">
        <f t="shared" si="26"/>
        <v>März</v>
      </c>
      <c r="Y17" s="59" t="str">
        <f t="shared" si="26"/>
        <v>April</v>
      </c>
      <c r="Z17" s="59" t="str">
        <f t="shared" si="26"/>
        <v>Mai</v>
      </c>
      <c r="AA17" s="59" t="str">
        <f t="shared" si="26"/>
        <v>Juni</v>
      </c>
      <c r="AB17" s="59" t="str">
        <f t="shared" si="26"/>
        <v>Juli</v>
      </c>
      <c r="AC17" s="59" t="str">
        <f t="shared" si="26"/>
        <v>Aug.</v>
      </c>
      <c r="AD17" s="59" t="str">
        <f t="shared" si="26"/>
        <v>Sept.</v>
      </c>
      <c r="AE17" s="59" t="str">
        <f t="shared" si="26"/>
        <v>Okt.</v>
      </c>
      <c r="AF17" s="59" t="str">
        <f t="shared" si="26"/>
        <v>Nov.</v>
      </c>
      <c r="AG17" s="156" t="str">
        <f t="shared" si="26"/>
        <v>Dez.</v>
      </c>
      <c r="AH17" s="44"/>
      <c r="BA17" s="72">
        <v>0.19</v>
      </c>
      <c r="BB17" s="73" t="s">
        <v>618</v>
      </c>
      <c r="BC17" s="1230">
        <f t="shared" si="21"/>
        <v>0</v>
      </c>
      <c r="BD17" s="1230">
        <f t="shared" si="21"/>
        <v>0</v>
      </c>
      <c r="BE17" s="1230">
        <f t="shared" si="21"/>
        <v>0</v>
      </c>
      <c r="BF17" s="1230">
        <f t="shared" si="21"/>
        <v>0</v>
      </c>
      <c r="BG17" s="1230">
        <f t="shared" si="21"/>
        <v>0</v>
      </c>
      <c r="BH17" s="1230">
        <f t="shared" si="21"/>
        <v>0</v>
      </c>
      <c r="BI17" s="1230">
        <f t="shared" si="21"/>
        <v>0</v>
      </c>
      <c r="BJ17" s="1230">
        <f t="shared" si="21"/>
        <v>0</v>
      </c>
      <c r="BK17" s="1230">
        <f t="shared" si="21"/>
        <v>0</v>
      </c>
      <c r="BL17" s="1230">
        <f t="shared" si="21"/>
        <v>0</v>
      </c>
      <c r="BM17" s="1230">
        <f t="shared" si="21"/>
        <v>0</v>
      </c>
      <c r="BN17" s="1230">
        <f t="shared" si="21"/>
        <v>0</v>
      </c>
      <c r="BO17" s="1186">
        <f>SUM(BC17:BN17)</f>
        <v>0</v>
      </c>
      <c r="BP17" s="68"/>
      <c r="BQ17" s="68"/>
      <c r="BR17" s="72">
        <v>0.19</v>
      </c>
      <c r="BS17" s="73" t="s">
        <v>618</v>
      </c>
      <c r="BT17" s="1230">
        <f t="shared" si="23"/>
        <v>0</v>
      </c>
      <c r="BU17" s="1230">
        <f t="shared" si="23"/>
        <v>0</v>
      </c>
      <c r="BV17" s="1230">
        <f t="shared" si="23"/>
        <v>0</v>
      </c>
      <c r="BW17" s="1230">
        <f t="shared" si="23"/>
        <v>0</v>
      </c>
      <c r="BX17" s="1230">
        <f t="shared" si="23"/>
        <v>0</v>
      </c>
      <c r="BY17" s="1230">
        <f t="shared" si="23"/>
        <v>0</v>
      </c>
      <c r="BZ17" s="1230">
        <f t="shared" si="23"/>
        <v>0</v>
      </c>
      <c r="CA17" s="1230">
        <f t="shared" si="23"/>
        <v>0</v>
      </c>
      <c r="CB17" s="1230">
        <f t="shared" si="23"/>
        <v>0</v>
      </c>
      <c r="CC17" s="1230">
        <f t="shared" si="23"/>
        <v>0</v>
      </c>
      <c r="CD17" s="1230">
        <f t="shared" si="23"/>
        <v>0</v>
      </c>
      <c r="CE17" s="1230">
        <f t="shared" si="23"/>
        <v>0</v>
      </c>
      <c r="CF17" s="1186">
        <f t="shared" si="24"/>
        <v>0</v>
      </c>
      <c r="CU17" s="90"/>
      <c r="CV17" s="90"/>
      <c r="CW17" s="920">
        <v>12</v>
      </c>
      <c r="CX17" s="926">
        <f>$Q$2</f>
        <v>0.19</v>
      </c>
      <c r="CY17" s="876" t="str">
        <f>"Materialaufwand zur Produktion ("&amp;$Q$2*100 &amp;"%)"</f>
        <v>Materialaufwand zur Produktion (19%)</v>
      </c>
      <c r="CZ17" s="874" t="str">
        <f>"Cost of production material  ("&amp;$Q$2*100 &amp;"%)"</f>
        <v>Cost of production material  (19%)</v>
      </c>
      <c r="DA17" s="920">
        <v>12</v>
      </c>
      <c r="DB17" s="930">
        <f t="shared" si="12"/>
        <v>0.19</v>
      </c>
      <c r="DC17" s="928" t="str">
        <f t="shared" si="13"/>
        <v>Materialaufwand zur Produktion (19%)</v>
      </c>
      <c r="DD17" s="928" t="str">
        <f t="shared" si="14"/>
        <v>Cost of production material  (19%)</v>
      </c>
      <c r="DR17" s="126"/>
    </row>
    <row r="18" spans="1:122" ht="15.75" customHeight="1" x14ac:dyDescent="0.2">
      <c r="A18" s="1002">
        <f>$Q$3</f>
        <v>7.0000000000000007E-2</v>
      </c>
      <c r="B18" s="72">
        <f t="shared" si="19"/>
        <v>7.0000000000000007E-2</v>
      </c>
      <c r="C18" s="1429" t="str">
        <f t="shared" si="1"/>
        <v>Materialaufwand zur Produktion (7%)</v>
      </c>
      <c r="D18" s="1430"/>
      <c r="E18" s="1430"/>
      <c r="F18" s="1430"/>
      <c r="G18" s="1430"/>
      <c r="H18" s="1430"/>
      <c r="I18" s="1430"/>
      <c r="J18" s="1430"/>
      <c r="K18" s="1430"/>
      <c r="L18" s="1430"/>
      <c r="M18" s="1430"/>
      <c r="N18" s="1430"/>
      <c r="O18" s="1430"/>
      <c r="P18" s="1431">
        <f t="shared" si="20"/>
        <v>0</v>
      </c>
      <c r="Q18" s="1675"/>
      <c r="R18" s="1569"/>
      <c r="S18" s="1556"/>
      <c r="T18" s="68"/>
      <c r="U18" s="69" t="str">
        <f t="shared" ref="U18:U25" si="27">U6</f>
        <v xml:space="preserve"> Anzahl Mitarbeiter</v>
      </c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936"/>
      <c r="AH18" s="44"/>
      <c r="BA18" s="72">
        <v>7.0000000000000007E-2</v>
      </c>
      <c r="BB18" s="73" t="s">
        <v>619</v>
      </c>
      <c r="BC18" s="1230">
        <f t="shared" si="21"/>
        <v>0</v>
      </c>
      <c r="BD18" s="1230">
        <f t="shared" si="21"/>
        <v>0</v>
      </c>
      <c r="BE18" s="1230">
        <f t="shared" si="21"/>
        <v>0</v>
      </c>
      <c r="BF18" s="1230">
        <f t="shared" si="21"/>
        <v>0</v>
      </c>
      <c r="BG18" s="1230">
        <f t="shared" si="21"/>
        <v>0</v>
      </c>
      <c r="BH18" s="1230">
        <f t="shared" si="21"/>
        <v>0</v>
      </c>
      <c r="BI18" s="1230">
        <f t="shared" si="21"/>
        <v>0</v>
      </c>
      <c r="BJ18" s="1230">
        <f t="shared" si="21"/>
        <v>0</v>
      </c>
      <c r="BK18" s="1230">
        <f t="shared" si="21"/>
        <v>0</v>
      </c>
      <c r="BL18" s="1230">
        <f t="shared" si="21"/>
        <v>0</v>
      </c>
      <c r="BM18" s="1230">
        <f t="shared" si="21"/>
        <v>0</v>
      </c>
      <c r="BN18" s="1230">
        <f t="shared" si="21"/>
        <v>0</v>
      </c>
      <c r="BO18" s="1186">
        <f t="shared" si="22"/>
        <v>0</v>
      </c>
      <c r="BP18" s="68"/>
      <c r="BQ18" s="68"/>
      <c r="BR18" s="72">
        <v>7.0000000000000007E-2</v>
      </c>
      <c r="BS18" s="73" t="s">
        <v>619</v>
      </c>
      <c r="BT18" s="1230">
        <f t="shared" si="23"/>
        <v>0</v>
      </c>
      <c r="BU18" s="1230">
        <f t="shared" si="23"/>
        <v>0</v>
      </c>
      <c r="BV18" s="1230">
        <f t="shared" si="23"/>
        <v>0</v>
      </c>
      <c r="BW18" s="1230">
        <f t="shared" si="23"/>
        <v>0</v>
      </c>
      <c r="BX18" s="1230">
        <f t="shared" si="23"/>
        <v>0</v>
      </c>
      <c r="BY18" s="1230">
        <f t="shared" si="23"/>
        <v>0</v>
      </c>
      <c r="BZ18" s="1230">
        <f t="shared" si="23"/>
        <v>0</v>
      </c>
      <c r="CA18" s="1230">
        <f t="shared" si="23"/>
        <v>0</v>
      </c>
      <c r="CB18" s="1230">
        <f t="shared" si="23"/>
        <v>0</v>
      </c>
      <c r="CC18" s="1230">
        <f t="shared" si="23"/>
        <v>0</v>
      </c>
      <c r="CD18" s="1230">
        <f t="shared" si="23"/>
        <v>0</v>
      </c>
      <c r="CE18" s="1230">
        <f t="shared" si="23"/>
        <v>0</v>
      </c>
      <c r="CF18" s="1186">
        <f t="shared" si="24"/>
        <v>0</v>
      </c>
      <c r="CU18" s="90"/>
      <c r="CV18" s="90"/>
      <c r="CW18" s="920">
        <v>13</v>
      </c>
      <c r="CX18" s="926">
        <f>$Q$3</f>
        <v>7.0000000000000007E-2</v>
      </c>
      <c r="CY18" s="876" t="str">
        <f>"Materialaufwand zur Produktion ("&amp;$Q$3*100 &amp;"%)"</f>
        <v>Materialaufwand zur Produktion (7%)</v>
      </c>
      <c r="CZ18" s="874" t="str">
        <f>"Cost for materials for production  ("&amp;$Q$3*100 &amp;"%)"</f>
        <v>Cost for materials for production  (7%)</v>
      </c>
      <c r="DA18" s="920">
        <v>13</v>
      </c>
      <c r="DB18" s="930">
        <f t="shared" si="12"/>
        <v>7.0000000000000007E-2</v>
      </c>
      <c r="DC18" s="928" t="str">
        <f t="shared" si="13"/>
        <v>Materialaufwand zur Produktion (7%)</v>
      </c>
      <c r="DD18" s="928" t="str">
        <f t="shared" si="14"/>
        <v>Cost for materials for production  (7%)</v>
      </c>
      <c r="DR18" s="126"/>
    </row>
    <row r="19" spans="1:122" x14ac:dyDescent="0.2">
      <c r="A19" s="1002">
        <f>$Q$2</f>
        <v>0.19</v>
      </c>
      <c r="B19" s="72">
        <f t="shared" si="19"/>
        <v>0.19</v>
      </c>
      <c r="C19" s="1429" t="str">
        <f>IF($C$2="Deutsch",CY19,IF($C$2="English",CZ19,DB19))</f>
        <v>Produktionsbedarf, geringwertige Wirtschaftsgüter</v>
      </c>
      <c r="D19" s="1430"/>
      <c r="E19" s="1430"/>
      <c r="F19" s="1430"/>
      <c r="G19" s="1430"/>
      <c r="H19" s="1430"/>
      <c r="I19" s="1430"/>
      <c r="J19" s="1430"/>
      <c r="K19" s="1430"/>
      <c r="L19" s="1430"/>
      <c r="M19" s="1430"/>
      <c r="N19" s="1430"/>
      <c r="O19" s="1430"/>
      <c r="P19" s="1431">
        <f t="shared" si="20"/>
        <v>0</v>
      </c>
      <c r="Q19" s="1675"/>
      <c r="R19" s="1569"/>
      <c r="S19" s="1556"/>
      <c r="T19" s="68"/>
      <c r="U19" s="76" t="str">
        <f t="shared" si="27"/>
        <v>Gehalt1</v>
      </c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937"/>
      <c r="AH19" s="44"/>
      <c r="BA19" s="72">
        <v>0.19</v>
      </c>
      <c r="BB19" s="73" t="s">
        <v>138</v>
      </c>
      <c r="BC19" s="1230">
        <f t="shared" si="21"/>
        <v>0</v>
      </c>
      <c r="BD19" s="1230">
        <f t="shared" si="21"/>
        <v>0</v>
      </c>
      <c r="BE19" s="1230">
        <f t="shared" si="21"/>
        <v>0</v>
      </c>
      <c r="BF19" s="1230">
        <f t="shared" si="21"/>
        <v>0</v>
      </c>
      <c r="BG19" s="1230">
        <f t="shared" si="21"/>
        <v>0</v>
      </c>
      <c r="BH19" s="1230">
        <f t="shared" si="21"/>
        <v>0</v>
      </c>
      <c r="BI19" s="1230">
        <f t="shared" si="21"/>
        <v>0</v>
      </c>
      <c r="BJ19" s="1230">
        <f t="shared" si="21"/>
        <v>0</v>
      </c>
      <c r="BK19" s="1230">
        <f t="shared" si="21"/>
        <v>0</v>
      </c>
      <c r="BL19" s="1230">
        <f t="shared" si="21"/>
        <v>0</v>
      </c>
      <c r="BM19" s="1230">
        <f t="shared" si="21"/>
        <v>0</v>
      </c>
      <c r="BN19" s="1230">
        <f t="shared" si="21"/>
        <v>0</v>
      </c>
      <c r="BO19" s="1186">
        <f t="shared" si="22"/>
        <v>0</v>
      </c>
      <c r="BP19" s="68"/>
      <c r="BQ19" s="68"/>
      <c r="BR19" s="72">
        <v>0.19</v>
      </c>
      <c r="BS19" s="73" t="s">
        <v>138</v>
      </c>
      <c r="BT19" s="1230">
        <f t="shared" si="23"/>
        <v>0</v>
      </c>
      <c r="BU19" s="1230">
        <f t="shared" si="23"/>
        <v>0</v>
      </c>
      <c r="BV19" s="1230">
        <f t="shared" si="23"/>
        <v>0</v>
      </c>
      <c r="BW19" s="1230">
        <f t="shared" si="23"/>
        <v>0</v>
      </c>
      <c r="BX19" s="1230">
        <f t="shared" si="23"/>
        <v>0</v>
      </c>
      <c r="BY19" s="1230">
        <f t="shared" si="23"/>
        <v>0</v>
      </c>
      <c r="BZ19" s="1230">
        <f t="shared" si="23"/>
        <v>0</v>
      </c>
      <c r="CA19" s="1230">
        <f t="shared" si="23"/>
        <v>0</v>
      </c>
      <c r="CB19" s="1230">
        <f t="shared" si="23"/>
        <v>0</v>
      </c>
      <c r="CC19" s="1230">
        <f t="shared" si="23"/>
        <v>0</v>
      </c>
      <c r="CD19" s="1230">
        <f t="shared" si="23"/>
        <v>0</v>
      </c>
      <c r="CE19" s="1230">
        <f t="shared" si="23"/>
        <v>0</v>
      </c>
      <c r="CF19" s="1186">
        <f t="shared" si="24"/>
        <v>0</v>
      </c>
      <c r="CU19" s="934"/>
      <c r="CV19" s="934"/>
      <c r="CW19" s="920">
        <v>14</v>
      </c>
      <c r="CX19" s="926">
        <f>$Q$2</f>
        <v>0.19</v>
      </c>
      <c r="CY19" s="876" t="s">
        <v>138</v>
      </c>
      <c r="CZ19" s="874" t="s">
        <v>658</v>
      </c>
      <c r="DA19" s="920">
        <v>14</v>
      </c>
      <c r="DB19" s="930">
        <f t="shared" si="12"/>
        <v>0.19</v>
      </c>
      <c r="DC19" s="928" t="str">
        <f t="shared" si="13"/>
        <v>Produktionsbedarf, geringwertige Wirtschaftsgüter</v>
      </c>
      <c r="DD19" s="928" t="str">
        <f t="shared" si="14"/>
        <v>Production need, low value assets</v>
      </c>
      <c r="DR19" s="126"/>
    </row>
    <row r="20" spans="1:122" x14ac:dyDescent="0.2">
      <c r="A20" s="1002">
        <f>$Q$2</f>
        <v>0.19</v>
      </c>
      <c r="B20" s="72">
        <f t="shared" si="19"/>
        <v>0.19</v>
      </c>
      <c r="C20" s="1429" t="str">
        <f t="shared" si="1"/>
        <v>Leasingraten für Produktionsanlagen, -maschinen</v>
      </c>
      <c r="D20" s="1430"/>
      <c r="E20" s="1430"/>
      <c r="F20" s="1430"/>
      <c r="G20" s="1430"/>
      <c r="H20" s="1430"/>
      <c r="I20" s="1430"/>
      <c r="J20" s="1430"/>
      <c r="K20" s="1430"/>
      <c r="L20" s="1430"/>
      <c r="M20" s="1430"/>
      <c r="N20" s="1430"/>
      <c r="O20" s="1430"/>
      <c r="P20" s="1431">
        <f>SUM(D20:O20)</f>
        <v>0</v>
      </c>
      <c r="Q20" s="1675"/>
      <c r="R20" s="1569"/>
      <c r="S20" s="1556"/>
      <c r="T20" s="68"/>
      <c r="U20" s="76" t="str">
        <f t="shared" si="27"/>
        <v xml:space="preserve"> Anzahl Mitarbeiter</v>
      </c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937"/>
      <c r="AH20" s="44"/>
      <c r="BA20" s="72">
        <v>0.19</v>
      </c>
      <c r="BB20" s="73" t="s">
        <v>136</v>
      </c>
      <c r="BC20" s="1230">
        <f t="shared" si="21"/>
        <v>0</v>
      </c>
      <c r="BD20" s="1230">
        <f t="shared" si="21"/>
        <v>0</v>
      </c>
      <c r="BE20" s="1230">
        <f t="shared" si="21"/>
        <v>0</v>
      </c>
      <c r="BF20" s="1230">
        <f t="shared" si="21"/>
        <v>0</v>
      </c>
      <c r="BG20" s="1230">
        <f t="shared" si="21"/>
        <v>0</v>
      </c>
      <c r="BH20" s="1230">
        <f t="shared" si="21"/>
        <v>0</v>
      </c>
      <c r="BI20" s="1230">
        <f t="shared" si="21"/>
        <v>0</v>
      </c>
      <c r="BJ20" s="1230">
        <f t="shared" si="21"/>
        <v>0</v>
      </c>
      <c r="BK20" s="1230">
        <f t="shared" si="21"/>
        <v>0</v>
      </c>
      <c r="BL20" s="1230">
        <f t="shared" si="21"/>
        <v>0</v>
      </c>
      <c r="BM20" s="1230">
        <f>IF($A20=$Q$2,N20*IF(OR($D$4=0,$D$4=3),$A20,$A20/(1+$A20)),0)</f>
        <v>0</v>
      </c>
      <c r="BN20" s="1230">
        <f>IF($A20=$Q$2,O20*IF(OR($D$4=0,$D$4=3),$A20,$A20/(1+$A20)),0)</f>
        <v>0</v>
      </c>
      <c r="BO20" s="1186">
        <f t="shared" si="22"/>
        <v>0</v>
      </c>
      <c r="BP20" s="68"/>
      <c r="BQ20" s="68"/>
      <c r="BR20" s="72">
        <v>0.19</v>
      </c>
      <c r="BS20" s="73" t="s">
        <v>136</v>
      </c>
      <c r="BT20" s="1230">
        <f t="shared" si="23"/>
        <v>0</v>
      </c>
      <c r="BU20" s="1230">
        <f t="shared" si="23"/>
        <v>0</v>
      </c>
      <c r="BV20" s="1230">
        <f t="shared" si="23"/>
        <v>0</v>
      </c>
      <c r="BW20" s="1230">
        <f t="shared" si="23"/>
        <v>0</v>
      </c>
      <c r="BX20" s="1230">
        <f t="shared" si="23"/>
        <v>0</v>
      </c>
      <c r="BY20" s="1230">
        <f t="shared" si="23"/>
        <v>0</v>
      </c>
      <c r="BZ20" s="1230">
        <f t="shared" si="23"/>
        <v>0</v>
      </c>
      <c r="CA20" s="1230">
        <f t="shared" si="23"/>
        <v>0</v>
      </c>
      <c r="CB20" s="1230">
        <f t="shared" si="23"/>
        <v>0</v>
      </c>
      <c r="CC20" s="1230">
        <f t="shared" si="23"/>
        <v>0</v>
      </c>
      <c r="CD20" s="1230">
        <f>IF($A20=$Q$3,N20*IF(OR($D$4=0,$D$4=3),$A20,$A20/(1+$A20)),0)</f>
        <v>0</v>
      </c>
      <c r="CE20" s="1230">
        <f>IF($A20=$Q$3,O20*IF(OR($D$4=0,$D$4=3),$A20,$A20/(1+$A20)),0)</f>
        <v>0</v>
      </c>
      <c r="CF20" s="1186">
        <f t="shared" si="24"/>
        <v>0</v>
      </c>
      <c r="CU20" s="934"/>
      <c r="CV20" s="934"/>
      <c r="CW20" s="920">
        <v>15</v>
      </c>
      <c r="CX20" s="926">
        <f>$Q$2</f>
        <v>0.19</v>
      </c>
      <c r="CY20" s="876" t="s">
        <v>136</v>
      </c>
      <c r="CZ20" s="874" t="s">
        <v>459</v>
      </c>
      <c r="DA20" s="920">
        <v>15</v>
      </c>
      <c r="DB20" s="930">
        <f t="shared" si="12"/>
        <v>0.19</v>
      </c>
      <c r="DC20" s="928" t="str">
        <f t="shared" si="13"/>
        <v>Leasingraten für Produktionsanlagen, -maschinen</v>
      </c>
      <c r="DD20" s="928" t="str">
        <f t="shared" si="14"/>
        <v>Leasing rate for production facityties , -machines</v>
      </c>
      <c r="DR20" s="126"/>
    </row>
    <row r="21" spans="1:122" x14ac:dyDescent="0.2">
      <c r="A21" s="1002">
        <f>$Q$2</f>
        <v>0.19</v>
      </c>
      <c r="B21" s="72">
        <f t="shared" si="19"/>
        <v>0.19</v>
      </c>
      <c r="C21" s="1429" t="str">
        <f t="shared" si="1"/>
        <v>Instandhaltung und Reparaturen</v>
      </c>
      <c r="D21" s="1430"/>
      <c r="E21" s="1430"/>
      <c r="F21" s="1430"/>
      <c r="G21" s="1430"/>
      <c r="H21" s="1430"/>
      <c r="I21" s="1430"/>
      <c r="J21" s="1430"/>
      <c r="K21" s="1430"/>
      <c r="L21" s="1430"/>
      <c r="M21" s="1430"/>
      <c r="N21" s="1430"/>
      <c r="O21" s="1430"/>
      <c r="P21" s="1431">
        <f t="shared" si="20"/>
        <v>0</v>
      </c>
      <c r="Q21" s="1675"/>
      <c r="R21" s="1569"/>
      <c r="S21" s="1556"/>
      <c r="T21" s="68"/>
      <c r="U21" s="76" t="str">
        <f t="shared" si="27"/>
        <v>Gehalt2</v>
      </c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937"/>
      <c r="AH21" s="44"/>
      <c r="BA21" s="72">
        <v>0.19</v>
      </c>
      <c r="BB21" s="73" t="s">
        <v>476</v>
      </c>
      <c r="BC21" s="1230">
        <f t="shared" si="21"/>
        <v>0</v>
      </c>
      <c r="BD21" s="1230">
        <f t="shared" si="21"/>
        <v>0</v>
      </c>
      <c r="BE21" s="1230">
        <f t="shared" si="21"/>
        <v>0</v>
      </c>
      <c r="BF21" s="1230">
        <f t="shared" si="21"/>
        <v>0</v>
      </c>
      <c r="BG21" s="1230">
        <f t="shared" si="21"/>
        <v>0</v>
      </c>
      <c r="BH21" s="1230">
        <f t="shared" si="21"/>
        <v>0</v>
      </c>
      <c r="BI21" s="1230">
        <f t="shared" si="21"/>
        <v>0</v>
      </c>
      <c r="BJ21" s="1230">
        <f t="shared" si="21"/>
        <v>0</v>
      </c>
      <c r="BK21" s="1230">
        <f t="shared" si="21"/>
        <v>0</v>
      </c>
      <c r="BL21" s="1230">
        <f t="shared" si="21"/>
        <v>0</v>
      </c>
      <c r="BM21" s="1230">
        <f>IF($A21=$Q$2,N21*IF(OR($D$4=0,$D$4=3),$A21,$A21/(1+$A21)),0)</f>
        <v>0</v>
      </c>
      <c r="BN21" s="1230">
        <f>IF($A21=$Q$2,O21*IF(OR($D$4=0,$D$4=3),$A21,$A21/(1+$A21)),0)</f>
        <v>0</v>
      </c>
      <c r="BO21" s="1186">
        <f t="shared" si="22"/>
        <v>0</v>
      </c>
      <c r="BP21" s="68"/>
      <c r="BQ21" s="68"/>
      <c r="BR21" s="72">
        <v>0.19</v>
      </c>
      <c r="BS21" s="73" t="s">
        <v>476</v>
      </c>
      <c r="BT21" s="1230">
        <f t="shared" si="23"/>
        <v>0</v>
      </c>
      <c r="BU21" s="1230">
        <f t="shared" si="23"/>
        <v>0</v>
      </c>
      <c r="BV21" s="1230">
        <f t="shared" si="23"/>
        <v>0</v>
      </c>
      <c r="BW21" s="1230">
        <f t="shared" si="23"/>
        <v>0</v>
      </c>
      <c r="BX21" s="1230">
        <f t="shared" si="23"/>
        <v>0</v>
      </c>
      <c r="BY21" s="1230">
        <f t="shared" si="23"/>
        <v>0</v>
      </c>
      <c r="BZ21" s="1230">
        <f t="shared" si="23"/>
        <v>0</v>
      </c>
      <c r="CA21" s="1230">
        <f t="shared" si="23"/>
        <v>0</v>
      </c>
      <c r="CB21" s="1230">
        <f t="shared" si="23"/>
        <v>0</v>
      </c>
      <c r="CC21" s="1230">
        <f t="shared" si="23"/>
        <v>0</v>
      </c>
      <c r="CD21" s="1230">
        <f>IF($A21=$Q$3,N21*IF(OR($D$4=0,$D$4=3),$A21,$A21/(1+$A21)),0)</f>
        <v>0</v>
      </c>
      <c r="CE21" s="1230">
        <f>IF($A21=$Q$3,O21*IF(OR($D$4=0,$D$4=3),$A21,$A21/(1+$A21)),0)</f>
        <v>0</v>
      </c>
      <c r="CF21" s="1186">
        <f t="shared" si="24"/>
        <v>0</v>
      </c>
      <c r="CU21" s="934"/>
      <c r="CV21" s="934"/>
      <c r="CW21" s="920">
        <v>16</v>
      </c>
      <c r="CX21" s="926">
        <f>$Q$2</f>
        <v>0.19</v>
      </c>
      <c r="CY21" s="872" t="s">
        <v>476</v>
      </c>
      <c r="CZ21" s="874" t="s">
        <v>478</v>
      </c>
      <c r="DA21" s="920">
        <v>16</v>
      </c>
      <c r="DB21" s="930">
        <f t="shared" si="12"/>
        <v>0.19</v>
      </c>
      <c r="DC21" s="928" t="str">
        <f t="shared" si="13"/>
        <v>Instandhaltung und Reparaturen</v>
      </c>
      <c r="DD21" s="928" t="str">
        <f t="shared" si="14"/>
        <v>Maintenace and repairs</v>
      </c>
      <c r="DR21" s="126"/>
    </row>
    <row r="22" spans="1:122" x14ac:dyDescent="0.2">
      <c r="A22" s="1385">
        <v>0.19</v>
      </c>
      <c r="B22" s="72">
        <f t="shared" si="19"/>
        <v>0.19</v>
      </c>
      <c r="C22" s="1432" t="s">
        <v>470</v>
      </c>
      <c r="D22" s="1433"/>
      <c r="E22" s="1433"/>
      <c r="F22" s="1433"/>
      <c r="G22" s="1433"/>
      <c r="H22" s="1433"/>
      <c r="I22" s="1433"/>
      <c r="J22" s="1433"/>
      <c r="K22" s="1433"/>
      <c r="L22" s="1433"/>
      <c r="M22" s="1433"/>
      <c r="N22" s="1433"/>
      <c r="O22" s="1433"/>
      <c r="P22" s="1434">
        <f t="shared" si="20"/>
        <v>0</v>
      </c>
      <c r="Q22" s="1675"/>
      <c r="R22" s="1569"/>
      <c r="S22" s="1556"/>
      <c r="T22" s="68"/>
      <c r="U22" s="76" t="str">
        <f t="shared" si="27"/>
        <v xml:space="preserve"> Anzahl Mitarbeiter</v>
      </c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937"/>
      <c r="AH22" s="44"/>
      <c r="BA22" s="72"/>
      <c r="BB22" s="1063" t="s">
        <v>470</v>
      </c>
      <c r="BC22" s="1230">
        <f t="shared" si="21"/>
        <v>0</v>
      </c>
      <c r="BD22" s="1230">
        <f t="shared" si="21"/>
        <v>0</v>
      </c>
      <c r="BE22" s="1230">
        <f t="shared" si="21"/>
        <v>0</v>
      </c>
      <c r="BF22" s="1230">
        <f t="shared" si="21"/>
        <v>0</v>
      </c>
      <c r="BG22" s="1230">
        <f t="shared" si="21"/>
        <v>0</v>
      </c>
      <c r="BH22" s="1230">
        <f t="shared" si="21"/>
        <v>0</v>
      </c>
      <c r="BI22" s="1230">
        <f t="shared" si="21"/>
        <v>0</v>
      </c>
      <c r="BJ22" s="1230">
        <f t="shared" si="21"/>
        <v>0</v>
      </c>
      <c r="BK22" s="1230">
        <f t="shared" si="21"/>
        <v>0</v>
      </c>
      <c r="BL22" s="1230">
        <f t="shared" si="21"/>
        <v>0</v>
      </c>
      <c r="BM22" s="1230">
        <f t="shared" si="21"/>
        <v>0</v>
      </c>
      <c r="BN22" s="1230">
        <f t="shared" si="21"/>
        <v>0</v>
      </c>
      <c r="BO22" s="1187">
        <f t="shared" si="22"/>
        <v>0</v>
      </c>
      <c r="BP22" s="68"/>
      <c r="BQ22" s="68"/>
      <c r="BR22" s="72"/>
      <c r="BS22" s="990" t="s">
        <v>470</v>
      </c>
      <c r="BT22" s="1230">
        <f t="shared" si="23"/>
        <v>0</v>
      </c>
      <c r="BU22" s="1230">
        <f t="shared" si="23"/>
        <v>0</v>
      </c>
      <c r="BV22" s="1230">
        <f t="shared" si="23"/>
        <v>0</v>
      </c>
      <c r="BW22" s="1230">
        <f t="shared" si="23"/>
        <v>0</v>
      </c>
      <c r="BX22" s="1230">
        <f t="shared" si="23"/>
        <v>0</v>
      </c>
      <c r="BY22" s="1230">
        <f t="shared" si="23"/>
        <v>0</v>
      </c>
      <c r="BZ22" s="1230">
        <f t="shared" si="23"/>
        <v>0</v>
      </c>
      <c r="CA22" s="1230">
        <f t="shared" si="23"/>
        <v>0</v>
      </c>
      <c r="CB22" s="1230">
        <f t="shared" si="23"/>
        <v>0</v>
      </c>
      <c r="CC22" s="1230">
        <f t="shared" si="23"/>
        <v>0</v>
      </c>
      <c r="CD22" s="1230">
        <f t="shared" si="23"/>
        <v>0</v>
      </c>
      <c r="CE22" s="1230">
        <f t="shared" si="23"/>
        <v>0</v>
      </c>
      <c r="CF22" s="1187">
        <f t="shared" si="24"/>
        <v>0</v>
      </c>
      <c r="CU22" s="934"/>
      <c r="CV22" s="934"/>
      <c r="CW22" s="920">
        <v>17</v>
      </c>
      <c r="CX22" s="1296">
        <f>$Q$2</f>
        <v>0.19</v>
      </c>
      <c r="CY22" s="873" t="s">
        <v>470</v>
      </c>
      <c r="CZ22" s="873" t="s">
        <v>473</v>
      </c>
      <c r="DA22" s="920">
        <v>17</v>
      </c>
      <c r="DB22" s="930">
        <f t="shared" si="12"/>
        <v>0.19</v>
      </c>
      <c r="DC22" s="928" t="str">
        <f t="shared" si="13"/>
        <v>Sonstiges</v>
      </c>
      <c r="DD22" s="928" t="str">
        <f t="shared" si="14"/>
        <v>Others</v>
      </c>
      <c r="DR22" s="126"/>
    </row>
    <row r="23" spans="1:122" ht="15" thickBot="1" x14ac:dyDescent="0.25">
      <c r="A23" s="1002"/>
      <c r="B23" s="1487"/>
      <c r="C23" s="1488" t="str">
        <f t="shared" si="1"/>
        <v>Summe Produktionskosten</v>
      </c>
      <c r="D23" s="1489">
        <f>SUM(D15:D22)</f>
        <v>0</v>
      </c>
      <c r="E23" s="1489">
        <f>SUM(E15:E22)</f>
        <v>0</v>
      </c>
      <c r="F23" s="1489">
        <f t="shared" ref="F23:O23" si="28">SUM(F15:F22)</f>
        <v>0</v>
      </c>
      <c r="G23" s="1489">
        <f t="shared" si="28"/>
        <v>0</v>
      </c>
      <c r="H23" s="1489">
        <f t="shared" si="28"/>
        <v>0</v>
      </c>
      <c r="I23" s="1489">
        <f t="shared" si="28"/>
        <v>0</v>
      </c>
      <c r="J23" s="1489">
        <f t="shared" si="28"/>
        <v>0</v>
      </c>
      <c r="K23" s="1489">
        <f t="shared" si="28"/>
        <v>0</v>
      </c>
      <c r="L23" s="1489">
        <f t="shared" si="28"/>
        <v>0</v>
      </c>
      <c r="M23" s="1489">
        <f t="shared" si="28"/>
        <v>0</v>
      </c>
      <c r="N23" s="1489">
        <f t="shared" si="28"/>
        <v>0</v>
      </c>
      <c r="O23" s="1489">
        <f t="shared" si="28"/>
        <v>0</v>
      </c>
      <c r="P23" s="1490">
        <f>SUM(D23:O23)</f>
        <v>0</v>
      </c>
      <c r="Q23" s="1584"/>
      <c r="R23" s="1569"/>
      <c r="S23" s="82"/>
      <c r="T23" s="68"/>
      <c r="U23" s="76" t="str">
        <f t="shared" si="27"/>
        <v>Gehalt3</v>
      </c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937"/>
      <c r="AH23" s="44"/>
      <c r="AZ23" s="35" t="b">
        <f>IFERROR(OR(BO23,CF23),-1)</f>
        <v>0</v>
      </c>
      <c r="BA23" s="80"/>
      <c r="BB23" s="96" t="s">
        <v>620</v>
      </c>
      <c r="BC23" s="1188">
        <f>SUM(BC15:BC22)</f>
        <v>0</v>
      </c>
      <c r="BD23" s="1188">
        <f t="shared" ref="BD23:BN23" si="29">SUM(BD15:BD22)</f>
        <v>0</v>
      </c>
      <c r="BE23" s="1188">
        <f t="shared" si="29"/>
        <v>0</v>
      </c>
      <c r="BF23" s="1188">
        <f t="shared" si="29"/>
        <v>0</v>
      </c>
      <c r="BG23" s="1188">
        <f t="shared" si="29"/>
        <v>0</v>
      </c>
      <c r="BH23" s="1188">
        <f t="shared" si="29"/>
        <v>0</v>
      </c>
      <c r="BI23" s="1188">
        <f t="shared" si="29"/>
        <v>0</v>
      </c>
      <c r="BJ23" s="1188">
        <f t="shared" si="29"/>
        <v>0</v>
      </c>
      <c r="BK23" s="1188">
        <f t="shared" si="29"/>
        <v>0</v>
      </c>
      <c r="BL23" s="1188">
        <f t="shared" si="29"/>
        <v>0</v>
      </c>
      <c r="BM23" s="1188">
        <f t="shared" si="29"/>
        <v>0</v>
      </c>
      <c r="BN23" s="1188">
        <f t="shared" si="29"/>
        <v>0</v>
      </c>
      <c r="BO23" s="1192">
        <f>SUM(BC23:BN23)</f>
        <v>0</v>
      </c>
      <c r="BP23" s="68"/>
      <c r="BQ23" s="68"/>
      <c r="BR23" s="80"/>
      <c r="BS23" s="96" t="s">
        <v>620</v>
      </c>
      <c r="BT23" s="1188">
        <f>SUM(BT15:BT22)</f>
        <v>0</v>
      </c>
      <c r="BU23" s="1188">
        <f t="shared" ref="BU23:CE23" si="30">SUM(BU15:BU22)</f>
        <v>0</v>
      </c>
      <c r="BV23" s="1188">
        <f t="shared" si="30"/>
        <v>0</v>
      </c>
      <c r="BW23" s="1188">
        <f t="shared" si="30"/>
        <v>0</v>
      </c>
      <c r="BX23" s="1188">
        <f t="shared" si="30"/>
        <v>0</v>
      </c>
      <c r="BY23" s="1188">
        <f t="shared" si="30"/>
        <v>0</v>
      </c>
      <c r="BZ23" s="1188">
        <f t="shared" si="30"/>
        <v>0</v>
      </c>
      <c r="CA23" s="1188">
        <f t="shared" si="30"/>
        <v>0</v>
      </c>
      <c r="CB23" s="1188">
        <f t="shared" si="30"/>
        <v>0</v>
      </c>
      <c r="CC23" s="1188">
        <f t="shared" si="30"/>
        <v>0</v>
      </c>
      <c r="CD23" s="1188">
        <f t="shared" si="30"/>
        <v>0</v>
      </c>
      <c r="CE23" s="1188">
        <f t="shared" si="30"/>
        <v>0</v>
      </c>
      <c r="CF23" s="1192">
        <f t="shared" si="24"/>
        <v>0</v>
      </c>
      <c r="CU23" s="934"/>
      <c r="CV23" s="934"/>
      <c r="CW23" s="920">
        <v>18</v>
      </c>
      <c r="CX23" s="926"/>
      <c r="CY23" s="876" t="str">
        <f>"Summe "&amp;CY14</f>
        <v>Summe Produktionskosten</v>
      </c>
      <c r="CZ23" s="874" t="s">
        <v>284</v>
      </c>
      <c r="DA23" s="920">
        <v>18</v>
      </c>
      <c r="DB23" s="930">
        <f t="shared" si="12"/>
        <v>0</v>
      </c>
      <c r="DC23" s="928" t="str">
        <f t="shared" si="13"/>
        <v>Summe Produktionskosten</v>
      </c>
      <c r="DD23" s="928" t="str">
        <f t="shared" si="14"/>
        <v xml:space="preserve">Sum production costs </v>
      </c>
      <c r="DR23" s="126"/>
    </row>
    <row r="24" spans="1:122" ht="15.75" customHeight="1" thickBot="1" x14ac:dyDescent="0.25">
      <c r="A24" s="1002"/>
      <c r="B24" s="141">
        <v>3</v>
      </c>
      <c r="C24" s="86" t="str">
        <f t="shared" si="1"/>
        <v>Personalkosten (nur Angestellte)</v>
      </c>
      <c r="D24" s="1190"/>
      <c r="E24" s="1190"/>
      <c r="F24" s="1190"/>
      <c r="G24" s="1190"/>
      <c r="H24" s="1190"/>
      <c r="I24" s="1190"/>
      <c r="J24" s="1190"/>
      <c r="K24" s="1190"/>
      <c r="L24" s="1190"/>
      <c r="M24" s="1190"/>
      <c r="N24" s="1190"/>
      <c r="O24" s="1190"/>
      <c r="P24" s="1186"/>
      <c r="Q24" s="1592"/>
      <c r="R24" s="1569"/>
      <c r="S24" s="93"/>
      <c r="T24" s="68"/>
      <c r="U24" s="78" t="str">
        <f t="shared" si="27"/>
        <v>Nebenkosten (%)</v>
      </c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938"/>
      <c r="AH24" s="44"/>
      <c r="BA24" s="141">
        <v>3</v>
      </c>
      <c r="BB24" s="86" t="s">
        <v>43</v>
      </c>
      <c r="BC24" s="1190"/>
      <c r="BD24" s="1190"/>
      <c r="BE24" s="1190"/>
      <c r="BF24" s="1190"/>
      <c r="BG24" s="1190"/>
      <c r="BH24" s="1190"/>
      <c r="BI24" s="1190"/>
      <c r="BJ24" s="1190"/>
      <c r="BK24" s="1190"/>
      <c r="BL24" s="1190"/>
      <c r="BM24" s="1190"/>
      <c r="BN24" s="1190"/>
      <c r="BO24" s="1186"/>
      <c r="BP24" s="68"/>
      <c r="BQ24" s="68"/>
      <c r="BR24" s="141">
        <v>3</v>
      </c>
      <c r="BS24" s="86" t="s">
        <v>43</v>
      </c>
      <c r="BT24" s="1190"/>
      <c r="BU24" s="1190"/>
      <c r="BV24" s="1190"/>
      <c r="BW24" s="1190"/>
      <c r="BX24" s="1190"/>
      <c r="BY24" s="1190"/>
      <c r="BZ24" s="1190"/>
      <c r="CA24" s="1190"/>
      <c r="CB24" s="1190"/>
      <c r="CC24" s="1190"/>
      <c r="CD24" s="1190"/>
      <c r="CE24" s="1190"/>
      <c r="CF24" s="1186"/>
      <c r="CU24" s="934"/>
      <c r="CV24" s="934"/>
      <c r="CW24" s="920">
        <v>19</v>
      </c>
      <c r="CX24" s="926"/>
      <c r="CY24" s="876" t="s">
        <v>43</v>
      </c>
      <c r="CZ24" s="874" t="s">
        <v>659</v>
      </c>
      <c r="DA24" s="920">
        <v>19</v>
      </c>
      <c r="DB24" s="930">
        <f t="shared" si="12"/>
        <v>0</v>
      </c>
      <c r="DC24" s="928" t="str">
        <f t="shared" si="13"/>
        <v>Personalkosten (nur Angestellte)</v>
      </c>
      <c r="DD24" s="928" t="str">
        <f t="shared" si="14"/>
        <v>Personnel costs  (salery personel only)</v>
      </c>
      <c r="DR24" s="126"/>
    </row>
    <row r="25" spans="1:122" ht="15.75" customHeight="1" thickTop="1" thickBot="1" x14ac:dyDescent="0.25">
      <c r="A25" s="1002">
        <v>0</v>
      </c>
      <c r="B25" s="72">
        <f>IF($D$4&lt;&gt;1, A25,"")</f>
        <v>0</v>
      </c>
      <c r="C25" s="1429" t="str">
        <f t="shared" si="1"/>
        <v>Löhne, Gehälter mit Nebenkosten (s. Nebenrechnung)</v>
      </c>
      <c r="D25" s="1430"/>
      <c r="E25" s="1430"/>
      <c r="F25" s="1430"/>
      <c r="G25" s="1430"/>
      <c r="H25" s="1430"/>
      <c r="I25" s="1430"/>
      <c r="J25" s="1430"/>
      <c r="K25" s="1430"/>
      <c r="L25" s="1430"/>
      <c r="M25" s="1430"/>
      <c r="N25" s="1430"/>
      <c r="O25" s="1430"/>
      <c r="P25" s="1431">
        <f>SUM(D25:O25)</f>
        <v>0</v>
      </c>
      <c r="Q25" s="1592"/>
      <c r="R25" s="1569"/>
      <c r="S25" s="1556"/>
      <c r="T25" s="68"/>
      <c r="U25" s="83" t="str">
        <f t="shared" si="27"/>
        <v>Gehaltssumme</v>
      </c>
      <c r="V25" s="84">
        <f>((V18*V19)+(V20*V21)+(V22*V23))*(1+V24)</f>
        <v>0</v>
      </c>
      <c r="W25" s="84">
        <f t="shared" ref="W25:AG25" si="31">((W18*W19)+(W20*W21)+(W22*W23))*(1+W24)</f>
        <v>0</v>
      </c>
      <c r="X25" s="84">
        <f t="shared" si="31"/>
        <v>0</v>
      </c>
      <c r="Y25" s="84">
        <f t="shared" si="31"/>
        <v>0</v>
      </c>
      <c r="Z25" s="84">
        <f t="shared" si="31"/>
        <v>0</v>
      </c>
      <c r="AA25" s="84">
        <f t="shared" si="31"/>
        <v>0</v>
      </c>
      <c r="AB25" s="84">
        <f t="shared" si="31"/>
        <v>0</v>
      </c>
      <c r="AC25" s="84">
        <f t="shared" si="31"/>
        <v>0</v>
      </c>
      <c r="AD25" s="84">
        <f t="shared" si="31"/>
        <v>0</v>
      </c>
      <c r="AE25" s="84">
        <f t="shared" si="31"/>
        <v>0</v>
      </c>
      <c r="AF25" s="84">
        <f t="shared" si="31"/>
        <v>0</v>
      </c>
      <c r="AG25" s="85">
        <f t="shared" si="31"/>
        <v>0</v>
      </c>
      <c r="AH25" s="944">
        <f>SUM(V25:AG25)</f>
        <v>0</v>
      </c>
      <c r="BA25" s="72">
        <v>0</v>
      </c>
      <c r="BB25" s="73" t="s">
        <v>120</v>
      </c>
      <c r="BC25" s="1230">
        <f t="shared" ref="BC25:BM26" si="32">IF($A25=$Q$2,D25*IF(OR($D$4=0,$D$4=3),$A25,$A25/(1+$A25)),0)</f>
        <v>0</v>
      </c>
      <c r="BD25" s="1230">
        <f t="shared" si="32"/>
        <v>0</v>
      </c>
      <c r="BE25" s="1230">
        <f t="shared" si="32"/>
        <v>0</v>
      </c>
      <c r="BF25" s="1230">
        <f t="shared" si="32"/>
        <v>0</v>
      </c>
      <c r="BG25" s="1230">
        <f t="shared" si="32"/>
        <v>0</v>
      </c>
      <c r="BH25" s="1230">
        <f t="shared" si="32"/>
        <v>0</v>
      </c>
      <c r="BI25" s="1230">
        <f t="shared" si="32"/>
        <v>0</v>
      </c>
      <c r="BJ25" s="1230">
        <f t="shared" si="32"/>
        <v>0</v>
      </c>
      <c r="BK25" s="1230">
        <f t="shared" si="32"/>
        <v>0</v>
      </c>
      <c r="BL25" s="1230">
        <f t="shared" si="32"/>
        <v>0</v>
      </c>
      <c r="BM25" s="1230">
        <f t="shared" si="32"/>
        <v>0</v>
      </c>
      <c r="BN25" s="1230">
        <f>IF($A25=$Q$2,O25*IF(OR($D$4=0,$D$4=3),$A25,$A25/(1+$A25)),0)</f>
        <v>0</v>
      </c>
      <c r="BO25" s="1186">
        <f>SUM(BC25:BN25)</f>
        <v>0</v>
      </c>
      <c r="BP25" s="68"/>
      <c r="BQ25" s="68"/>
      <c r="BR25" s="72">
        <v>0</v>
      </c>
      <c r="BS25" s="73" t="s">
        <v>120</v>
      </c>
      <c r="BT25" s="1230">
        <f t="shared" ref="BT25:CD26" si="33">IF($A25=$Q$3,D25*IF(OR($D$4=0,$D$4=3),$A25,$A25/(1+$A25)),0)</f>
        <v>0</v>
      </c>
      <c r="BU25" s="1230">
        <f t="shared" si="33"/>
        <v>0</v>
      </c>
      <c r="BV25" s="1230">
        <f t="shared" si="33"/>
        <v>0</v>
      </c>
      <c r="BW25" s="1230">
        <f t="shared" si="33"/>
        <v>0</v>
      </c>
      <c r="BX25" s="1230">
        <f t="shared" si="33"/>
        <v>0</v>
      </c>
      <c r="BY25" s="1230">
        <f t="shared" si="33"/>
        <v>0</v>
      </c>
      <c r="BZ25" s="1230">
        <f t="shared" si="33"/>
        <v>0</v>
      </c>
      <c r="CA25" s="1230">
        <f t="shared" si="33"/>
        <v>0</v>
      </c>
      <c r="CB25" s="1230">
        <f t="shared" si="33"/>
        <v>0</v>
      </c>
      <c r="CC25" s="1230">
        <f t="shared" si="33"/>
        <v>0</v>
      </c>
      <c r="CD25" s="1230">
        <f t="shared" si="33"/>
        <v>0</v>
      </c>
      <c r="CE25" s="1230">
        <f>IF($A25=$Q$3,O25*IF(OR($D$4=0,$D$4=3),$A25,$A25/(1+$A25)),0)</f>
        <v>0</v>
      </c>
      <c r="CF25" s="1186">
        <f>SUM(BT25:CE25)</f>
        <v>0</v>
      </c>
      <c r="CU25" s="934"/>
      <c r="CV25" s="934"/>
      <c r="CW25" s="920">
        <v>20</v>
      </c>
      <c r="CX25" s="926">
        <v>0</v>
      </c>
      <c r="CY25" s="876" t="s">
        <v>120</v>
      </c>
      <c r="CZ25" s="874" t="s">
        <v>660</v>
      </c>
      <c r="DA25" s="920">
        <v>20</v>
      </c>
      <c r="DB25" s="930">
        <f t="shared" si="12"/>
        <v>0</v>
      </c>
      <c r="DC25" s="928" t="str">
        <f t="shared" si="13"/>
        <v>Löhne, Gehälter mit Nebenkosten (s. Nebenrechnung)</v>
      </c>
      <c r="DD25" s="928" t="str">
        <f t="shared" si="14"/>
        <v>Wages, saleries with additional costs (s. ancillary account)</v>
      </c>
      <c r="DR25" s="126"/>
    </row>
    <row r="26" spans="1:122" x14ac:dyDescent="0.2">
      <c r="A26" s="1385">
        <v>0</v>
      </c>
      <c r="B26" s="72">
        <f>IF($D$4&lt;&gt;1, A26,"")</f>
        <v>0</v>
      </c>
      <c r="C26" s="1432" t="s">
        <v>470</v>
      </c>
      <c r="D26" s="1433"/>
      <c r="E26" s="1433"/>
      <c r="F26" s="1433"/>
      <c r="G26" s="1433"/>
      <c r="H26" s="1433"/>
      <c r="I26" s="1433"/>
      <c r="J26" s="1433"/>
      <c r="K26" s="1433"/>
      <c r="L26" s="1433"/>
      <c r="M26" s="1433"/>
      <c r="N26" s="1433"/>
      <c r="O26" s="1433"/>
      <c r="P26" s="1434">
        <f>SUM(D26:O26)</f>
        <v>0</v>
      </c>
      <c r="Q26" s="1592"/>
      <c r="R26" s="1569"/>
      <c r="S26" s="1556"/>
      <c r="T26" s="68"/>
      <c r="U26" s="68"/>
      <c r="V26" s="1591" t="s">
        <v>797</v>
      </c>
      <c r="W26" s="1591" t="s">
        <v>797</v>
      </c>
      <c r="X26" s="1591" t="s">
        <v>797</v>
      </c>
      <c r="Y26" s="1591" t="s">
        <v>797</v>
      </c>
      <c r="Z26" s="1591" t="s">
        <v>797</v>
      </c>
      <c r="AA26" s="1591" t="s">
        <v>797</v>
      </c>
      <c r="AB26" s="1591" t="s">
        <v>797</v>
      </c>
      <c r="AC26" s="1591" t="s">
        <v>797</v>
      </c>
      <c r="AD26" s="1591" t="s">
        <v>797</v>
      </c>
      <c r="AE26" s="1591" t="s">
        <v>797</v>
      </c>
      <c r="AF26" s="1591" t="s">
        <v>797</v>
      </c>
      <c r="AG26" s="1591" t="s">
        <v>797</v>
      </c>
      <c r="AH26" s="44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BA26" s="72"/>
      <c r="BB26" s="1063" t="s">
        <v>470</v>
      </c>
      <c r="BC26" s="1230">
        <f t="shared" si="32"/>
        <v>0</v>
      </c>
      <c r="BD26" s="1230">
        <f t="shared" si="32"/>
        <v>0</v>
      </c>
      <c r="BE26" s="1230">
        <f t="shared" si="32"/>
        <v>0</v>
      </c>
      <c r="BF26" s="1230">
        <f t="shared" si="32"/>
        <v>0</v>
      </c>
      <c r="BG26" s="1230">
        <f t="shared" si="32"/>
        <v>0</v>
      </c>
      <c r="BH26" s="1230">
        <f t="shared" si="32"/>
        <v>0</v>
      </c>
      <c r="BI26" s="1230">
        <f t="shared" si="32"/>
        <v>0</v>
      </c>
      <c r="BJ26" s="1230">
        <f t="shared" si="32"/>
        <v>0</v>
      </c>
      <c r="BK26" s="1230">
        <f t="shared" si="32"/>
        <v>0</v>
      </c>
      <c r="BL26" s="1230">
        <f t="shared" si="32"/>
        <v>0</v>
      </c>
      <c r="BM26" s="1230">
        <f t="shared" si="32"/>
        <v>0</v>
      </c>
      <c r="BN26" s="1230">
        <f>IF($A26=$Q$2,O26*IF(OR($D$4=0,$D$4=3),$A26,$A26/(1+$A26)),0)</f>
        <v>0</v>
      </c>
      <c r="BO26" s="1187">
        <f>SUM(BC26:BN26)</f>
        <v>0</v>
      </c>
      <c r="BP26" s="68"/>
      <c r="BQ26" s="68"/>
      <c r="BR26" s="72"/>
      <c r="BS26" s="990" t="s">
        <v>470</v>
      </c>
      <c r="BT26" s="1230">
        <f t="shared" si="33"/>
        <v>0</v>
      </c>
      <c r="BU26" s="1230">
        <f t="shared" si="33"/>
        <v>0</v>
      </c>
      <c r="BV26" s="1230">
        <f t="shared" si="33"/>
        <v>0</v>
      </c>
      <c r="BW26" s="1230">
        <f t="shared" si="33"/>
        <v>0</v>
      </c>
      <c r="BX26" s="1230">
        <f t="shared" si="33"/>
        <v>0</v>
      </c>
      <c r="BY26" s="1230">
        <f t="shared" si="33"/>
        <v>0</v>
      </c>
      <c r="BZ26" s="1230">
        <f t="shared" si="33"/>
        <v>0</v>
      </c>
      <c r="CA26" s="1230">
        <f t="shared" si="33"/>
        <v>0</v>
      </c>
      <c r="CB26" s="1230">
        <f t="shared" si="33"/>
        <v>0</v>
      </c>
      <c r="CC26" s="1230">
        <f t="shared" si="33"/>
        <v>0</v>
      </c>
      <c r="CD26" s="1230">
        <f t="shared" si="33"/>
        <v>0</v>
      </c>
      <c r="CE26" s="1230">
        <f>IF($A26=$Q$3,O26*IF(OR($D$4=0,$D$4=3),$A26,$A26/(1+$A26)),0)</f>
        <v>0</v>
      </c>
      <c r="CF26" s="1187">
        <f>SUM(BT26:CE26)</f>
        <v>0</v>
      </c>
      <c r="CU26" s="934"/>
      <c r="CV26" s="934"/>
      <c r="CW26" s="920">
        <v>21</v>
      </c>
      <c r="CX26" s="1296">
        <f>$Q$2</f>
        <v>0.19</v>
      </c>
      <c r="CY26" s="873" t="s">
        <v>470</v>
      </c>
      <c r="CZ26" s="873" t="s">
        <v>473</v>
      </c>
      <c r="DA26" s="920">
        <v>21</v>
      </c>
      <c r="DB26" s="930">
        <f t="shared" si="12"/>
        <v>0.19</v>
      </c>
      <c r="DC26" s="928" t="str">
        <f t="shared" si="13"/>
        <v>Sonstiges</v>
      </c>
      <c r="DD26" s="928" t="str">
        <f t="shared" si="14"/>
        <v>Others</v>
      </c>
      <c r="DR26" s="126"/>
    </row>
    <row r="27" spans="1:122" ht="15" thickBot="1" x14ac:dyDescent="0.25">
      <c r="A27" s="1002"/>
      <c r="B27" s="1487"/>
      <c r="C27" s="1488" t="str">
        <f t="shared" si="1"/>
        <v>Summe Personalkosten</v>
      </c>
      <c r="D27" s="1489">
        <f>SUM(D25:D26)</f>
        <v>0</v>
      </c>
      <c r="E27" s="1489">
        <f t="shared" ref="E27:N27" si="34">SUM(E25:E26)</f>
        <v>0</v>
      </c>
      <c r="F27" s="1489">
        <f t="shared" si="34"/>
        <v>0</v>
      </c>
      <c r="G27" s="1489">
        <f t="shared" si="34"/>
        <v>0</v>
      </c>
      <c r="H27" s="1489">
        <f t="shared" si="34"/>
        <v>0</v>
      </c>
      <c r="I27" s="1489">
        <f t="shared" si="34"/>
        <v>0</v>
      </c>
      <c r="J27" s="1489">
        <f t="shared" si="34"/>
        <v>0</v>
      </c>
      <c r="K27" s="1489">
        <f t="shared" si="34"/>
        <v>0</v>
      </c>
      <c r="L27" s="1489">
        <f t="shared" si="34"/>
        <v>0</v>
      </c>
      <c r="M27" s="1489">
        <f t="shared" si="34"/>
        <v>0</v>
      </c>
      <c r="N27" s="1489">
        <f t="shared" si="34"/>
        <v>0</v>
      </c>
      <c r="O27" s="1489">
        <f>SUM(O25:O26)</f>
        <v>0</v>
      </c>
      <c r="P27" s="1490">
        <f>SUM(D27:O27)</f>
        <v>0</v>
      </c>
      <c r="Q27" s="1592"/>
      <c r="R27" s="1569"/>
      <c r="S27" s="82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44"/>
      <c r="AI27" s="68"/>
      <c r="AJ27" s="68"/>
      <c r="AK27" s="68"/>
      <c r="AL27" s="68"/>
      <c r="AM27" s="68"/>
      <c r="AN27" s="68"/>
      <c r="AO27" s="68"/>
      <c r="AZ27" s="35" t="b">
        <f>IFERROR(OR(BO27,CF27),-1)</f>
        <v>0</v>
      </c>
      <c r="BA27" s="80"/>
      <c r="BB27" s="96" t="s">
        <v>208</v>
      </c>
      <c r="BC27" s="1188">
        <f>SUM(BC25:BC26)</f>
        <v>0</v>
      </c>
      <c r="BD27" s="1188">
        <f t="shared" ref="BD27:BN27" si="35">SUM(BD25:BD26)</f>
        <v>0</v>
      </c>
      <c r="BE27" s="1188">
        <f t="shared" si="35"/>
        <v>0</v>
      </c>
      <c r="BF27" s="1188">
        <f t="shared" si="35"/>
        <v>0</v>
      </c>
      <c r="BG27" s="1188">
        <f t="shared" si="35"/>
        <v>0</v>
      </c>
      <c r="BH27" s="1188">
        <f t="shared" si="35"/>
        <v>0</v>
      </c>
      <c r="BI27" s="1188">
        <f t="shared" si="35"/>
        <v>0</v>
      </c>
      <c r="BJ27" s="1188">
        <f t="shared" si="35"/>
        <v>0</v>
      </c>
      <c r="BK27" s="1188">
        <f t="shared" si="35"/>
        <v>0</v>
      </c>
      <c r="BL27" s="1188">
        <f t="shared" si="35"/>
        <v>0</v>
      </c>
      <c r="BM27" s="1188">
        <f t="shared" si="35"/>
        <v>0</v>
      </c>
      <c r="BN27" s="1188">
        <f t="shared" si="35"/>
        <v>0</v>
      </c>
      <c r="BO27" s="1192">
        <f>SUM(BC27:BN27)</f>
        <v>0</v>
      </c>
      <c r="BP27" s="68"/>
      <c r="BQ27" s="68"/>
      <c r="BR27" s="80"/>
      <c r="BS27" s="96" t="s">
        <v>208</v>
      </c>
      <c r="BT27" s="1188">
        <f>SUM(BT25:BT26)</f>
        <v>0</v>
      </c>
      <c r="BU27" s="1188">
        <f t="shared" ref="BU27:CE27" si="36">SUM(BU25:BU26)</f>
        <v>0</v>
      </c>
      <c r="BV27" s="1188">
        <f t="shared" si="36"/>
        <v>0</v>
      </c>
      <c r="BW27" s="1188">
        <f t="shared" si="36"/>
        <v>0</v>
      </c>
      <c r="BX27" s="1188">
        <f t="shared" si="36"/>
        <v>0</v>
      </c>
      <c r="BY27" s="1188">
        <f t="shared" si="36"/>
        <v>0</v>
      </c>
      <c r="BZ27" s="1188">
        <f t="shared" si="36"/>
        <v>0</v>
      </c>
      <c r="CA27" s="1188">
        <f t="shared" si="36"/>
        <v>0</v>
      </c>
      <c r="CB27" s="1188">
        <f t="shared" si="36"/>
        <v>0</v>
      </c>
      <c r="CC27" s="1188">
        <f t="shared" si="36"/>
        <v>0</v>
      </c>
      <c r="CD27" s="1188">
        <f t="shared" si="36"/>
        <v>0</v>
      </c>
      <c r="CE27" s="1188">
        <f t="shared" si="36"/>
        <v>0</v>
      </c>
      <c r="CF27" s="1192">
        <f>SUM(BT27:CE27)</f>
        <v>0</v>
      </c>
      <c r="CU27" s="934"/>
      <c r="CV27" s="934"/>
      <c r="CW27" s="920">
        <v>22</v>
      </c>
      <c r="CX27" s="926"/>
      <c r="CY27" s="876" t="s">
        <v>208</v>
      </c>
      <c r="CZ27" s="874" t="s">
        <v>283</v>
      </c>
      <c r="DA27" s="920">
        <v>22</v>
      </c>
      <c r="DB27" s="930">
        <f t="shared" si="12"/>
        <v>0</v>
      </c>
      <c r="DC27" s="928" t="str">
        <f t="shared" si="13"/>
        <v>Summe Personalkosten</v>
      </c>
      <c r="DD27" s="928" t="str">
        <f t="shared" si="14"/>
        <v xml:space="preserve">Sum personal costs </v>
      </c>
      <c r="DR27" s="126"/>
    </row>
    <row r="28" spans="1:122" ht="15" thickBot="1" x14ac:dyDescent="0.25">
      <c r="A28" s="1002"/>
      <c r="B28" s="141">
        <v>4</v>
      </c>
      <c r="C28" s="86" t="str">
        <f t="shared" si="1"/>
        <v>Reisekosten</v>
      </c>
      <c r="D28" s="1190"/>
      <c r="E28" s="1190"/>
      <c r="F28" s="1190"/>
      <c r="G28" s="1190"/>
      <c r="H28" s="1190"/>
      <c r="I28" s="1190"/>
      <c r="J28" s="1190"/>
      <c r="K28" s="1190"/>
      <c r="L28" s="1190"/>
      <c r="M28" s="1190"/>
      <c r="N28" s="1190"/>
      <c r="O28" s="1190"/>
      <c r="P28" s="1191"/>
      <c r="Q28" s="1584"/>
      <c r="R28" s="1569"/>
      <c r="S28" s="93"/>
      <c r="T28" s="68"/>
      <c r="U28" s="68"/>
      <c r="V28" s="49">
        <f>IFERROR(V37,-1)</f>
        <v>0</v>
      </c>
      <c r="W28" s="49">
        <f t="shared" ref="W28:AG28" si="37">IFERROR(W37,-1)</f>
        <v>0</v>
      </c>
      <c r="X28" s="49">
        <f t="shared" si="37"/>
        <v>0</v>
      </c>
      <c r="Y28" s="49">
        <f t="shared" si="37"/>
        <v>0</v>
      </c>
      <c r="Z28" s="49">
        <f t="shared" si="37"/>
        <v>0</v>
      </c>
      <c r="AA28" s="49">
        <f t="shared" si="37"/>
        <v>0</v>
      </c>
      <c r="AB28" s="49">
        <f t="shared" si="37"/>
        <v>0</v>
      </c>
      <c r="AC28" s="49">
        <f t="shared" si="37"/>
        <v>0</v>
      </c>
      <c r="AD28" s="49">
        <f t="shared" si="37"/>
        <v>0</v>
      </c>
      <c r="AE28" s="49">
        <f t="shared" si="37"/>
        <v>0</v>
      </c>
      <c r="AF28" s="49">
        <f t="shared" si="37"/>
        <v>0</v>
      </c>
      <c r="AG28" s="49">
        <f t="shared" si="37"/>
        <v>0</v>
      </c>
      <c r="AH28" s="68"/>
      <c r="AI28" s="68"/>
      <c r="AJ28" s="68"/>
      <c r="AK28" s="68"/>
      <c r="AL28" s="68"/>
      <c r="AM28" s="68"/>
      <c r="AN28" s="68"/>
      <c r="AO28" s="68"/>
      <c r="BA28" s="141">
        <v>4</v>
      </c>
      <c r="BB28" s="86" t="s">
        <v>121</v>
      </c>
      <c r="BC28" s="1190"/>
      <c r="BD28" s="1190"/>
      <c r="BE28" s="1190"/>
      <c r="BF28" s="1190"/>
      <c r="BG28" s="1190"/>
      <c r="BH28" s="1190"/>
      <c r="BI28" s="1190"/>
      <c r="BJ28" s="1190"/>
      <c r="BK28" s="1190"/>
      <c r="BL28" s="1190"/>
      <c r="BM28" s="1190"/>
      <c r="BN28" s="1190"/>
      <c r="BO28" s="1191"/>
      <c r="BP28" s="68"/>
      <c r="BQ28" s="68"/>
      <c r="BR28" s="141">
        <v>4</v>
      </c>
      <c r="BS28" s="86" t="s">
        <v>121</v>
      </c>
      <c r="BT28" s="1190"/>
      <c r="BU28" s="1190"/>
      <c r="BV28" s="1190"/>
      <c r="BW28" s="1190"/>
      <c r="BX28" s="1190"/>
      <c r="BY28" s="1190"/>
      <c r="BZ28" s="1190"/>
      <c r="CA28" s="1190"/>
      <c r="CB28" s="1190"/>
      <c r="CC28" s="1190"/>
      <c r="CD28" s="1190"/>
      <c r="CE28" s="1190"/>
      <c r="CF28" s="1191"/>
      <c r="CU28" s="934"/>
      <c r="CV28" s="934"/>
      <c r="CW28" s="920">
        <v>23</v>
      </c>
      <c r="CX28" s="926"/>
      <c r="CY28" s="876" t="s">
        <v>121</v>
      </c>
      <c r="CZ28" s="874" t="s">
        <v>261</v>
      </c>
      <c r="DA28" s="920">
        <v>23</v>
      </c>
      <c r="DB28" s="930">
        <f t="shared" si="12"/>
        <v>0</v>
      </c>
      <c r="DC28" s="928" t="str">
        <f t="shared" si="13"/>
        <v>Reisekosten</v>
      </c>
      <c r="DD28" s="928" t="str">
        <f t="shared" si="14"/>
        <v>Travel expenses</v>
      </c>
      <c r="DR28" s="126"/>
    </row>
    <row r="29" spans="1:122" ht="15" customHeight="1" thickBot="1" x14ac:dyDescent="0.25">
      <c r="A29" s="1002">
        <f>$Q$2</f>
        <v>0.19</v>
      </c>
      <c r="B29" s="72">
        <f>IF($D$4&lt;&gt;1, A29,"")</f>
        <v>0.19</v>
      </c>
      <c r="C29" s="1429" t="str">
        <f t="shared" si="1"/>
        <v>Fahrtkosten</v>
      </c>
      <c r="D29" s="1430"/>
      <c r="E29" s="1430"/>
      <c r="F29" s="1430"/>
      <c r="G29" s="1430"/>
      <c r="H29" s="1430"/>
      <c r="I29" s="1430"/>
      <c r="J29" s="1430"/>
      <c r="K29" s="1430"/>
      <c r="L29" s="1430"/>
      <c r="M29" s="1430"/>
      <c r="N29" s="1430"/>
      <c r="O29" s="1430"/>
      <c r="P29" s="1431">
        <f>SUM(D29:O29)</f>
        <v>0</v>
      </c>
      <c r="Q29" s="1676" t="s">
        <v>796</v>
      </c>
      <c r="S29" s="1556"/>
      <c r="T29" s="68"/>
      <c r="U29" s="709">
        <f ca="1">F153</f>
        <v>2021</v>
      </c>
      <c r="V29" s="59" t="str">
        <f t="shared" ref="V29:AG29" si="38">V17</f>
        <v>Jan.</v>
      </c>
      <c r="W29" s="59" t="str">
        <f t="shared" si="38"/>
        <v>Febr.</v>
      </c>
      <c r="X29" s="59" t="str">
        <f t="shared" si="38"/>
        <v>März</v>
      </c>
      <c r="Y29" s="59" t="str">
        <f t="shared" si="38"/>
        <v>April</v>
      </c>
      <c r="Z29" s="59" t="str">
        <f t="shared" si="38"/>
        <v>Mai</v>
      </c>
      <c r="AA29" s="59" t="str">
        <f t="shared" si="38"/>
        <v>Juni</v>
      </c>
      <c r="AB29" s="59" t="str">
        <f t="shared" si="38"/>
        <v>Juli</v>
      </c>
      <c r="AC29" s="59" t="str">
        <f t="shared" si="38"/>
        <v>Aug.</v>
      </c>
      <c r="AD29" s="59" t="str">
        <f t="shared" si="38"/>
        <v>Sept.</v>
      </c>
      <c r="AE29" s="59" t="str">
        <f t="shared" si="38"/>
        <v>Okt.</v>
      </c>
      <c r="AF29" s="59" t="str">
        <f t="shared" si="38"/>
        <v>Nov.</v>
      </c>
      <c r="AG29" s="156" t="str">
        <f t="shared" si="38"/>
        <v>Dez.</v>
      </c>
      <c r="AH29" s="68"/>
      <c r="AI29" s="68"/>
      <c r="AJ29" s="68"/>
      <c r="AK29" s="68"/>
      <c r="AL29" s="68"/>
      <c r="AM29" s="68"/>
      <c r="AN29" s="68"/>
      <c r="AO29" s="68"/>
      <c r="BA29" s="72">
        <v>0.19</v>
      </c>
      <c r="BB29" s="73" t="s">
        <v>124</v>
      </c>
      <c r="BC29" s="1230">
        <f t="shared" ref="BC29:BN32" si="39">IF($A29=$Q$2,D29*IF(OR($D$4=0,$D$4=3),$A29,$A29/(1+$A29)),0)</f>
        <v>0</v>
      </c>
      <c r="BD29" s="1230">
        <f t="shared" si="39"/>
        <v>0</v>
      </c>
      <c r="BE29" s="1230">
        <f t="shared" si="39"/>
        <v>0</v>
      </c>
      <c r="BF29" s="1230">
        <f t="shared" si="39"/>
        <v>0</v>
      </c>
      <c r="BG29" s="1230">
        <f t="shared" si="39"/>
        <v>0</v>
      </c>
      <c r="BH29" s="1230">
        <f t="shared" si="39"/>
        <v>0</v>
      </c>
      <c r="BI29" s="1230">
        <f t="shared" si="39"/>
        <v>0</v>
      </c>
      <c r="BJ29" s="1230">
        <f t="shared" si="39"/>
        <v>0</v>
      </c>
      <c r="BK29" s="1230">
        <f t="shared" si="39"/>
        <v>0</v>
      </c>
      <c r="BL29" s="1230">
        <f t="shared" si="39"/>
        <v>0</v>
      </c>
      <c r="BM29" s="1230">
        <f t="shared" si="39"/>
        <v>0</v>
      </c>
      <c r="BN29" s="1230">
        <f t="shared" si="39"/>
        <v>0</v>
      </c>
      <c r="BO29" s="1186">
        <f>SUM(BC29:BN29)</f>
        <v>0</v>
      </c>
      <c r="BP29" s="68"/>
      <c r="BQ29" s="68"/>
      <c r="BR29" s="72">
        <v>0.19</v>
      </c>
      <c r="BS29" s="73" t="s">
        <v>124</v>
      </c>
      <c r="BT29" s="1230">
        <f t="shared" ref="BT29:CE32" si="40">IF($A29=$Q$3,D29*IF(OR($D$4=0,$D$4=3),$A29,$A29/(1+$A29)),0)</f>
        <v>0</v>
      </c>
      <c r="BU29" s="1230">
        <f t="shared" si="40"/>
        <v>0</v>
      </c>
      <c r="BV29" s="1230">
        <f t="shared" si="40"/>
        <v>0</v>
      </c>
      <c r="BW29" s="1230">
        <f t="shared" si="40"/>
        <v>0</v>
      </c>
      <c r="BX29" s="1230">
        <f t="shared" si="40"/>
        <v>0</v>
      </c>
      <c r="BY29" s="1230">
        <f t="shared" si="40"/>
        <v>0</v>
      </c>
      <c r="BZ29" s="1230">
        <f t="shared" si="40"/>
        <v>0</v>
      </c>
      <c r="CA29" s="1230">
        <f t="shared" si="40"/>
        <v>0</v>
      </c>
      <c r="CB29" s="1230">
        <f t="shared" si="40"/>
        <v>0</v>
      </c>
      <c r="CC29" s="1230">
        <f t="shared" si="40"/>
        <v>0</v>
      </c>
      <c r="CD29" s="1230">
        <f t="shared" si="40"/>
        <v>0</v>
      </c>
      <c r="CE29" s="1230">
        <f t="shared" si="40"/>
        <v>0</v>
      </c>
      <c r="CF29" s="1186">
        <f>SUM(BT29:CE29)</f>
        <v>0</v>
      </c>
      <c r="CW29" s="920">
        <v>24</v>
      </c>
      <c r="CX29" s="926">
        <f>$Q$2</f>
        <v>0.19</v>
      </c>
      <c r="CY29" s="872" t="s">
        <v>124</v>
      </c>
      <c r="CZ29" s="874" t="s">
        <v>261</v>
      </c>
      <c r="DA29" s="920">
        <v>24</v>
      </c>
      <c r="DB29" s="930">
        <f t="shared" si="12"/>
        <v>0.19</v>
      </c>
      <c r="DC29" s="928" t="str">
        <f t="shared" si="13"/>
        <v>Fahrtkosten</v>
      </c>
      <c r="DD29" s="928" t="str">
        <f t="shared" si="14"/>
        <v>Travel expenses</v>
      </c>
      <c r="DR29" s="126"/>
    </row>
    <row r="30" spans="1:122" x14ac:dyDescent="0.2">
      <c r="A30" s="1002">
        <f>$Q$2</f>
        <v>0.19</v>
      </c>
      <c r="B30" s="72">
        <f>IF($D$4&lt;&gt;1, A30,"")</f>
        <v>0.19</v>
      </c>
      <c r="C30" s="1429" t="str">
        <f t="shared" si="1"/>
        <v>Reisekostenpauschalen</v>
      </c>
      <c r="D30" s="1430"/>
      <c r="E30" s="1430"/>
      <c r="F30" s="1430"/>
      <c r="G30" s="1430"/>
      <c r="H30" s="1430"/>
      <c r="I30" s="1430"/>
      <c r="J30" s="1430"/>
      <c r="K30" s="1430"/>
      <c r="L30" s="1430"/>
      <c r="M30" s="1430"/>
      <c r="N30" s="1430"/>
      <c r="O30" s="1430"/>
      <c r="P30" s="1431">
        <f>SUM(D30:O30)</f>
        <v>0</v>
      </c>
      <c r="Q30" s="1676"/>
      <c r="S30" s="1556"/>
      <c r="T30" s="68"/>
      <c r="U30" s="69" t="str">
        <f t="shared" ref="U30:U37" si="41">U6</f>
        <v xml:space="preserve"> Anzahl Mitarbeiter</v>
      </c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936"/>
      <c r="AH30" s="38"/>
      <c r="BA30" s="72">
        <v>0.19</v>
      </c>
      <c r="BB30" s="73" t="s">
        <v>118</v>
      </c>
      <c r="BC30" s="1230">
        <f t="shared" si="39"/>
        <v>0</v>
      </c>
      <c r="BD30" s="1230">
        <f t="shared" si="39"/>
        <v>0</v>
      </c>
      <c r="BE30" s="1230">
        <f t="shared" si="39"/>
        <v>0</v>
      </c>
      <c r="BF30" s="1230">
        <f t="shared" si="39"/>
        <v>0</v>
      </c>
      <c r="BG30" s="1230">
        <f t="shared" si="39"/>
        <v>0</v>
      </c>
      <c r="BH30" s="1230">
        <f t="shared" si="39"/>
        <v>0</v>
      </c>
      <c r="BI30" s="1230">
        <f t="shared" si="39"/>
        <v>0</v>
      </c>
      <c r="BJ30" s="1230">
        <f t="shared" si="39"/>
        <v>0</v>
      </c>
      <c r="BK30" s="1230">
        <f t="shared" si="39"/>
        <v>0</v>
      </c>
      <c r="BL30" s="1230">
        <f t="shared" si="39"/>
        <v>0</v>
      </c>
      <c r="BM30" s="1230">
        <f t="shared" si="39"/>
        <v>0</v>
      </c>
      <c r="BN30" s="1230">
        <f t="shared" si="39"/>
        <v>0</v>
      </c>
      <c r="BO30" s="1186">
        <f>SUM(BC30:BN30)</f>
        <v>0</v>
      </c>
      <c r="BP30" s="68"/>
      <c r="BQ30" s="68"/>
      <c r="BR30" s="72">
        <v>0.19</v>
      </c>
      <c r="BS30" s="73" t="s">
        <v>118</v>
      </c>
      <c r="BT30" s="1230">
        <f t="shared" si="40"/>
        <v>0</v>
      </c>
      <c r="BU30" s="1230">
        <f t="shared" si="40"/>
        <v>0</v>
      </c>
      <c r="BV30" s="1230">
        <f t="shared" si="40"/>
        <v>0</v>
      </c>
      <c r="BW30" s="1230">
        <f t="shared" si="40"/>
        <v>0</v>
      </c>
      <c r="BX30" s="1230">
        <f t="shared" si="40"/>
        <v>0</v>
      </c>
      <c r="BY30" s="1230">
        <f t="shared" si="40"/>
        <v>0</v>
      </c>
      <c r="BZ30" s="1230">
        <f t="shared" si="40"/>
        <v>0</v>
      </c>
      <c r="CA30" s="1230">
        <f t="shared" si="40"/>
        <v>0</v>
      </c>
      <c r="CB30" s="1230">
        <f t="shared" si="40"/>
        <v>0</v>
      </c>
      <c r="CC30" s="1230">
        <f t="shared" si="40"/>
        <v>0</v>
      </c>
      <c r="CD30" s="1230">
        <f t="shared" si="40"/>
        <v>0</v>
      </c>
      <c r="CE30" s="1230">
        <f t="shared" si="40"/>
        <v>0</v>
      </c>
      <c r="CF30" s="1186">
        <f>SUM(BT30:CE30)</f>
        <v>0</v>
      </c>
      <c r="CW30" s="920">
        <v>25</v>
      </c>
      <c r="CX30" s="926">
        <f>$Q$2</f>
        <v>0.19</v>
      </c>
      <c r="CY30" s="872" t="s">
        <v>118</v>
      </c>
      <c r="CZ30" s="874" t="s">
        <v>276</v>
      </c>
      <c r="DA30" s="920">
        <v>25</v>
      </c>
      <c r="DB30" s="930">
        <f t="shared" si="12"/>
        <v>0.19</v>
      </c>
      <c r="DC30" s="928" t="str">
        <f t="shared" si="13"/>
        <v>Reisekostenpauschalen</v>
      </c>
      <c r="DD30" s="928" t="str">
        <f t="shared" si="14"/>
        <v xml:space="preserve">Travelling allowances </v>
      </c>
      <c r="DR30" s="126"/>
    </row>
    <row r="31" spans="1:122" x14ac:dyDescent="0.2">
      <c r="A31" s="1002">
        <f>$Q$3</f>
        <v>7.0000000000000007E-2</v>
      </c>
      <c r="B31" s="72">
        <f>IF($D$4&lt;&gt;1, A31,"")</f>
        <v>7.0000000000000007E-2</v>
      </c>
      <c r="C31" s="1429" t="str">
        <f t="shared" si="1"/>
        <v>Übernachtungen</v>
      </c>
      <c r="D31" s="1430"/>
      <c r="E31" s="1430"/>
      <c r="F31" s="1430"/>
      <c r="G31" s="1430"/>
      <c r="H31" s="1430"/>
      <c r="I31" s="1430"/>
      <c r="J31" s="1430"/>
      <c r="K31" s="1430"/>
      <c r="L31" s="1430"/>
      <c r="M31" s="1430"/>
      <c r="N31" s="1430"/>
      <c r="O31" s="1430"/>
      <c r="P31" s="1431">
        <f>SUM(D31:O31)</f>
        <v>0</v>
      </c>
      <c r="Q31" s="1676"/>
      <c r="S31" s="1556"/>
      <c r="T31" s="68"/>
      <c r="U31" s="76" t="str">
        <f t="shared" si="41"/>
        <v>Gehalt1</v>
      </c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937"/>
      <c r="AH31" s="38"/>
      <c r="BA31" s="72">
        <v>7.0000000000000007E-2</v>
      </c>
      <c r="BB31" s="73" t="s">
        <v>122</v>
      </c>
      <c r="BC31" s="1230">
        <f t="shared" si="39"/>
        <v>0</v>
      </c>
      <c r="BD31" s="1230">
        <f t="shared" si="39"/>
        <v>0</v>
      </c>
      <c r="BE31" s="1230">
        <f t="shared" si="39"/>
        <v>0</v>
      </c>
      <c r="BF31" s="1230">
        <f t="shared" si="39"/>
        <v>0</v>
      </c>
      <c r="BG31" s="1230">
        <f t="shared" si="39"/>
        <v>0</v>
      </c>
      <c r="BH31" s="1230">
        <f t="shared" si="39"/>
        <v>0</v>
      </c>
      <c r="BI31" s="1230">
        <f t="shared" si="39"/>
        <v>0</v>
      </c>
      <c r="BJ31" s="1230">
        <f t="shared" si="39"/>
        <v>0</v>
      </c>
      <c r="BK31" s="1230">
        <f t="shared" si="39"/>
        <v>0</v>
      </c>
      <c r="BL31" s="1230">
        <f t="shared" si="39"/>
        <v>0</v>
      </c>
      <c r="BM31" s="1230">
        <f t="shared" si="39"/>
        <v>0</v>
      </c>
      <c r="BN31" s="1230">
        <f t="shared" si="39"/>
        <v>0</v>
      </c>
      <c r="BO31" s="1186">
        <f>SUM(BC31:BN31)</f>
        <v>0</v>
      </c>
      <c r="BP31" s="68"/>
      <c r="BQ31" s="68"/>
      <c r="BR31" s="72">
        <v>7.0000000000000007E-2</v>
      </c>
      <c r="BS31" s="73" t="s">
        <v>122</v>
      </c>
      <c r="BT31" s="1230">
        <f t="shared" si="40"/>
        <v>0</v>
      </c>
      <c r="BU31" s="1230">
        <f t="shared" si="40"/>
        <v>0</v>
      </c>
      <c r="BV31" s="1230">
        <f t="shared" si="40"/>
        <v>0</v>
      </c>
      <c r="BW31" s="1230">
        <f t="shared" si="40"/>
        <v>0</v>
      </c>
      <c r="BX31" s="1230">
        <f t="shared" si="40"/>
        <v>0</v>
      </c>
      <c r="BY31" s="1230">
        <f t="shared" si="40"/>
        <v>0</v>
      </c>
      <c r="BZ31" s="1230">
        <f t="shared" si="40"/>
        <v>0</v>
      </c>
      <c r="CA31" s="1230">
        <f t="shared" si="40"/>
        <v>0</v>
      </c>
      <c r="CB31" s="1230">
        <f t="shared" si="40"/>
        <v>0</v>
      </c>
      <c r="CC31" s="1230">
        <f t="shared" si="40"/>
        <v>0</v>
      </c>
      <c r="CD31" s="1230">
        <f t="shared" si="40"/>
        <v>0</v>
      </c>
      <c r="CE31" s="1230">
        <f t="shared" si="40"/>
        <v>0</v>
      </c>
      <c r="CF31" s="1186">
        <f>SUM(BT31:CE31)</f>
        <v>0</v>
      </c>
      <c r="CU31" s="90"/>
      <c r="CV31" s="90"/>
      <c r="CW31" s="920">
        <v>26</v>
      </c>
      <c r="CX31" s="926">
        <f>$Q$3</f>
        <v>7.0000000000000007E-2</v>
      </c>
      <c r="CY31" s="872" t="s">
        <v>122</v>
      </c>
      <c r="CZ31" s="874" t="s">
        <v>289</v>
      </c>
      <c r="DA31" s="920">
        <v>26</v>
      </c>
      <c r="DB31" s="930">
        <f t="shared" si="12"/>
        <v>7.0000000000000007E-2</v>
      </c>
      <c r="DC31" s="928" t="str">
        <f t="shared" si="13"/>
        <v>Übernachtungen</v>
      </c>
      <c r="DD31" s="928" t="str">
        <f t="shared" si="14"/>
        <v>Accomodations</v>
      </c>
      <c r="DR31" s="126"/>
    </row>
    <row r="32" spans="1:122" x14ac:dyDescent="0.2">
      <c r="A32" s="1385">
        <v>0.19</v>
      </c>
      <c r="B32" s="72">
        <f>IF($D$4&lt;&gt;1, A32,"")</f>
        <v>0.19</v>
      </c>
      <c r="C32" s="1432" t="s">
        <v>470</v>
      </c>
      <c r="D32" s="1433"/>
      <c r="E32" s="1433"/>
      <c r="F32" s="1433"/>
      <c r="G32" s="1433"/>
      <c r="H32" s="1433"/>
      <c r="I32" s="1433"/>
      <c r="J32" s="1433"/>
      <c r="K32" s="1433"/>
      <c r="L32" s="1433"/>
      <c r="M32" s="1433"/>
      <c r="N32" s="1433"/>
      <c r="O32" s="1433"/>
      <c r="P32" s="1434">
        <f>SUM(D32:O32)</f>
        <v>0</v>
      </c>
      <c r="Q32" s="1676"/>
      <c r="S32" s="1556"/>
      <c r="T32" s="68"/>
      <c r="U32" s="76" t="str">
        <f t="shared" si="41"/>
        <v xml:space="preserve"> Anzahl Mitarbeiter</v>
      </c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937"/>
      <c r="AH32" s="38"/>
      <c r="BA32" s="72"/>
      <c r="BB32" s="1063" t="s">
        <v>470</v>
      </c>
      <c r="BC32" s="1230">
        <f t="shared" si="39"/>
        <v>0</v>
      </c>
      <c r="BD32" s="1230">
        <f t="shared" si="39"/>
        <v>0</v>
      </c>
      <c r="BE32" s="1230">
        <f t="shared" si="39"/>
        <v>0</v>
      </c>
      <c r="BF32" s="1230">
        <f t="shared" si="39"/>
        <v>0</v>
      </c>
      <c r="BG32" s="1230">
        <f t="shared" si="39"/>
        <v>0</v>
      </c>
      <c r="BH32" s="1230">
        <f t="shared" si="39"/>
        <v>0</v>
      </c>
      <c r="BI32" s="1230">
        <f t="shared" si="39"/>
        <v>0</v>
      </c>
      <c r="BJ32" s="1230">
        <f t="shared" si="39"/>
        <v>0</v>
      </c>
      <c r="BK32" s="1230">
        <f t="shared" si="39"/>
        <v>0</v>
      </c>
      <c r="BL32" s="1230">
        <f t="shared" si="39"/>
        <v>0</v>
      </c>
      <c r="BM32" s="1230">
        <f t="shared" si="39"/>
        <v>0</v>
      </c>
      <c r="BN32" s="1230">
        <f t="shared" si="39"/>
        <v>0</v>
      </c>
      <c r="BO32" s="1187">
        <f>SUM(BC32:BN32)</f>
        <v>0</v>
      </c>
      <c r="BP32" s="68"/>
      <c r="BQ32" s="68"/>
      <c r="BR32" s="72"/>
      <c r="BS32" s="990" t="s">
        <v>470</v>
      </c>
      <c r="BT32" s="1230">
        <f t="shared" si="40"/>
        <v>0</v>
      </c>
      <c r="BU32" s="1230">
        <f t="shared" si="40"/>
        <v>0</v>
      </c>
      <c r="BV32" s="1230">
        <f t="shared" si="40"/>
        <v>0</v>
      </c>
      <c r="BW32" s="1230">
        <f t="shared" si="40"/>
        <v>0</v>
      </c>
      <c r="BX32" s="1230">
        <f t="shared" si="40"/>
        <v>0</v>
      </c>
      <c r="BY32" s="1230">
        <f t="shared" si="40"/>
        <v>0</v>
      </c>
      <c r="BZ32" s="1230">
        <f t="shared" si="40"/>
        <v>0</v>
      </c>
      <c r="CA32" s="1230">
        <f t="shared" si="40"/>
        <v>0</v>
      </c>
      <c r="CB32" s="1230">
        <f t="shared" si="40"/>
        <v>0</v>
      </c>
      <c r="CC32" s="1230">
        <f t="shared" si="40"/>
        <v>0</v>
      </c>
      <c r="CD32" s="1230">
        <f t="shared" si="40"/>
        <v>0</v>
      </c>
      <c r="CE32" s="1230">
        <f t="shared" si="40"/>
        <v>0</v>
      </c>
      <c r="CF32" s="1187">
        <f>SUM(BT32:CE32)</f>
        <v>0</v>
      </c>
      <c r="CU32" s="934"/>
      <c r="CV32" s="934"/>
      <c r="CW32" s="920">
        <v>27</v>
      </c>
      <c r="CX32" s="1296">
        <f>$Q$2</f>
        <v>0.19</v>
      </c>
      <c r="CY32" s="873" t="s">
        <v>470</v>
      </c>
      <c r="CZ32" s="873" t="s">
        <v>473</v>
      </c>
      <c r="DA32" s="920">
        <v>27</v>
      </c>
      <c r="DB32" s="930">
        <f t="shared" si="12"/>
        <v>0.19</v>
      </c>
      <c r="DC32" s="928" t="str">
        <f t="shared" si="13"/>
        <v>Sonstiges</v>
      </c>
      <c r="DD32" s="928" t="str">
        <f t="shared" si="14"/>
        <v>Others</v>
      </c>
      <c r="DR32" s="126"/>
    </row>
    <row r="33" spans="1:122" ht="15" thickBot="1" x14ac:dyDescent="0.25">
      <c r="A33" s="1002"/>
      <c r="B33" s="1487"/>
      <c r="C33" s="1488" t="str">
        <f t="shared" si="1"/>
        <v>Summe Reisekosten</v>
      </c>
      <c r="D33" s="1489">
        <f>SUM(D29:D32)</f>
        <v>0</v>
      </c>
      <c r="E33" s="1489">
        <f t="shared" ref="E33:N33" si="42">SUM(E29:E32)</f>
        <v>0</v>
      </c>
      <c r="F33" s="1489">
        <f t="shared" si="42"/>
        <v>0</v>
      </c>
      <c r="G33" s="1489">
        <f t="shared" si="42"/>
        <v>0</v>
      </c>
      <c r="H33" s="1489">
        <f t="shared" si="42"/>
        <v>0</v>
      </c>
      <c r="I33" s="1489">
        <f t="shared" si="42"/>
        <v>0</v>
      </c>
      <c r="J33" s="1489">
        <f t="shared" si="42"/>
        <v>0</v>
      </c>
      <c r="K33" s="1489">
        <f t="shared" si="42"/>
        <v>0</v>
      </c>
      <c r="L33" s="1489">
        <f t="shared" si="42"/>
        <v>0</v>
      </c>
      <c r="M33" s="1489">
        <f t="shared" si="42"/>
        <v>0</v>
      </c>
      <c r="N33" s="1489">
        <f t="shared" si="42"/>
        <v>0</v>
      </c>
      <c r="O33" s="1489">
        <f>SUM(O29:O32)</f>
        <v>0</v>
      </c>
      <c r="P33" s="1490">
        <f>SUM(D33:O33)</f>
        <v>0</v>
      </c>
      <c r="Q33" s="1585"/>
      <c r="S33" s="82"/>
      <c r="T33" s="68"/>
      <c r="U33" s="76" t="str">
        <f t="shared" si="41"/>
        <v>Gehalt2</v>
      </c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937"/>
      <c r="AH33" s="38"/>
      <c r="AZ33" s="35" t="b">
        <f>IFERROR(OR(BO33,CF33),-1)</f>
        <v>0</v>
      </c>
      <c r="BA33" s="80"/>
      <c r="BB33" s="96" t="s">
        <v>621</v>
      </c>
      <c r="BC33" s="1188">
        <f>SUM(BC29:BC32)</f>
        <v>0</v>
      </c>
      <c r="BD33" s="1188">
        <f t="shared" ref="BD33:BN33" si="43">SUM(BD29:BD32)</f>
        <v>0</v>
      </c>
      <c r="BE33" s="1188">
        <f t="shared" si="43"/>
        <v>0</v>
      </c>
      <c r="BF33" s="1188">
        <f t="shared" si="43"/>
        <v>0</v>
      </c>
      <c r="BG33" s="1188">
        <f t="shared" si="43"/>
        <v>0</v>
      </c>
      <c r="BH33" s="1188">
        <f t="shared" si="43"/>
        <v>0</v>
      </c>
      <c r="BI33" s="1188">
        <f t="shared" si="43"/>
        <v>0</v>
      </c>
      <c r="BJ33" s="1188">
        <f t="shared" si="43"/>
        <v>0</v>
      </c>
      <c r="BK33" s="1188">
        <f t="shared" si="43"/>
        <v>0</v>
      </c>
      <c r="BL33" s="1188">
        <f t="shared" si="43"/>
        <v>0</v>
      </c>
      <c r="BM33" s="1188">
        <f t="shared" si="43"/>
        <v>0</v>
      </c>
      <c r="BN33" s="1188">
        <f t="shared" si="43"/>
        <v>0</v>
      </c>
      <c r="BO33" s="1192">
        <f>SUM(BC33:BN33)</f>
        <v>0</v>
      </c>
      <c r="BP33" s="68"/>
      <c r="BQ33" s="68"/>
      <c r="BR33" s="80"/>
      <c r="BS33" s="96" t="s">
        <v>621</v>
      </c>
      <c r="BT33" s="1188">
        <f>SUM(BT29:BT32)</f>
        <v>0</v>
      </c>
      <c r="BU33" s="1188">
        <f t="shared" ref="BU33:CE33" si="44">SUM(BU29:BU32)</f>
        <v>0</v>
      </c>
      <c r="BV33" s="1188">
        <f t="shared" si="44"/>
        <v>0</v>
      </c>
      <c r="BW33" s="1188">
        <f t="shared" si="44"/>
        <v>0</v>
      </c>
      <c r="BX33" s="1188">
        <f t="shared" si="44"/>
        <v>0</v>
      </c>
      <c r="BY33" s="1188">
        <f t="shared" si="44"/>
        <v>0</v>
      </c>
      <c r="BZ33" s="1188">
        <f t="shared" si="44"/>
        <v>0</v>
      </c>
      <c r="CA33" s="1188">
        <f t="shared" si="44"/>
        <v>0</v>
      </c>
      <c r="CB33" s="1188">
        <f t="shared" si="44"/>
        <v>0</v>
      </c>
      <c r="CC33" s="1188">
        <f t="shared" si="44"/>
        <v>0</v>
      </c>
      <c r="CD33" s="1188">
        <f t="shared" si="44"/>
        <v>0</v>
      </c>
      <c r="CE33" s="1188">
        <f t="shared" si="44"/>
        <v>0</v>
      </c>
      <c r="CF33" s="1192">
        <f>SUM(BT33:CE33)</f>
        <v>0</v>
      </c>
      <c r="CU33" s="934"/>
      <c r="CV33" s="934"/>
      <c r="CW33" s="920">
        <v>28</v>
      </c>
      <c r="CX33" s="926"/>
      <c r="CY33" s="876" t="str">
        <f>"Summe " &amp;CY28</f>
        <v>Summe Reisekosten</v>
      </c>
      <c r="CZ33" s="874" t="s">
        <v>285</v>
      </c>
      <c r="DA33" s="920">
        <v>28</v>
      </c>
      <c r="DB33" s="930">
        <f t="shared" si="12"/>
        <v>0</v>
      </c>
      <c r="DC33" s="928" t="str">
        <f t="shared" si="13"/>
        <v>Summe Reisekosten</v>
      </c>
      <c r="DD33" s="928" t="str">
        <f t="shared" si="14"/>
        <v>Sum travel expenses</v>
      </c>
      <c r="DR33" s="126"/>
    </row>
    <row r="34" spans="1:122" x14ac:dyDescent="0.2">
      <c r="A34" s="1002"/>
      <c r="B34" s="141">
        <v>5</v>
      </c>
      <c r="C34" s="86" t="str">
        <f t="shared" si="1"/>
        <v>Versicherungen und Beiträge (betrieblich!)</v>
      </c>
      <c r="D34" s="1190"/>
      <c r="E34" s="1190"/>
      <c r="F34" s="1190"/>
      <c r="G34" s="1190"/>
      <c r="H34" s="1190"/>
      <c r="I34" s="1190"/>
      <c r="J34" s="1190"/>
      <c r="K34" s="1190"/>
      <c r="L34" s="1190"/>
      <c r="M34" s="1190"/>
      <c r="N34" s="1190"/>
      <c r="O34" s="1190"/>
      <c r="P34" s="1191"/>
      <c r="Q34" s="47"/>
      <c r="S34" s="93"/>
      <c r="T34" s="68"/>
      <c r="U34" s="76" t="str">
        <f t="shared" si="41"/>
        <v xml:space="preserve"> Anzahl Mitarbeiter</v>
      </c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937"/>
      <c r="AH34" s="38"/>
      <c r="BA34" s="141">
        <v>5</v>
      </c>
      <c r="BB34" s="86" t="s">
        <v>499</v>
      </c>
      <c r="BC34" s="1190"/>
      <c r="BD34" s="1190"/>
      <c r="BE34" s="1190"/>
      <c r="BF34" s="1190"/>
      <c r="BG34" s="1190"/>
      <c r="BH34" s="1190"/>
      <c r="BI34" s="1190"/>
      <c r="BJ34" s="1190"/>
      <c r="BK34" s="1190"/>
      <c r="BL34" s="1190"/>
      <c r="BM34" s="1190"/>
      <c r="BN34" s="1190"/>
      <c r="BO34" s="1191"/>
      <c r="BP34" s="68"/>
      <c r="BQ34" s="68"/>
      <c r="BR34" s="141">
        <v>5</v>
      </c>
      <c r="BS34" s="86" t="s">
        <v>499</v>
      </c>
      <c r="BT34" s="1190"/>
      <c r="BU34" s="1190"/>
      <c r="BV34" s="1190"/>
      <c r="BW34" s="1190"/>
      <c r="BX34" s="1190"/>
      <c r="BY34" s="1190"/>
      <c r="BZ34" s="1190"/>
      <c r="CA34" s="1190"/>
      <c r="CB34" s="1190"/>
      <c r="CC34" s="1190"/>
      <c r="CD34" s="1190"/>
      <c r="CE34" s="1190"/>
      <c r="CF34" s="1191"/>
      <c r="CU34" s="934"/>
      <c r="CV34" s="934"/>
      <c r="CW34" s="920">
        <v>29</v>
      </c>
      <c r="CX34" s="926"/>
      <c r="CY34" s="876" t="s">
        <v>499</v>
      </c>
      <c r="CZ34" s="874" t="s">
        <v>500</v>
      </c>
      <c r="DA34" s="920">
        <v>29</v>
      </c>
      <c r="DB34" s="930">
        <f t="shared" si="12"/>
        <v>0</v>
      </c>
      <c r="DC34" s="928" t="str">
        <f t="shared" si="13"/>
        <v>Versicherungen und Beiträge (betrieblich!)</v>
      </c>
      <c r="DD34" s="928" t="str">
        <f t="shared" si="14"/>
        <v>Insurances and Contributions</v>
      </c>
      <c r="DR34" s="126"/>
    </row>
    <row r="35" spans="1:122" ht="14.25" customHeight="1" x14ac:dyDescent="0.2">
      <c r="A35" s="1002">
        <f>$Q$2</f>
        <v>0.19</v>
      </c>
      <c r="B35" s="72">
        <f>IF($D$4&lt;&gt;1, A35,"")</f>
        <v>0.19</v>
      </c>
      <c r="C35" s="1429" t="str">
        <f t="shared" si="1"/>
        <v>Haftpflicht</v>
      </c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1">
        <f>SUM(D35:O35)</f>
        <v>0</v>
      </c>
      <c r="Q35" s="1676" t="s">
        <v>796</v>
      </c>
      <c r="S35" s="1556"/>
      <c r="T35" s="68"/>
      <c r="U35" s="76" t="str">
        <f t="shared" si="41"/>
        <v>Gehalt3</v>
      </c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937"/>
      <c r="AH35" s="38"/>
      <c r="BA35" s="72">
        <v>0.19</v>
      </c>
      <c r="BB35" s="73" t="s">
        <v>49</v>
      </c>
      <c r="BC35" s="1230">
        <f t="shared" ref="BC35:BN38" si="45">IF($A35=$Q$2,D35*IF(OR($D$4=0,$D$4=3),$A35,$A35/(1+$A35)),0)</f>
        <v>0</v>
      </c>
      <c r="BD35" s="1230">
        <f t="shared" si="45"/>
        <v>0</v>
      </c>
      <c r="BE35" s="1230">
        <f t="shared" si="45"/>
        <v>0</v>
      </c>
      <c r="BF35" s="1230">
        <f t="shared" si="45"/>
        <v>0</v>
      </c>
      <c r="BG35" s="1230">
        <f t="shared" si="45"/>
        <v>0</v>
      </c>
      <c r="BH35" s="1230">
        <f t="shared" si="45"/>
        <v>0</v>
      </c>
      <c r="BI35" s="1230">
        <f t="shared" si="45"/>
        <v>0</v>
      </c>
      <c r="BJ35" s="1230">
        <f t="shared" si="45"/>
        <v>0</v>
      </c>
      <c r="BK35" s="1230">
        <f t="shared" si="45"/>
        <v>0</v>
      </c>
      <c r="BL35" s="1230">
        <f t="shared" si="45"/>
        <v>0</v>
      </c>
      <c r="BM35" s="1230">
        <f t="shared" si="45"/>
        <v>0</v>
      </c>
      <c r="BN35" s="1230">
        <f t="shared" si="45"/>
        <v>0</v>
      </c>
      <c r="BO35" s="1186">
        <f>SUM(BC35:BN35)</f>
        <v>0</v>
      </c>
      <c r="BP35" s="68"/>
      <c r="BQ35" s="68"/>
      <c r="BR35" s="72">
        <v>0.19</v>
      </c>
      <c r="BS35" s="73" t="s">
        <v>49</v>
      </c>
      <c r="BT35" s="1230">
        <f t="shared" ref="BT35:CE38" si="46">IF($A35=$Q$3,D35*IF(OR($D$4=0,$D$4=3),$A35,$A35/(1+$A35)),0)</f>
        <v>0</v>
      </c>
      <c r="BU35" s="1230">
        <f t="shared" si="46"/>
        <v>0</v>
      </c>
      <c r="BV35" s="1230">
        <f t="shared" si="46"/>
        <v>0</v>
      </c>
      <c r="BW35" s="1230">
        <f t="shared" si="46"/>
        <v>0</v>
      </c>
      <c r="BX35" s="1230">
        <f t="shared" si="46"/>
        <v>0</v>
      </c>
      <c r="BY35" s="1230">
        <f t="shared" si="46"/>
        <v>0</v>
      </c>
      <c r="BZ35" s="1230">
        <f t="shared" si="46"/>
        <v>0</v>
      </c>
      <c r="CA35" s="1230">
        <f t="shared" si="46"/>
        <v>0</v>
      </c>
      <c r="CB35" s="1230">
        <f t="shared" si="46"/>
        <v>0</v>
      </c>
      <c r="CC35" s="1230">
        <f t="shared" si="46"/>
        <v>0</v>
      </c>
      <c r="CD35" s="1230">
        <f t="shared" si="46"/>
        <v>0</v>
      </c>
      <c r="CE35" s="1230">
        <f t="shared" si="46"/>
        <v>0</v>
      </c>
      <c r="CF35" s="1186">
        <f>SUM(BT35:CE35)</f>
        <v>0</v>
      </c>
      <c r="CU35" s="934"/>
      <c r="CV35" s="934"/>
      <c r="CW35" s="920">
        <v>30</v>
      </c>
      <c r="CX35" s="927">
        <f>$Q$2</f>
        <v>0.19</v>
      </c>
      <c r="CY35" s="876" t="s">
        <v>49</v>
      </c>
      <c r="CZ35" s="874" t="s">
        <v>264</v>
      </c>
      <c r="DA35" s="920">
        <v>30</v>
      </c>
      <c r="DB35" s="930">
        <f t="shared" si="12"/>
        <v>0.19</v>
      </c>
      <c r="DC35" s="928" t="str">
        <f t="shared" si="13"/>
        <v>Haftpflicht</v>
      </c>
      <c r="DD35" s="928" t="str">
        <f t="shared" si="14"/>
        <v xml:space="preserve">Insurance </v>
      </c>
      <c r="DR35" s="126"/>
    </row>
    <row r="36" spans="1:122" ht="15" thickBot="1" x14ac:dyDescent="0.25">
      <c r="A36" s="1002">
        <f>$Q$2</f>
        <v>0.19</v>
      </c>
      <c r="B36" s="72">
        <f>IF($D$4&lt;&gt;1, A36,"")</f>
        <v>0.19</v>
      </c>
      <c r="C36" s="1429" t="str">
        <f t="shared" si="1"/>
        <v>Rechtschutzversicherung</v>
      </c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1">
        <f>SUM(D36:O36)</f>
        <v>0</v>
      </c>
      <c r="Q36" s="1676"/>
      <c r="S36" s="1556"/>
      <c r="T36" s="68"/>
      <c r="U36" s="78" t="str">
        <f t="shared" si="41"/>
        <v>Nebenkosten (%)</v>
      </c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938"/>
      <c r="AH36" s="38"/>
      <c r="BA36" s="72">
        <v>0.19</v>
      </c>
      <c r="BB36" s="73" t="s">
        <v>50</v>
      </c>
      <c r="BC36" s="1230">
        <f t="shared" si="45"/>
        <v>0</v>
      </c>
      <c r="BD36" s="1230">
        <f t="shared" si="45"/>
        <v>0</v>
      </c>
      <c r="BE36" s="1230">
        <f t="shared" si="45"/>
        <v>0</v>
      </c>
      <c r="BF36" s="1230">
        <f t="shared" si="45"/>
        <v>0</v>
      </c>
      <c r="BG36" s="1230">
        <f t="shared" si="45"/>
        <v>0</v>
      </c>
      <c r="BH36" s="1230">
        <f t="shared" si="45"/>
        <v>0</v>
      </c>
      <c r="BI36" s="1230">
        <f t="shared" si="45"/>
        <v>0</v>
      </c>
      <c r="BJ36" s="1230">
        <f t="shared" si="45"/>
        <v>0</v>
      </c>
      <c r="BK36" s="1230">
        <f t="shared" si="45"/>
        <v>0</v>
      </c>
      <c r="BL36" s="1230">
        <f t="shared" si="45"/>
        <v>0</v>
      </c>
      <c r="BM36" s="1230">
        <f t="shared" si="45"/>
        <v>0</v>
      </c>
      <c r="BN36" s="1230">
        <f t="shared" si="45"/>
        <v>0</v>
      </c>
      <c r="BO36" s="1186">
        <f>SUM(BC36:BN36)</f>
        <v>0</v>
      </c>
      <c r="BP36" s="68"/>
      <c r="BQ36" s="68"/>
      <c r="BR36" s="72">
        <v>0.19</v>
      </c>
      <c r="BS36" s="73" t="s">
        <v>50</v>
      </c>
      <c r="BT36" s="1230">
        <f t="shared" si="46"/>
        <v>0</v>
      </c>
      <c r="BU36" s="1230">
        <f t="shared" si="46"/>
        <v>0</v>
      </c>
      <c r="BV36" s="1230">
        <f t="shared" si="46"/>
        <v>0</v>
      </c>
      <c r="BW36" s="1230">
        <f t="shared" si="46"/>
        <v>0</v>
      </c>
      <c r="BX36" s="1230">
        <f t="shared" si="46"/>
        <v>0</v>
      </c>
      <c r="BY36" s="1230">
        <f t="shared" si="46"/>
        <v>0</v>
      </c>
      <c r="BZ36" s="1230">
        <f t="shared" si="46"/>
        <v>0</v>
      </c>
      <c r="CA36" s="1230">
        <f t="shared" si="46"/>
        <v>0</v>
      </c>
      <c r="CB36" s="1230">
        <f t="shared" si="46"/>
        <v>0</v>
      </c>
      <c r="CC36" s="1230">
        <f t="shared" si="46"/>
        <v>0</v>
      </c>
      <c r="CD36" s="1230">
        <f t="shared" si="46"/>
        <v>0</v>
      </c>
      <c r="CE36" s="1230">
        <f t="shared" si="46"/>
        <v>0</v>
      </c>
      <c r="CF36" s="1186">
        <f>SUM(BT36:CE36)</f>
        <v>0</v>
      </c>
      <c r="CU36" s="934"/>
      <c r="CV36" s="934"/>
      <c r="CW36" s="920">
        <v>31</v>
      </c>
      <c r="CX36" s="927">
        <f>$Q$2</f>
        <v>0.19</v>
      </c>
      <c r="CY36" s="876" t="s">
        <v>50</v>
      </c>
      <c r="CZ36" s="874" t="s">
        <v>275</v>
      </c>
      <c r="DA36" s="920">
        <v>31</v>
      </c>
      <c r="DB36" s="930">
        <f t="shared" si="12"/>
        <v>0.19</v>
      </c>
      <c r="DC36" s="928" t="str">
        <f t="shared" si="13"/>
        <v>Rechtschutzversicherung</v>
      </c>
      <c r="DD36" s="928" t="str">
        <f t="shared" si="14"/>
        <v>Legal costs insurance</v>
      </c>
      <c r="DR36" s="126"/>
    </row>
    <row r="37" spans="1:122" ht="15.75" thickTop="1" thickBot="1" x14ac:dyDescent="0.25">
      <c r="A37" s="1002">
        <f>$Q$2</f>
        <v>0.19</v>
      </c>
      <c r="B37" s="72">
        <f>IF($D$4&lt;&gt;1, A37,"")</f>
        <v>0.19</v>
      </c>
      <c r="C37" s="1429" t="str">
        <f t="shared" si="1"/>
        <v>Beiträge (IHK, Berufsverbände, ...)</v>
      </c>
      <c r="D37" s="1430"/>
      <c r="E37" s="1430"/>
      <c r="F37" s="1430"/>
      <c r="G37" s="1430"/>
      <c r="H37" s="1430"/>
      <c r="I37" s="1430"/>
      <c r="J37" s="1430"/>
      <c r="K37" s="1430"/>
      <c r="L37" s="1430"/>
      <c r="M37" s="1430"/>
      <c r="N37" s="1430"/>
      <c r="O37" s="1430"/>
      <c r="P37" s="1431">
        <f>SUM(D37:O37)</f>
        <v>0</v>
      </c>
      <c r="Q37" s="1676"/>
      <c r="S37" s="1556"/>
      <c r="T37" s="68"/>
      <c r="U37" s="83" t="str">
        <f t="shared" si="41"/>
        <v>Gehaltssumme</v>
      </c>
      <c r="V37" s="84">
        <f t="shared" ref="V37:AG37" si="47">((V30*V31)+(V32*V33)+(V34*V35))*(1+V36)</f>
        <v>0</v>
      </c>
      <c r="W37" s="84">
        <f t="shared" si="47"/>
        <v>0</v>
      </c>
      <c r="X37" s="84">
        <f t="shared" si="47"/>
        <v>0</v>
      </c>
      <c r="Y37" s="84">
        <f t="shared" si="47"/>
        <v>0</v>
      </c>
      <c r="Z37" s="84">
        <f t="shared" si="47"/>
        <v>0</v>
      </c>
      <c r="AA37" s="84">
        <f t="shared" si="47"/>
        <v>0</v>
      </c>
      <c r="AB37" s="84">
        <f t="shared" si="47"/>
        <v>0</v>
      </c>
      <c r="AC37" s="84">
        <f t="shared" si="47"/>
        <v>0</v>
      </c>
      <c r="AD37" s="84">
        <f t="shared" si="47"/>
        <v>0</v>
      </c>
      <c r="AE37" s="84">
        <f t="shared" si="47"/>
        <v>0</v>
      </c>
      <c r="AF37" s="84">
        <f t="shared" si="47"/>
        <v>0</v>
      </c>
      <c r="AG37" s="85">
        <f t="shared" si="47"/>
        <v>0</v>
      </c>
      <c r="AH37" s="944">
        <f>SUM(V37:AG37)</f>
        <v>0</v>
      </c>
      <c r="BA37" s="72">
        <v>0.19</v>
      </c>
      <c r="BB37" s="73" t="s">
        <v>479</v>
      </c>
      <c r="BC37" s="1230">
        <f t="shared" si="45"/>
        <v>0</v>
      </c>
      <c r="BD37" s="1230">
        <f t="shared" si="45"/>
        <v>0</v>
      </c>
      <c r="BE37" s="1230">
        <f t="shared" si="45"/>
        <v>0</v>
      </c>
      <c r="BF37" s="1230">
        <f t="shared" si="45"/>
        <v>0</v>
      </c>
      <c r="BG37" s="1230">
        <f t="shared" si="45"/>
        <v>0</v>
      </c>
      <c r="BH37" s="1230">
        <f t="shared" si="45"/>
        <v>0</v>
      </c>
      <c r="BI37" s="1230">
        <f t="shared" si="45"/>
        <v>0</v>
      </c>
      <c r="BJ37" s="1230">
        <f t="shared" si="45"/>
        <v>0</v>
      </c>
      <c r="BK37" s="1230">
        <f t="shared" si="45"/>
        <v>0</v>
      </c>
      <c r="BL37" s="1230">
        <f t="shared" si="45"/>
        <v>0</v>
      </c>
      <c r="BM37" s="1230">
        <f t="shared" si="45"/>
        <v>0</v>
      </c>
      <c r="BN37" s="1230">
        <f t="shared" si="45"/>
        <v>0</v>
      </c>
      <c r="BO37" s="1186">
        <f>SUM(BC37:BN37)</f>
        <v>0</v>
      </c>
      <c r="BP37" s="68"/>
      <c r="BQ37" s="68"/>
      <c r="BR37" s="72">
        <v>0.19</v>
      </c>
      <c r="BS37" s="73" t="s">
        <v>479</v>
      </c>
      <c r="BT37" s="1230">
        <f t="shared" si="46"/>
        <v>0</v>
      </c>
      <c r="BU37" s="1230">
        <f t="shared" si="46"/>
        <v>0</v>
      </c>
      <c r="BV37" s="1230">
        <f t="shared" si="46"/>
        <v>0</v>
      </c>
      <c r="BW37" s="1230">
        <f t="shared" si="46"/>
        <v>0</v>
      </c>
      <c r="BX37" s="1230">
        <f t="shared" si="46"/>
        <v>0</v>
      </c>
      <c r="BY37" s="1230">
        <f t="shared" si="46"/>
        <v>0</v>
      </c>
      <c r="BZ37" s="1230">
        <f t="shared" si="46"/>
        <v>0</v>
      </c>
      <c r="CA37" s="1230">
        <f t="shared" si="46"/>
        <v>0</v>
      </c>
      <c r="CB37" s="1230">
        <f t="shared" si="46"/>
        <v>0</v>
      </c>
      <c r="CC37" s="1230">
        <f t="shared" si="46"/>
        <v>0</v>
      </c>
      <c r="CD37" s="1230">
        <f t="shared" si="46"/>
        <v>0</v>
      </c>
      <c r="CE37" s="1230">
        <f t="shared" si="46"/>
        <v>0</v>
      </c>
      <c r="CF37" s="1186">
        <f>SUM(BT37:CE37)</f>
        <v>0</v>
      </c>
      <c r="CU37" s="934"/>
      <c r="CV37" s="934"/>
      <c r="CW37" s="920">
        <v>32</v>
      </c>
      <c r="CX37" s="927">
        <f>$Q$2</f>
        <v>0.19</v>
      </c>
      <c r="CY37" s="872" t="s">
        <v>479</v>
      </c>
      <c r="CZ37" s="874" t="s">
        <v>480</v>
      </c>
      <c r="DA37" s="920">
        <v>32</v>
      </c>
      <c r="DB37" s="930">
        <f t="shared" si="12"/>
        <v>0.19</v>
      </c>
      <c r="DC37" s="928" t="str">
        <f t="shared" si="13"/>
        <v>Beiträge (IHK, Berufsverbände, ...)</v>
      </c>
      <c r="DD37" s="928" t="str">
        <f t="shared" si="14"/>
        <v>Conributions (IHK,  trade organizations, ...)</v>
      </c>
      <c r="DR37" s="126"/>
    </row>
    <row r="38" spans="1:122" x14ac:dyDescent="0.2">
      <c r="A38" s="1385">
        <v>0.19</v>
      </c>
      <c r="B38" s="72">
        <f>IF($D$4&lt;&gt;1, A38,"")</f>
        <v>0.19</v>
      </c>
      <c r="C38" s="1432" t="s">
        <v>470</v>
      </c>
      <c r="D38" s="1433"/>
      <c r="E38" s="1433"/>
      <c r="F38" s="1433"/>
      <c r="G38" s="1433"/>
      <c r="H38" s="1433"/>
      <c r="I38" s="1433"/>
      <c r="J38" s="1433"/>
      <c r="K38" s="1433"/>
      <c r="L38" s="1433"/>
      <c r="M38" s="1433"/>
      <c r="N38" s="1433"/>
      <c r="O38" s="1433"/>
      <c r="P38" s="1434">
        <f>SUM(D38:O38)</f>
        <v>0</v>
      </c>
      <c r="Q38" s="1676"/>
      <c r="S38" s="1556"/>
      <c r="T38" s="68"/>
      <c r="U38" s="35"/>
      <c r="V38" s="1591" t="s">
        <v>797</v>
      </c>
      <c r="W38" s="1591" t="s">
        <v>797</v>
      </c>
      <c r="X38" s="1591" t="s">
        <v>797</v>
      </c>
      <c r="Y38" s="1591" t="s">
        <v>797</v>
      </c>
      <c r="Z38" s="1591" t="s">
        <v>797</v>
      </c>
      <c r="AA38" s="1591" t="s">
        <v>797</v>
      </c>
      <c r="AB38" s="1591" t="s">
        <v>797</v>
      </c>
      <c r="AC38" s="1591" t="s">
        <v>797</v>
      </c>
      <c r="AD38" s="1591" t="s">
        <v>797</v>
      </c>
      <c r="AE38" s="1591" t="s">
        <v>797</v>
      </c>
      <c r="AF38" s="1591" t="s">
        <v>797</v>
      </c>
      <c r="AG38" s="1591" t="s">
        <v>797</v>
      </c>
      <c r="AH38" s="38"/>
      <c r="BA38" s="72" t="s">
        <v>622</v>
      </c>
      <c r="BB38" s="1063" t="s">
        <v>470</v>
      </c>
      <c r="BC38" s="1230">
        <f t="shared" si="45"/>
        <v>0</v>
      </c>
      <c r="BD38" s="1230">
        <f t="shared" si="45"/>
        <v>0</v>
      </c>
      <c r="BE38" s="1230">
        <f t="shared" si="45"/>
        <v>0</v>
      </c>
      <c r="BF38" s="1230">
        <f t="shared" si="45"/>
        <v>0</v>
      </c>
      <c r="BG38" s="1230">
        <f t="shared" si="45"/>
        <v>0</v>
      </c>
      <c r="BH38" s="1230">
        <f t="shared" si="45"/>
        <v>0</v>
      </c>
      <c r="BI38" s="1230">
        <f t="shared" si="45"/>
        <v>0</v>
      </c>
      <c r="BJ38" s="1230">
        <f t="shared" si="45"/>
        <v>0</v>
      </c>
      <c r="BK38" s="1230">
        <f t="shared" si="45"/>
        <v>0</v>
      </c>
      <c r="BL38" s="1230">
        <f t="shared" si="45"/>
        <v>0</v>
      </c>
      <c r="BM38" s="1230">
        <f t="shared" si="45"/>
        <v>0</v>
      </c>
      <c r="BN38" s="1230">
        <f t="shared" si="45"/>
        <v>0</v>
      </c>
      <c r="BO38" s="1186">
        <f>SUM(BC38:BN38)</f>
        <v>0</v>
      </c>
      <c r="BP38" s="68"/>
      <c r="BQ38" s="68"/>
      <c r="BR38" s="72" t="s">
        <v>622</v>
      </c>
      <c r="BS38" s="990" t="s">
        <v>470</v>
      </c>
      <c r="BT38" s="1230">
        <f t="shared" si="46"/>
        <v>0</v>
      </c>
      <c r="BU38" s="1230">
        <f t="shared" si="46"/>
        <v>0</v>
      </c>
      <c r="BV38" s="1230">
        <f t="shared" si="46"/>
        <v>0</v>
      </c>
      <c r="BW38" s="1230">
        <f t="shared" si="46"/>
        <v>0</v>
      </c>
      <c r="BX38" s="1230">
        <f t="shared" si="46"/>
        <v>0</v>
      </c>
      <c r="BY38" s="1230">
        <f t="shared" si="46"/>
        <v>0</v>
      </c>
      <c r="BZ38" s="1230">
        <f t="shared" si="46"/>
        <v>0</v>
      </c>
      <c r="CA38" s="1230">
        <f t="shared" si="46"/>
        <v>0</v>
      </c>
      <c r="CB38" s="1230">
        <f t="shared" si="46"/>
        <v>0</v>
      </c>
      <c r="CC38" s="1230">
        <f t="shared" si="46"/>
        <v>0</v>
      </c>
      <c r="CD38" s="1230">
        <f t="shared" si="46"/>
        <v>0</v>
      </c>
      <c r="CE38" s="1230">
        <f t="shared" si="46"/>
        <v>0</v>
      </c>
      <c r="CF38" s="1186">
        <f>SUM(BT38:CE38)</f>
        <v>0</v>
      </c>
      <c r="CU38" s="934"/>
      <c r="CV38" s="934"/>
      <c r="CW38" s="920">
        <v>33</v>
      </c>
      <c r="CX38" s="878">
        <f>$Q$2</f>
        <v>0.19</v>
      </c>
      <c r="CY38" s="873" t="s">
        <v>470</v>
      </c>
      <c r="CZ38" s="873" t="s">
        <v>473</v>
      </c>
      <c r="DA38" s="920">
        <v>33</v>
      </c>
      <c r="DB38" s="930">
        <f t="shared" si="12"/>
        <v>0.19</v>
      </c>
      <c r="DC38" s="928" t="str">
        <f t="shared" si="13"/>
        <v>Sonstiges</v>
      </c>
      <c r="DD38" s="928" t="str">
        <f t="shared" si="14"/>
        <v>Others</v>
      </c>
      <c r="DR38" s="126"/>
    </row>
    <row r="39" spans="1:122" ht="15" thickBot="1" x14ac:dyDescent="0.25">
      <c r="A39" s="1002"/>
      <c r="B39" s="1487"/>
      <c r="C39" s="1488" t="str">
        <f t="shared" si="1"/>
        <v>Summe Versicherungen und Beiträge (betrieblich!)</v>
      </c>
      <c r="D39" s="1489">
        <f>SUM(D35:D38)</f>
        <v>0</v>
      </c>
      <c r="E39" s="1489">
        <f t="shared" ref="E39:O39" si="48">SUM(E35:E38)</f>
        <v>0</v>
      </c>
      <c r="F39" s="1489">
        <f t="shared" si="48"/>
        <v>0</v>
      </c>
      <c r="G39" s="1489">
        <f t="shared" si="48"/>
        <v>0</v>
      </c>
      <c r="H39" s="1489">
        <f t="shared" si="48"/>
        <v>0</v>
      </c>
      <c r="I39" s="1489">
        <f t="shared" si="48"/>
        <v>0</v>
      </c>
      <c r="J39" s="1489">
        <f t="shared" si="48"/>
        <v>0</v>
      </c>
      <c r="K39" s="1489">
        <f t="shared" si="48"/>
        <v>0</v>
      </c>
      <c r="L39" s="1489">
        <f t="shared" si="48"/>
        <v>0</v>
      </c>
      <c r="M39" s="1489">
        <f t="shared" si="48"/>
        <v>0</v>
      </c>
      <c r="N39" s="1489">
        <f t="shared" si="48"/>
        <v>0</v>
      </c>
      <c r="O39" s="1489">
        <f t="shared" si="48"/>
        <v>0</v>
      </c>
      <c r="P39" s="1490">
        <f>SUM(D39:O39)</f>
        <v>0</v>
      </c>
      <c r="Q39" s="1585"/>
      <c r="S39" s="1556"/>
      <c r="T39" s="68"/>
      <c r="U39" s="35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Z39" s="35" t="b">
        <f>IFERROR(OR(BO39,CF39),-1)</f>
        <v>0</v>
      </c>
      <c r="BA39" s="132"/>
      <c r="BB39" s="96" t="s">
        <v>623</v>
      </c>
      <c r="BC39" s="1188">
        <f>SUM(BC35:BC38)</f>
        <v>0</v>
      </c>
      <c r="BD39" s="1188">
        <f t="shared" ref="BD39:BN39" si="49">SUM(BD35:BD38)</f>
        <v>0</v>
      </c>
      <c r="BE39" s="1188">
        <f t="shared" si="49"/>
        <v>0</v>
      </c>
      <c r="BF39" s="1188">
        <f t="shared" si="49"/>
        <v>0</v>
      </c>
      <c r="BG39" s="1188">
        <f t="shared" si="49"/>
        <v>0</v>
      </c>
      <c r="BH39" s="1188">
        <f t="shared" si="49"/>
        <v>0</v>
      </c>
      <c r="BI39" s="1188">
        <f t="shared" si="49"/>
        <v>0</v>
      </c>
      <c r="BJ39" s="1188">
        <f t="shared" si="49"/>
        <v>0</v>
      </c>
      <c r="BK39" s="1188">
        <f t="shared" si="49"/>
        <v>0</v>
      </c>
      <c r="BL39" s="1188">
        <f t="shared" si="49"/>
        <v>0</v>
      </c>
      <c r="BM39" s="1188">
        <f t="shared" si="49"/>
        <v>0</v>
      </c>
      <c r="BN39" s="1188">
        <f t="shared" si="49"/>
        <v>0</v>
      </c>
      <c r="BO39" s="1192">
        <f>SUM(BC39:BN39)</f>
        <v>0</v>
      </c>
      <c r="BP39" s="68"/>
      <c r="BQ39" s="68"/>
      <c r="BR39" s="132"/>
      <c r="BS39" s="96" t="s">
        <v>623</v>
      </c>
      <c r="BT39" s="1188">
        <f>SUM(BT35:BT38)</f>
        <v>0</v>
      </c>
      <c r="BU39" s="1188">
        <f t="shared" ref="BU39:CE39" si="50">SUM(BU35:BU38)</f>
        <v>0</v>
      </c>
      <c r="BV39" s="1188">
        <f t="shared" si="50"/>
        <v>0</v>
      </c>
      <c r="BW39" s="1188">
        <f t="shared" si="50"/>
        <v>0</v>
      </c>
      <c r="BX39" s="1188">
        <f t="shared" si="50"/>
        <v>0</v>
      </c>
      <c r="BY39" s="1188">
        <f t="shared" si="50"/>
        <v>0</v>
      </c>
      <c r="BZ39" s="1188">
        <f t="shared" si="50"/>
        <v>0</v>
      </c>
      <c r="CA39" s="1188">
        <f t="shared" si="50"/>
        <v>0</v>
      </c>
      <c r="CB39" s="1188">
        <f t="shared" si="50"/>
        <v>0</v>
      </c>
      <c r="CC39" s="1188">
        <f t="shared" si="50"/>
        <v>0</v>
      </c>
      <c r="CD39" s="1188">
        <f t="shared" si="50"/>
        <v>0</v>
      </c>
      <c r="CE39" s="1188">
        <f t="shared" si="50"/>
        <v>0</v>
      </c>
      <c r="CF39" s="1192">
        <f>SUM(BT39:CE39)</f>
        <v>0</v>
      </c>
      <c r="CU39" s="934"/>
      <c r="CV39" s="934"/>
      <c r="CW39" s="920">
        <v>34</v>
      </c>
      <c r="CX39" s="926"/>
      <c r="CY39" s="876" t="str">
        <f>"Summe "&amp;CY34</f>
        <v>Summe Versicherungen und Beiträge (betrieblich!)</v>
      </c>
      <c r="CZ39" s="874" t="s">
        <v>287</v>
      </c>
      <c r="DA39" s="920">
        <v>34</v>
      </c>
      <c r="DB39" s="930">
        <f t="shared" si="12"/>
        <v>0</v>
      </c>
      <c r="DC39" s="928" t="str">
        <f t="shared" si="13"/>
        <v>Summe Versicherungen und Beiträge (betrieblich!)</v>
      </c>
      <c r="DD39" s="928" t="str">
        <f t="shared" si="14"/>
        <v>Sum insurances (operational)</v>
      </c>
      <c r="DR39" s="126"/>
    </row>
    <row r="40" spans="1:122" ht="15" thickBot="1" x14ac:dyDescent="0.25">
      <c r="A40" s="1002"/>
      <c r="B40" s="140">
        <v>6</v>
      </c>
      <c r="C40" s="63" t="str">
        <f t="shared" si="1"/>
        <v>KFZ Kosten / Betriebliche Nutzung</v>
      </c>
      <c r="D40" s="1190"/>
      <c r="E40" s="1190"/>
      <c r="F40" s="1190"/>
      <c r="G40" s="1190"/>
      <c r="H40" s="1190"/>
      <c r="I40" s="1190"/>
      <c r="J40" s="1190"/>
      <c r="K40" s="1190"/>
      <c r="L40" s="1190"/>
      <c r="M40" s="1190"/>
      <c r="N40" s="1190"/>
      <c r="O40" s="1190"/>
      <c r="P40" s="1191"/>
      <c r="Q40" s="47"/>
      <c r="S40" s="82"/>
      <c r="T40" s="68"/>
      <c r="U40" s="35"/>
      <c r="V40" s="49">
        <f>IFERROR(V49,-1)</f>
        <v>0</v>
      </c>
      <c r="W40" s="49">
        <f t="shared" ref="W40:AG40" si="51">IFERROR(W49,-1)</f>
        <v>0</v>
      </c>
      <c r="X40" s="49">
        <f t="shared" si="51"/>
        <v>0</v>
      </c>
      <c r="Y40" s="49">
        <f t="shared" si="51"/>
        <v>0</v>
      </c>
      <c r="Z40" s="49">
        <f t="shared" si="51"/>
        <v>0</v>
      </c>
      <c r="AA40" s="49">
        <f t="shared" si="51"/>
        <v>0</v>
      </c>
      <c r="AB40" s="49">
        <f t="shared" si="51"/>
        <v>0</v>
      </c>
      <c r="AC40" s="49">
        <f t="shared" si="51"/>
        <v>0</v>
      </c>
      <c r="AD40" s="49">
        <f t="shared" si="51"/>
        <v>0</v>
      </c>
      <c r="AE40" s="49">
        <f t="shared" si="51"/>
        <v>0</v>
      </c>
      <c r="AF40" s="49">
        <f t="shared" si="51"/>
        <v>0</v>
      </c>
      <c r="AG40" s="49">
        <f t="shared" si="51"/>
        <v>0</v>
      </c>
      <c r="AH40" s="38"/>
      <c r="BA40" s="140">
        <v>6</v>
      </c>
      <c r="BB40" s="63" t="s">
        <v>140</v>
      </c>
      <c r="BC40" s="1190"/>
      <c r="BD40" s="1190"/>
      <c r="BE40" s="1190"/>
      <c r="BF40" s="1190"/>
      <c r="BG40" s="1190"/>
      <c r="BH40" s="1190"/>
      <c r="BI40" s="1190"/>
      <c r="BJ40" s="1190"/>
      <c r="BK40" s="1190"/>
      <c r="BL40" s="1190"/>
      <c r="BM40" s="1190"/>
      <c r="BN40" s="1190"/>
      <c r="BO40" s="1191"/>
      <c r="BP40" s="68"/>
      <c r="BQ40" s="68"/>
      <c r="BR40" s="140">
        <v>6</v>
      </c>
      <c r="BS40" s="63" t="s">
        <v>140</v>
      </c>
      <c r="BT40" s="1190"/>
      <c r="BU40" s="1190"/>
      <c r="BV40" s="1190"/>
      <c r="BW40" s="1190"/>
      <c r="BX40" s="1190"/>
      <c r="BY40" s="1190"/>
      <c r="BZ40" s="1190"/>
      <c r="CA40" s="1190"/>
      <c r="CB40" s="1190"/>
      <c r="CC40" s="1190"/>
      <c r="CD40" s="1190"/>
      <c r="CE40" s="1190"/>
      <c r="CF40" s="1191"/>
      <c r="CU40" s="934"/>
      <c r="CV40" s="934"/>
      <c r="CW40" s="920">
        <v>35</v>
      </c>
      <c r="CX40" s="926"/>
      <c r="CY40" s="876" t="s">
        <v>140</v>
      </c>
      <c r="CZ40" s="874" t="s">
        <v>661</v>
      </c>
      <c r="DA40" s="920">
        <v>35</v>
      </c>
      <c r="DB40" s="930">
        <f t="shared" si="12"/>
        <v>0</v>
      </c>
      <c r="DC40" s="928" t="str">
        <f t="shared" si="13"/>
        <v>KFZ Kosten / Betriebliche Nutzung</v>
      </c>
      <c r="DD40" s="928" t="str">
        <f t="shared" si="14"/>
        <v>Vehicle expenses for operational use</v>
      </c>
      <c r="DR40" s="126"/>
    </row>
    <row r="41" spans="1:122" ht="15" customHeight="1" thickBot="1" x14ac:dyDescent="0.25">
      <c r="A41" s="1002">
        <f>$Q$2</f>
        <v>0.19</v>
      </c>
      <c r="B41" s="72">
        <f>IF($D$4&lt;&gt;1, A41,"")</f>
        <v>0.19</v>
      </c>
      <c r="C41" s="1429" t="str">
        <f t="shared" si="1"/>
        <v>Leasingraten Kfz</v>
      </c>
      <c r="D41" s="1430"/>
      <c r="E41" s="1430"/>
      <c r="F41" s="1430"/>
      <c r="G41" s="1430"/>
      <c r="H41" s="1430"/>
      <c r="I41" s="1430"/>
      <c r="J41" s="1430"/>
      <c r="K41" s="1430"/>
      <c r="L41" s="1430"/>
      <c r="M41" s="1430"/>
      <c r="N41" s="1430"/>
      <c r="O41" s="1430"/>
      <c r="P41" s="1431">
        <f t="shared" ref="P41:P46" si="52">SUM(D41:O41)</f>
        <v>0</v>
      </c>
      <c r="Q41" s="1675" t="s">
        <v>796</v>
      </c>
      <c r="S41" s="93"/>
      <c r="T41" s="68"/>
      <c r="U41" s="709">
        <f ca="1">G153</f>
        <v>2022</v>
      </c>
      <c r="V41" s="59" t="str">
        <f t="shared" ref="V41:AG41" si="53">V5</f>
        <v>Jan.</v>
      </c>
      <c r="W41" s="59" t="str">
        <f t="shared" si="53"/>
        <v>Febr.</v>
      </c>
      <c r="X41" s="59" t="str">
        <f t="shared" si="53"/>
        <v>März</v>
      </c>
      <c r="Y41" s="59" t="str">
        <f t="shared" si="53"/>
        <v>April</v>
      </c>
      <c r="Z41" s="59" t="str">
        <f t="shared" si="53"/>
        <v>Mai</v>
      </c>
      <c r="AA41" s="59" t="str">
        <f t="shared" si="53"/>
        <v>Juni</v>
      </c>
      <c r="AB41" s="59" t="str">
        <f t="shared" si="53"/>
        <v>Juli</v>
      </c>
      <c r="AC41" s="59" t="str">
        <f t="shared" si="53"/>
        <v>Aug.</v>
      </c>
      <c r="AD41" s="59" t="str">
        <f t="shared" si="53"/>
        <v>Sept.</v>
      </c>
      <c r="AE41" s="59" t="str">
        <f t="shared" si="53"/>
        <v>Okt.</v>
      </c>
      <c r="AF41" s="59" t="str">
        <f t="shared" si="53"/>
        <v>Nov.</v>
      </c>
      <c r="AG41" s="156" t="str">
        <f t="shared" si="53"/>
        <v>Dez.</v>
      </c>
      <c r="AH41" s="38"/>
      <c r="BA41" s="72">
        <v>0.19</v>
      </c>
      <c r="BB41" s="73" t="s">
        <v>139</v>
      </c>
      <c r="BC41" s="1230">
        <f t="shared" ref="BC41:BN45" si="54">IF($A41=$Q$2,D41*IF(OR($D$4=0,$D$4=3),$A41,$A41/(1+$A41)),0)</f>
        <v>0</v>
      </c>
      <c r="BD41" s="1230">
        <f t="shared" si="54"/>
        <v>0</v>
      </c>
      <c r="BE41" s="1230">
        <f t="shared" si="54"/>
        <v>0</v>
      </c>
      <c r="BF41" s="1230">
        <f t="shared" si="54"/>
        <v>0</v>
      </c>
      <c r="BG41" s="1230">
        <f t="shared" si="54"/>
        <v>0</v>
      </c>
      <c r="BH41" s="1230">
        <f t="shared" si="54"/>
        <v>0</v>
      </c>
      <c r="BI41" s="1230">
        <f t="shared" si="54"/>
        <v>0</v>
      </c>
      <c r="BJ41" s="1230">
        <f t="shared" si="54"/>
        <v>0</v>
      </c>
      <c r="BK41" s="1230">
        <f t="shared" si="54"/>
        <v>0</v>
      </c>
      <c r="BL41" s="1230">
        <f t="shared" si="54"/>
        <v>0</v>
      </c>
      <c r="BM41" s="1230">
        <f t="shared" si="54"/>
        <v>0</v>
      </c>
      <c r="BN41" s="1230">
        <f t="shared" si="54"/>
        <v>0</v>
      </c>
      <c r="BO41" s="1186">
        <f>SUM(BC41:BN41)</f>
        <v>0</v>
      </c>
      <c r="BP41" s="68"/>
      <c r="BQ41" s="68"/>
      <c r="BR41" s="72">
        <v>0.19</v>
      </c>
      <c r="BS41" s="73" t="s">
        <v>139</v>
      </c>
      <c r="BT41" s="1230">
        <f t="shared" ref="BT41:CE45" si="55">IF($A41=$Q$3,D41*IF(OR($D$4=0,$D$4=3),$A41,$A41/(1+$A41)),0)</f>
        <v>0</v>
      </c>
      <c r="BU41" s="1230">
        <f t="shared" si="55"/>
        <v>0</v>
      </c>
      <c r="BV41" s="1230">
        <f t="shared" si="55"/>
        <v>0</v>
      </c>
      <c r="BW41" s="1230">
        <f t="shared" si="55"/>
        <v>0</v>
      </c>
      <c r="BX41" s="1230">
        <f t="shared" si="55"/>
        <v>0</v>
      </c>
      <c r="BY41" s="1230">
        <f t="shared" si="55"/>
        <v>0</v>
      </c>
      <c r="BZ41" s="1230">
        <f t="shared" si="55"/>
        <v>0</v>
      </c>
      <c r="CA41" s="1230">
        <f t="shared" si="55"/>
        <v>0</v>
      </c>
      <c r="CB41" s="1230">
        <f t="shared" si="55"/>
        <v>0</v>
      </c>
      <c r="CC41" s="1230">
        <f t="shared" si="55"/>
        <v>0</v>
      </c>
      <c r="CD41" s="1230">
        <f t="shared" si="55"/>
        <v>0</v>
      </c>
      <c r="CE41" s="1230">
        <f t="shared" si="55"/>
        <v>0</v>
      </c>
      <c r="CF41" s="1186">
        <f>SUM(BT41:CE41)</f>
        <v>0</v>
      </c>
      <c r="CW41" s="920">
        <v>36</v>
      </c>
      <c r="CX41" s="926">
        <f>$Q$2</f>
        <v>0.19</v>
      </c>
      <c r="CY41" s="876" t="s">
        <v>139</v>
      </c>
      <c r="CZ41" s="874" t="s">
        <v>268</v>
      </c>
      <c r="DA41" s="920">
        <v>36</v>
      </c>
      <c r="DB41" s="930">
        <f t="shared" si="12"/>
        <v>0.19</v>
      </c>
      <c r="DC41" s="928" t="str">
        <f t="shared" si="13"/>
        <v>Leasingraten Kfz</v>
      </c>
      <c r="DD41" s="928" t="str">
        <f t="shared" si="14"/>
        <v>Vehicle leasing rates</v>
      </c>
      <c r="DR41" s="126"/>
    </row>
    <row r="42" spans="1:122" x14ac:dyDescent="0.2">
      <c r="A42" s="1002">
        <v>0.19</v>
      </c>
      <c r="B42" s="72">
        <f>IF($D$4&lt;&gt;1, A42,"")</f>
        <v>0.19</v>
      </c>
      <c r="C42" s="1429" t="str">
        <f t="shared" si="1"/>
        <v>Versicherungen/Kfz-Steuer</v>
      </c>
      <c r="D42" s="1430"/>
      <c r="E42" s="1430"/>
      <c r="F42" s="1430"/>
      <c r="G42" s="1430"/>
      <c r="H42" s="1430"/>
      <c r="I42" s="1430"/>
      <c r="J42" s="1430"/>
      <c r="K42" s="1430"/>
      <c r="L42" s="1430"/>
      <c r="M42" s="1430"/>
      <c r="N42" s="1430"/>
      <c r="O42" s="1430"/>
      <c r="P42" s="1431">
        <f t="shared" si="52"/>
        <v>0</v>
      </c>
      <c r="Q42" s="1675"/>
      <c r="S42" s="1556"/>
      <c r="T42" s="68"/>
      <c r="U42" s="69" t="str">
        <f t="shared" ref="U42:U49" si="56">U30</f>
        <v xml:space="preserve"> Anzahl Mitarbeiter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936"/>
      <c r="AH42" s="939"/>
      <c r="BA42" s="72">
        <v>0.19</v>
      </c>
      <c r="BB42" s="73" t="s">
        <v>481</v>
      </c>
      <c r="BC42" s="1230">
        <f t="shared" si="54"/>
        <v>0</v>
      </c>
      <c r="BD42" s="1230">
        <f t="shared" si="54"/>
        <v>0</v>
      </c>
      <c r="BE42" s="1230">
        <f t="shared" si="54"/>
        <v>0</v>
      </c>
      <c r="BF42" s="1230">
        <f t="shared" si="54"/>
        <v>0</v>
      </c>
      <c r="BG42" s="1230">
        <f t="shared" si="54"/>
        <v>0</v>
      </c>
      <c r="BH42" s="1230">
        <f t="shared" si="54"/>
        <v>0</v>
      </c>
      <c r="BI42" s="1230">
        <f t="shared" si="54"/>
        <v>0</v>
      </c>
      <c r="BJ42" s="1230">
        <f t="shared" si="54"/>
        <v>0</v>
      </c>
      <c r="BK42" s="1230">
        <f t="shared" si="54"/>
        <v>0</v>
      </c>
      <c r="BL42" s="1230">
        <f t="shared" si="54"/>
        <v>0</v>
      </c>
      <c r="BM42" s="1230">
        <f t="shared" si="54"/>
        <v>0</v>
      </c>
      <c r="BN42" s="1230">
        <f t="shared" si="54"/>
        <v>0</v>
      </c>
      <c r="BO42" s="1186">
        <f>SUM(BC42:BN42)</f>
        <v>0</v>
      </c>
      <c r="BP42" s="68"/>
      <c r="BQ42" s="68"/>
      <c r="BR42" s="72">
        <v>0.19</v>
      </c>
      <c r="BS42" s="73" t="s">
        <v>481</v>
      </c>
      <c r="BT42" s="1230">
        <f t="shared" si="55"/>
        <v>0</v>
      </c>
      <c r="BU42" s="1230">
        <f t="shared" si="55"/>
        <v>0</v>
      </c>
      <c r="BV42" s="1230">
        <f t="shared" si="55"/>
        <v>0</v>
      </c>
      <c r="BW42" s="1230">
        <f t="shared" si="55"/>
        <v>0</v>
      </c>
      <c r="BX42" s="1230">
        <f t="shared" si="55"/>
        <v>0</v>
      </c>
      <c r="BY42" s="1230">
        <f t="shared" si="55"/>
        <v>0</v>
      </c>
      <c r="BZ42" s="1230">
        <f t="shared" si="55"/>
        <v>0</v>
      </c>
      <c r="CA42" s="1230">
        <f t="shared" si="55"/>
        <v>0</v>
      </c>
      <c r="CB42" s="1230">
        <f t="shared" si="55"/>
        <v>0</v>
      </c>
      <c r="CC42" s="1230">
        <f t="shared" si="55"/>
        <v>0</v>
      </c>
      <c r="CD42" s="1230">
        <f t="shared" si="55"/>
        <v>0</v>
      </c>
      <c r="CE42" s="1230">
        <f t="shared" si="55"/>
        <v>0</v>
      </c>
      <c r="CF42" s="1186">
        <f>SUM(BT42:CE42)</f>
        <v>0</v>
      </c>
      <c r="CW42" s="920">
        <v>37</v>
      </c>
      <c r="CX42" s="926">
        <v>0.19</v>
      </c>
      <c r="CY42" s="872" t="s">
        <v>481</v>
      </c>
      <c r="CZ42" s="874" t="s">
        <v>662</v>
      </c>
      <c r="DA42" s="920">
        <v>37</v>
      </c>
      <c r="DB42" s="930">
        <f t="shared" si="12"/>
        <v>0.19</v>
      </c>
      <c r="DC42" s="928" t="str">
        <f t="shared" si="13"/>
        <v>Versicherungen/Kfz-Steuer</v>
      </c>
      <c r="DD42" s="928" t="str">
        <f t="shared" si="14"/>
        <v>Insurances / tax on cars</v>
      </c>
      <c r="DR42" s="126"/>
    </row>
    <row r="43" spans="1:122" x14ac:dyDescent="0.2">
      <c r="A43" s="1002">
        <v>0.19</v>
      </c>
      <c r="B43" s="72">
        <f>IF($D$4&lt;&gt;1, A43,"")</f>
        <v>0.19</v>
      </c>
      <c r="C43" s="1429" t="str">
        <f t="shared" si="1"/>
        <v>Fahrzeugkosten (Tanken und Reparatur)</v>
      </c>
      <c r="D43" s="1430"/>
      <c r="E43" s="1430"/>
      <c r="F43" s="1430"/>
      <c r="G43" s="1430"/>
      <c r="H43" s="1430"/>
      <c r="I43" s="1430"/>
      <c r="J43" s="1430"/>
      <c r="K43" s="1430"/>
      <c r="L43" s="1430"/>
      <c r="M43" s="1430"/>
      <c r="N43" s="1430"/>
      <c r="O43" s="1430"/>
      <c r="P43" s="1431">
        <f t="shared" si="52"/>
        <v>0</v>
      </c>
      <c r="Q43" s="1675"/>
      <c r="S43" s="1556"/>
      <c r="T43" s="68"/>
      <c r="U43" s="76" t="str">
        <f t="shared" si="56"/>
        <v>Gehalt1</v>
      </c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937"/>
      <c r="AH43" s="939"/>
      <c r="BA43" s="72">
        <v>0.19</v>
      </c>
      <c r="BB43" s="73" t="s">
        <v>482</v>
      </c>
      <c r="BC43" s="1230">
        <f t="shared" si="54"/>
        <v>0</v>
      </c>
      <c r="BD43" s="1230">
        <f t="shared" si="54"/>
        <v>0</v>
      </c>
      <c r="BE43" s="1230">
        <f t="shared" si="54"/>
        <v>0</v>
      </c>
      <c r="BF43" s="1230">
        <f t="shared" si="54"/>
        <v>0</v>
      </c>
      <c r="BG43" s="1230">
        <f t="shared" si="54"/>
        <v>0</v>
      </c>
      <c r="BH43" s="1230">
        <f t="shared" si="54"/>
        <v>0</v>
      </c>
      <c r="BI43" s="1230">
        <f t="shared" si="54"/>
        <v>0</v>
      </c>
      <c r="BJ43" s="1230">
        <f t="shared" si="54"/>
        <v>0</v>
      </c>
      <c r="BK43" s="1230">
        <f t="shared" si="54"/>
        <v>0</v>
      </c>
      <c r="BL43" s="1230">
        <f t="shared" si="54"/>
        <v>0</v>
      </c>
      <c r="BM43" s="1230">
        <f t="shared" si="54"/>
        <v>0</v>
      </c>
      <c r="BN43" s="1230">
        <f t="shared" si="54"/>
        <v>0</v>
      </c>
      <c r="BO43" s="1186">
        <f>SUM(BC43:BN43)</f>
        <v>0</v>
      </c>
      <c r="BP43" s="68"/>
      <c r="BQ43" s="68"/>
      <c r="BR43" s="72">
        <v>0.19</v>
      </c>
      <c r="BS43" s="73" t="s">
        <v>482</v>
      </c>
      <c r="BT43" s="1230">
        <f t="shared" si="55"/>
        <v>0</v>
      </c>
      <c r="BU43" s="1230">
        <f t="shared" si="55"/>
        <v>0</v>
      </c>
      <c r="BV43" s="1230">
        <f t="shared" si="55"/>
        <v>0</v>
      </c>
      <c r="BW43" s="1230">
        <f t="shared" si="55"/>
        <v>0</v>
      </c>
      <c r="BX43" s="1230">
        <f t="shared" si="55"/>
        <v>0</v>
      </c>
      <c r="BY43" s="1230">
        <f t="shared" si="55"/>
        <v>0</v>
      </c>
      <c r="BZ43" s="1230">
        <f t="shared" si="55"/>
        <v>0</v>
      </c>
      <c r="CA43" s="1230">
        <f t="shared" si="55"/>
        <v>0</v>
      </c>
      <c r="CB43" s="1230">
        <f t="shared" si="55"/>
        <v>0</v>
      </c>
      <c r="CC43" s="1230">
        <f t="shared" si="55"/>
        <v>0</v>
      </c>
      <c r="CD43" s="1230">
        <f t="shared" si="55"/>
        <v>0</v>
      </c>
      <c r="CE43" s="1230">
        <f t="shared" si="55"/>
        <v>0</v>
      </c>
      <c r="CF43" s="1186">
        <f>SUM(BT43:CE43)</f>
        <v>0</v>
      </c>
      <c r="CW43" s="920">
        <v>38</v>
      </c>
      <c r="CX43" s="926">
        <v>0.19</v>
      </c>
      <c r="CY43" s="872" t="s">
        <v>482</v>
      </c>
      <c r="CZ43" s="874" t="s">
        <v>664</v>
      </c>
      <c r="DA43" s="920">
        <v>38</v>
      </c>
      <c r="DB43" s="930">
        <f t="shared" si="12"/>
        <v>0.19</v>
      </c>
      <c r="DC43" s="928" t="str">
        <f t="shared" si="13"/>
        <v>Fahrzeugkosten (Tanken und Reparatur)</v>
      </c>
      <c r="DD43" s="928" t="str">
        <f t="shared" si="14"/>
        <v xml:space="preserve">vehicle's cost (fuel and repairs) </v>
      </c>
      <c r="DR43" s="126"/>
    </row>
    <row r="44" spans="1:122" x14ac:dyDescent="0.2">
      <c r="A44" s="1002">
        <v>0</v>
      </c>
      <c r="B44" s="72">
        <f>IF($D$4&lt;&gt;1, A44,"")</f>
        <v>0</v>
      </c>
      <c r="C44" s="1429" t="str">
        <f t="shared" si="1"/>
        <v>Abrechenbare Kilometerkosten</v>
      </c>
      <c r="D44" s="1430"/>
      <c r="E44" s="1430"/>
      <c r="F44" s="1430"/>
      <c r="G44" s="1430"/>
      <c r="H44" s="1430"/>
      <c r="I44" s="1430"/>
      <c r="J44" s="1430"/>
      <c r="K44" s="1430"/>
      <c r="L44" s="1430"/>
      <c r="M44" s="1430"/>
      <c r="N44" s="1430"/>
      <c r="O44" s="1430"/>
      <c r="P44" s="1431">
        <f t="shared" si="52"/>
        <v>0</v>
      </c>
      <c r="Q44" s="1675"/>
      <c r="S44" s="1556"/>
      <c r="T44" s="68"/>
      <c r="U44" s="76" t="str">
        <f t="shared" si="56"/>
        <v xml:space="preserve"> Anzahl Mitarbeiter</v>
      </c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937"/>
      <c r="AH44" s="939"/>
      <c r="BA44" s="72">
        <v>0</v>
      </c>
      <c r="BB44" s="73" t="s">
        <v>137</v>
      </c>
      <c r="BC44" s="1230">
        <f t="shared" si="54"/>
        <v>0</v>
      </c>
      <c r="BD44" s="1230">
        <f t="shared" si="54"/>
        <v>0</v>
      </c>
      <c r="BE44" s="1230">
        <f t="shared" si="54"/>
        <v>0</v>
      </c>
      <c r="BF44" s="1230">
        <f t="shared" si="54"/>
        <v>0</v>
      </c>
      <c r="BG44" s="1230">
        <f t="shared" si="54"/>
        <v>0</v>
      </c>
      <c r="BH44" s="1230">
        <f t="shared" si="54"/>
        <v>0</v>
      </c>
      <c r="BI44" s="1230">
        <f t="shared" si="54"/>
        <v>0</v>
      </c>
      <c r="BJ44" s="1230">
        <f t="shared" si="54"/>
        <v>0</v>
      </c>
      <c r="BK44" s="1230">
        <f t="shared" si="54"/>
        <v>0</v>
      </c>
      <c r="BL44" s="1230">
        <f t="shared" si="54"/>
        <v>0</v>
      </c>
      <c r="BM44" s="1230">
        <f t="shared" si="54"/>
        <v>0</v>
      </c>
      <c r="BN44" s="1230">
        <f t="shared" si="54"/>
        <v>0</v>
      </c>
      <c r="BO44" s="1186">
        <f>SUM(BC44:BN44)</f>
        <v>0</v>
      </c>
      <c r="BP44" s="68"/>
      <c r="BQ44" s="68"/>
      <c r="BR44" s="72">
        <v>0</v>
      </c>
      <c r="BS44" s="73" t="s">
        <v>137</v>
      </c>
      <c r="BT44" s="1230">
        <f t="shared" si="55"/>
        <v>0</v>
      </c>
      <c r="BU44" s="1230">
        <f t="shared" si="55"/>
        <v>0</v>
      </c>
      <c r="BV44" s="1230">
        <f t="shared" si="55"/>
        <v>0</v>
      </c>
      <c r="BW44" s="1230">
        <f t="shared" si="55"/>
        <v>0</v>
      </c>
      <c r="BX44" s="1230">
        <f t="shared" si="55"/>
        <v>0</v>
      </c>
      <c r="BY44" s="1230">
        <f t="shared" si="55"/>
        <v>0</v>
      </c>
      <c r="BZ44" s="1230">
        <f t="shared" si="55"/>
        <v>0</v>
      </c>
      <c r="CA44" s="1230">
        <f t="shared" si="55"/>
        <v>0</v>
      </c>
      <c r="CB44" s="1230">
        <f t="shared" si="55"/>
        <v>0</v>
      </c>
      <c r="CC44" s="1230">
        <f t="shared" si="55"/>
        <v>0</v>
      </c>
      <c r="CD44" s="1230">
        <f t="shared" si="55"/>
        <v>0</v>
      </c>
      <c r="CE44" s="1230">
        <f t="shared" si="55"/>
        <v>0</v>
      </c>
      <c r="CF44" s="1186">
        <f>SUM(BT44:CE44)</f>
        <v>0</v>
      </c>
      <c r="CW44" s="920">
        <v>39</v>
      </c>
      <c r="CX44" s="926">
        <v>0</v>
      </c>
      <c r="CY44" s="876" t="s">
        <v>137</v>
      </c>
      <c r="CZ44" s="874" t="s">
        <v>663</v>
      </c>
      <c r="DA44" s="920">
        <v>39</v>
      </c>
      <c r="DB44" s="930">
        <f t="shared" si="12"/>
        <v>0</v>
      </c>
      <c r="DC44" s="928" t="str">
        <f t="shared" si="13"/>
        <v>Abrechenbare Kilometerkosten</v>
      </c>
      <c r="DD44" s="928" t="str">
        <f t="shared" si="14"/>
        <v>Deductible cost per kilometre</v>
      </c>
      <c r="DR44" s="126"/>
    </row>
    <row r="45" spans="1:122" x14ac:dyDescent="0.2">
      <c r="A45" s="1385">
        <v>0.19</v>
      </c>
      <c r="B45" s="72">
        <f>IF($D$4&lt;&gt;1, A45,"")</f>
        <v>0.19</v>
      </c>
      <c r="C45" s="1432" t="s">
        <v>470</v>
      </c>
      <c r="D45" s="1433"/>
      <c r="E45" s="1433"/>
      <c r="F45" s="1433"/>
      <c r="G45" s="1433"/>
      <c r="H45" s="1433"/>
      <c r="I45" s="1433"/>
      <c r="J45" s="1433"/>
      <c r="K45" s="1433"/>
      <c r="L45" s="1433"/>
      <c r="M45" s="1433"/>
      <c r="N45" s="1433"/>
      <c r="O45" s="1433"/>
      <c r="P45" s="1431">
        <f t="shared" si="52"/>
        <v>0</v>
      </c>
      <c r="Q45" s="1675"/>
      <c r="S45" s="1556"/>
      <c r="T45" s="68"/>
      <c r="U45" s="76" t="str">
        <f t="shared" si="56"/>
        <v>Gehalt2</v>
      </c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937"/>
      <c r="AH45" s="939"/>
      <c r="BA45" s="72"/>
      <c r="BB45" s="1063" t="s">
        <v>470</v>
      </c>
      <c r="BC45" s="1230">
        <f t="shared" si="54"/>
        <v>0</v>
      </c>
      <c r="BD45" s="1230">
        <f t="shared" si="54"/>
        <v>0</v>
      </c>
      <c r="BE45" s="1230">
        <f t="shared" si="54"/>
        <v>0</v>
      </c>
      <c r="BF45" s="1230">
        <f t="shared" si="54"/>
        <v>0</v>
      </c>
      <c r="BG45" s="1230">
        <f t="shared" si="54"/>
        <v>0</v>
      </c>
      <c r="BH45" s="1230">
        <f t="shared" si="54"/>
        <v>0</v>
      </c>
      <c r="BI45" s="1230">
        <f t="shared" si="54"/>
        <v>0</v>
      </c>
      <c r="BJ45" s="1230">
        <f t="shared" si="54"/>
        <v>0</v>
      </c>
      <c r="BK45" s="1230">
        <f t="shared" si="54"/>
        <v>0</v>
      </c>
      <c r="BL45" s="1230">
        <f t="shared" si="54"/>
        <v>0</v>
      </c>
      <c r="BM45" s="1230">
        <f t="shared" si="54"/>
        <v>0</v>
      </c>
      <c r="BN45" s="1230">
        <f t="shared" si="54"/>
        <v>0</v>
      </c>
      <c r="BO45" s="1186"/>
      <c r="BP45" s="68"/>
      <c r="BQ45" s="68"/>
      <c r="BR45" s="72"/>
      <c r="BS45" s="990" t="s">
        <v>470</v>
      </c>
      <c r="BT45" s="1230">
        <f t="shared" si="55"/>
        <v>0</v>
      </c>
      <c r="BU45" s="1230">
        <f t="shared" si="55"/>
        <v>0</v>
      </c>
      <c r="BV45" s="1230">
        <f t="shared" si="55"/>
        <v>0</v>
      </c>
      <c r="BW45" s="1230">
        <f t="shared" si="55"/>
        <v>0</v>
      </c>
      <c r="BX45" s="1230">
        <f t="shared" si="55"/>
        <v>0</v>
      </c>
      <c r="BY45" s="1230">
        <f t="shared" si="55"/>
        <v>0</v>
      </c>
      <c r="BZ45" s="1230">
        <f t="shared" si="55"/>
        <v>0</v>
      </c>
      <c r="CA45" s="1230">
        <f t="shared" si="55"/>
        <v>0</v>
      </c>
      <c r="CB45" s="1230">
        <f t="shared" si="55"/>
        <v>0</v>
      </c>
      <c r="CC45" s="1230">
        <f t="shared" si="55"/>
        <v>0</v>
      </c>
      <c r="CD45" s="1230">
        <f t="shared" si="55"/>
        <v>0</v>
      </c>
      <c r="CE45" s="1230">
        <f t="shared" si="55"/>
        <v>0</v>
      </c>
      <c r="CF45" s="1186"/>
      <c r="CW45" s="920">
        <v>40</v>
      </c>
      <c r="CX45" s="878">
        <f>$Q$2</f>
        <v>0.19</v>
      </c>
      <c r="CY45" s="873" t="s">
        <v>470</v>
      </c>
      <c r="CZ45" s="873" t="s">
        <v>473</v>
      </c>
      <c r="DA45" s="920">
        <v>40</v>
      </c>
      <c r="DB45" s="930">
        <f t="shared" si="12"/>
        <v>0.19</v>
      </c>
      <c r="DC45" s="928" t="str">
        <f t="shared" si="13"/>
        <v>Sonstiges</v>
      </c>
      <c r="DD45" s="928" t="str">
        <f t="shared" si="14"/>
        <v>Others</v>
      </c>
      <c r="DR45" s="126"/>
    </row>
    <row r="46" spans="1:122" ht="15" thickBot="1" x14ac:dyDescent="0.25">
      <c r="A46" s="1002"/>
      <c r="B46" s="1487"/>
      <c r="C46" s="1488" t="str">
        <f t="shared" si="1"/>
        <v>Summe KFZ Kosten / Betriebliche Nutzung</v>
      </c>
      <c r="D46" s="1489">
        <f>SUM(D41:D45)</f>
        <v>0</v>
      </c>
      <c r="E46" s="1489">
        <f t="shared" ref="E46:O46" si="57">SUM(E41:E45)</f>
        <v>0</v>
      </c>
      <c r="F46" s="1489">
        <f t="shared" si="57"/>
        <v>0</v>
      </c>
      <c r="G46" s="1489">
        <f t="shared" si="57"/>
        <v>0</v>
      </c>
      <c r="H46" s="1489">
        <f t="shared" si="57"/>
        <v>0</v>
      </c>
      <c r="I46" s="1489">
        <f t="shared" si="57"/>
        <v>0</v>
      </c>
      <c r="J46" s="1489">
        <f t="shared" si="57"/>
        <v>0</v>
      </c>
      <c r="K46" s="1489">
        <f t="shared" si="57"/>
        <v>0</v>
      </c>
      <c r="L46" s="1489">
        <f t="shared" si="57"/>
        <v>0</v>
      </c>
      <c r="M46" s="1489">
        <f t="shared" si="57"/>
        <v>0</v>
      </c>
      <c r="N46" s="1489">
        <f t="shared" si="57"/>
        <v>0</v>
      </c>
      <c r="O46" s="1489">
        <f t="shared" si="57"/>
        <v>0</v>
      </c>
      <c r="P46" s="1490">
        <f t="shared" si="52"/>
        <v>0</v>
      </c>
      <c r="Q46" s="47"/>
      <c r="R46" s="1570"/>
      <c r="S46" s="82"/>
      <c r="T46" s="68"/>
      <c r="U46" s="76" t="str">
        <f t="shared" si="56"/>
        <v xml:space="preserve"> Anzahl Mitarbeiter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937"/>
      <c r="AH46" s="939"/>
      <c r="AZ46" s="35" t="b">
        <f>IFERROR(OR(BO46,CF46),-1)</f>
        <v>0</v>
      </c>
      <c r="BA46" s="80"/>
      <c r="BB46" s="96" t="s">
        <v>624</v>
      </c>
      <c r="BC46" s="1188">
        <f>SUM(BC41:BC45)</f>
        <v>0</v>
      </c>
      <c r="BD46" s="1188">
        <f t="shared" ref="BD46:BN46" si="58">SUM(BD41:BD45)</f>
        <v>0</v>
      </c>
      <c r="BE46" s="1188">
        <f t="shared" si="58"/>
        <v>0</v>
      </c>
      <c r="BF46" s="1188">
        <f t="shared" si="58"/>
        <v>0</v>
      </c>
      <c r="BG46" s="1188">
        <f t="shared" si="58"/>
        <v>0</v>
      </c>
      <c r="BH46" s="1188">
        <f t="shared" si="58"/>
        <v>0</v>
      </c>
      <c r="BI46" s="1188">
        <f t="shared" si="58"/>
        <v>0</v>
      </c>
      <c r="BJ46" s="1188">
        <f t="shared" si="58"/>
        <v>0</v>
      </c>
      <c r="BK46" s="1188">
        <f t="shared" si="58"/>
        <v>0</v>
      </c>
      <c r="BL46" s="1188">
        <f t="shared" si="58"/>
        <v>0</v>
      </c>
      <c r="BM46" s="1188">
        <f t="shared" si="58"/>
        <v>0</v>
      </c>
      <c r="BN46" s="1188">
        <f t="shared" si="58"/>
        <v>0</v>
      </c>
      <c r="BO46" s="1192">
        <f>SUM(BC46:BN46)</f>
        <v>0</v>
      </c>
      <c r="BP46" s="68"/>
      <c r="BQ46" s="68"/>
      <c r="BR46" s="80"/>
      <c r="BS46" s="96" t="s">
        <v>624</v>
      </c>
      <c r="BT46" s="1188">
        <f>SUM(BT41:BT45)</f>
        <v>0</v>
      </c>
      <c r="BU46" s="1188">
        <f t="shared" ref="BU46:CE46" si="59">SUM(BU41:BU45)</f>
        <v>0</v>
      </c>
      <c r="BV46" s="1188">
        <f t="shared" si="59"/>
        <v>0</v>
      </c>
      <c r="BW46" s="1188">
        <f t="shared" si="59"/>
        <v>0</v>
      </c>
      <c r="BX46" s="1188">
        <f t="shared" si="59"/>
        <v>0</v>
      </c>
      <c r="BY46" s="1188">
        <f t="shared" si="59"/>
        <v>0</v>
      </c>
      <c r="BZ46" s="1188">
        <f t="shared" si="59"/>
        <v>0</v>
      </c>
      <c r="CA46" s="1188">
        <f t="shared" si="59"/>
        <v>0</v>
      </c>
      <c r="CB46" s="1188">
        <f t="shared" si="59"/>
        <v>0</v>
      </c>
      <c r="CC46" s="1188">
        <f t="shared" si="59"/>
        <v>0</v>
      </c>
      <c r="CD46" s="1188">
        <f t="shared" si="59"/>
        <v>0</v>
      </c>
      <c r="CE46" s="1188">
        <f t="shared" si="59"/>
        <v>0</v>
      </c>
      <c r="CF46" s="1192">
        <f>SUM(BT46:CE46)</f>
        <v>0</v>
      </c>
      <c r="CU46" s="90"/>
      <c r="CV46" s="90"/>
      <c r="CW46" s="920">
        <v>41</v>
      </c>
      <c r="CX46" s="926"/>
      <c r="CY46" s="876" t="str">
        <f>"Summe "&amp;CY40</f>
        <v>Summe KFZ Kosten / Betriebliche Nutzung</v>
      </c>
      <c r="CZ46" s="874" t="s">
        <v>299</v>
      </c>
      <c r="DA46" s="920">
        <v>41</v>
      </c>
      <c r="DB46" s="930">
        <f t="shared" si="12"/>
        <v>0</v>
      </c>
      <c r="DC46" s="928" t="str">
        <f t="shared" si="13"/>
        <v>Summe KFZ Kosten / Betriebliche Nutzung</v>
      </c>
      <c r="DD46" s="928" t="str">
        <f t="shared" si="14"/>
        <v>Sum vehical costs / operational use)</v>
      </c>
      <c r="DR46" s="126"/>
    </row>
    <row r="47" spans="1:122" x14ac:dyDescent="0.2">
      <c r="A47" s="1002"/>
      <c r="B47" s="141">
        <v>7</v>
      </c>
      <c r="C47" s="86" t="str">
        <f t="shared" si="1"/>
        <v>Marketing  u. Werbung</v>
      </c>
      <c r="D47" s="1190"/>
      <c r="E47" s="1190"/>
      <c r="F47" s="1190"/>
      <c r="G47" s="1190"/>
      <c r="H47" s="1190"/>
      <c r="I47" s="1190"/>
      <c r="J47" s="1190"/>
      <c r="K47" s="1190"/>
      <c r="L47" s="1190"/>
      <c r="M47" s="1190"/>
      <c r="N47" s="1190"/>
      <c r="O47" s="1190"/>
      <c r="P47" s="1191"/>
      <c r="Q47" s="47"/>
      <c r="S47" s="93"/>
      <c r="T47" s="68"/>
      <c r="U47" s="76" t="str">
        <f t="shared" si="56"/>
        <v>Gehalt3</v>
      </c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937"/>
      <c r="AH47" s="939"/>
      <c r="BA47" s="141">
        <v>7</v>
      </c>
      <c r="BB47" s="86" t="s">
        <v>125</v>
      </c>
      <c r="BC47" s="1190"/>
      <c r="BD47" s="1190"/>
      <c r="BE47" s="1190"/>
      <c r="BF47" s="1190"/>
      <c r="BG47" s="1190"/>
      <c r="BH47" s="1190"/>
      <c r="BI47" s="1190"/>
      <c r="BJ47" s="1190"/>
      <c r="BK47" s="1190"/>
      <c r="BL47" s="1190"/>
      <c r="BM47" s="1190"/>
      <c r="BN47" s="1190"/>
      <c r="BO47" s="1191"/>
      <c r="BP47" s="68"/>
      <c r="BQ47" s="68"/>
      <c r="BR47" s="141">
        <v>7</v>
      </c>
      <c r="BS47" s="86" t="s">
        <v>125</v>
      </c>
      <c r="BT47" s="1190"/>
      <c r="BU47" s="1190"/>
      <c r="BV47" s="1190"/>
      <c r="BW47" s="1190"/>
      <c r="BX47" s="1190"/>
      <c r="BY47" s="1190"/>
      <c r="BZ47" s="1190"/>
      <c r="CA47" s="1190"/>
      <c r="CB47" s="1190"/>
      <c r="CC47" s="1190"/>
      <c r="CD47" s="1190"/>
      <c r="CE47" s="1190"/>
      <c r="CF47" s="1191"/>
      <c r="CU47" s="934"/>
      <c r="CV47" s="934"/>
      <c r="CW47" s="920">
        <v>42</v>
      </c>
      <c r="CX47" s="926"/>
      <c r="CY47" s="876" t="s">
        <v>125</v>
      </c>
      <c r="CZ47" s="874" t="s">
        <v>270</v>
      </c>
      <c r="DA47" s="920">
        <v>42</v>
      </c>
      <c r="DB47" s="930">
        <f t="shared" si="12"/>
        <v>0</v>
      </c>
      <c r="DC47" s="928" t="str">
        <f t="shared" si="13"/>
        <v>Marketing  u. Werbung</v>
      </c>
      <c r="DD47" s="928" t="str">
        <f t="shared" si="14"/>
        <v xml:space="preserve">Marketing &amp; advertising </v>
      </c>
      <c r="DR47" s="126"/>
    </row>
    <row r="48" spans="1:122" ht="15" customHeight="1" thickBot="1" x14ac:dyDescent="0.25">
      <c r="A48" s="1002">
        <f>$Q$2</f>
        <v>0.19</v>
      </c>
      <c r="B48" s="72">
        <f t="shared" ref="B48:B53" si="60">IF($D$4&lt;&gt;1, A48,"")</f>
        <v>0.19</v>
      </c>
      <c r="C48" s="1429" t="str">
        <f t="shared" si="1"/>
        <v>Marktforschung</v>
      </c>
      <c r="D48" s="1430"/>
      <c r="E48" s="1430"/>
      <c r="F48" s="1430"/>
      <c r="G48" s="1430"/>
      <c r="H48" s="1430"/>
      <c r="I48" s="1430"/>
      <c r="J48" s="1430"/>
      <c r="K48" s="1430"/>
      <c r="L48" s="1430"/>
      <c r="M48" s="1430"/>
      <c r="N48" s="1430"/>
      <c r="O48" s="1430"/>
      <c r="P48" s="1431">
        <f t="shared" ref="P48:P59" si="61">SUM(D48:O48)</f>
        <v>0</v>
      </c>
      <c r="Q48" s="1675" t="s">
        <v>796</v>
      </c>
      <c r="S48" s="1556"/>
      <c r="T48" s="68"/>
      <c r="U48" s="78" t="str">
        <f t="shared" si="56"/>
        <v>Nebenkosten (%)</v>
      </c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938"/>
      <c r="AH48" s="939"/>
      <c r="BA48" s="72">
        <v>0.19</v>
      </c>
      <c r="BB48" s="73" t="s">
        <v>44</v>
      </c>
      <c r="BC48" s="1230">
        <f t="shared" ref="BC48:BN53" si="62">IF($A48=$Q$2,D48*IF(OR($D$4=0,$D$4=3),$A48,$A48/(1+$A48)),0)</f>
        <v>0</v>
      </c>
      <c r="BD48" s="1230">
        <f t="shared" si="62"/>
        <v>0</v>
      </c>
      <c r="BE48" s="1230">
        <f t="shared" si="62"/>
        <v>0</v>
      </c>
      <c r="BF48" s="1230">
        <f t="shared" si="62"/>
        <v>0</v>
      </c>
      <c r="BG48" s="1230">
        <f t="shared" si="62"/>
        <v>0</v>
      </c>
      <c r="BH48" s="1230">
        <f t="shared" si="62"/>
        <v>0</v>
      </c>
      <c r="BI48" s="1230">
        <f t="shared" si="62"/>
        <v>0</v>
      </c>
      <c r="BJ48" s="1230">
        <f t="shared" si="62"/>
        <v>0</v>
      </c>
      <c r="BK48" s="1230">
        <f t="shared" si="62"/>
        <v>0</v>
      </c>
      <c r="BL48" s="1230">
        <f t="shared" si="62"/>
        <v>0</v>
      </c>
      <c r="BM48" s="1230">
        <f t="shared" si="62"/>
        <v>0</v>
      </c>
      <c r="BN48" s="1230">
        <f t="shared" si="62"/>
        <v>0</v>
      </c>
      <c r="BO48" s="1186">
        <f t="shared" ref="BO48:BO59" si="63">SUM(BC48:BN48)</f>
        <v>0</v>
      </c>
      <c r="BP48" s="68"/>
      <c r="BQ48" s="68"/>
      <c r="BR48" s="72">
        <v>0.19</v>
      </c>
      <c r="BS48" s="73" t="s">
        <v>44</v>
      </c>
      <c r="BT48" s="1230">
        <f t="shared" ref="BT48:CE53" si="64">IF($A48=$Q$3,D48*IF(OR($D$4=0,$D$4=3),$A48,$A48/(1+$A48)),0)</f>
        <v>0</v>
      </c>
      <c r="BU48" s="1230">
        <f t="shared" si="64"/>
        <v>0</v>
      </c>
      <c r="BV48" s="1230">
        <f t="shared" si="64"/>
        <v>0</v>
      </c>
      <c r="BW48" s="1230">
        <f t="shared" si="64"/>
        <v>0</v>
      </c>
      <c r="BX48" s="1230">
        <f t="shared" si="64"/>
        <v>0</v>
      </c>
      <c r="BY48" s="1230">
        <f t="shared" si="64"/>
        <v>0</v>
      </c>
      <c r="BZ48" s="1230">
        <f t="shared" si="64"/>
        <v>0</v>
      </c>
      <c r="CA48" s="1230">
        <f t="shared" si="64"/>
        <v>0</v>
      </c>
      <c r="CB48" s="1230">
        <f t="shared" si="64"/>
        <v>0</v>
      </c>
      <c r="CC48" s="1230">
        <f t="shared" si="64"/>
        <v>0</v>
      </c>
      <c r="CD48" s="1230">
        <f t="shared" si="64"/>
        <v>0</v>
      </c>
      <c r="CE48" s="1230">
        <f t="shared" si="64"/>
        <v>0</v>
      </c>
      <c r="CF48" s="1186">
        <f t="shared" ref="CF48:CF54" si="65">SUM(BT48:CE48)</f>
        <v>0</v>
      </c>
      <c r="CU48" s="934"/>
      <c r="CV48" s="934"/>
      <c r="CW48" s="920">
        <v>43</v>
      </c>
      <c r="CX48" s="926">
        <f>$Q$2</f>
        <v>0.19</v>
      </c>
      <c r="CY48" s="876" t="s">
        <v>44</v>
      </c>
      <c r="CZ48" s="874" t="s">
        <v>271</v>
      </c>
      <c r="DA48" s="920">
        <v>43</v>
      </c>
      <c r="DB48" s="930">
        <f t="shared" si="12"/>
        <v>0.19</v>
      </c>
      <c r="DC48" s="928" t="str">
        <f t="shared" si="13"/>
        <v>Marktforschung</v>
      </c>
      <c r="DD48" s="928" t="str">
        <f t="shared" si="14"/>
        <v>Market research</v>
      </c>
      <c r="DR48" s="126"/>
    </row>
    <row r="49" spans="1:122" ht="15.75" thickTop="1" thickBot="1" x14ac:dyDescent="0.25">
      <c r="A49" s="1002">
        <f>$Q$2</f>
        <v>0.19</v>
      </c>
      <c r="B49" s="72">
        <f t="shared" si="60"/>
        <v>0.19</v>
      </c>
      <c r="C49" s="1429" t="str">
        <f t="shared" si="1"/>
        <v>Briefpapier, Visitenkarte, Stempel</v>
      </c>
      <c r="D49" s="1430"/>
      <c r="E49" s="1430"/>
      <c r="F49" s="1430"/>
      <c r="G49" s="1430"/>
      <c r="H49" s="1430"/>
      <c r="I49" s="1430"/>
      <c r="J49" s="1430"/>
      <c r="K49" s="1430"/>
      <c r="L49" s="1430"/>
      <c r="M49" s="1430"/>
      <c r="N49" s="1430"/>
      <c r="O49" s="1430"/>
      <c r="P49" s="1431">
        <f t="shared" si="61"/>
        <v>0</v>
      </c>
      <c r="Q49" s="1675"/>
      <c r="S49" s="1556"/>
      <c r="T49" s="68"/>
      <c r="U49" s="83" t="str">
        <f t="shared" si="56"/>
        <v>Gehaltssumme</v>
      </c>
      <c r="V49" s="84">
        <f t="shared" ref="V49:AG49" si="66">((V42*V43)+(V44*V45)+(V46*V47))*(1+V48)</f>
        <v>0</v>
      </c>
      <c r="W49" s="84">
        <f t="shared" si="66"/>
        <v>0</v>
      </c>
      <c r="X49" s="84">
        <f t="shared" si="66"/>
        <v>0</v>
      </c>
      <c r="Y49" s="84">
        <f t="shared" si="66"/>
        <v>0</v>
      </c>
      <c r="Z49" s="84">
        <f t="shared" si="66"/>
        <v>0</v>
      </c>
      <c r="AA49" s="84">
        <f t="shared" si="66"/>
        <v>0</v>
      </c>
      <c r="AB49" s="84">
        <f t="shared" si="66"/>
        <v>0</v>
      </c>
      <c r="AC49" s="84">
        <f t="shared" si="66"/>
        <v>0</v>
      </c>
      <c r="AD49" s="84">
        <f t="shared" si="66"/>
        <v>0</v>
      </c>
      <c r="AE49" s="84">
        <f t="shared" si="66"/>
        <v>0</v>
      </c>
      <c r="AF49" s="84">
        <f t="shared" si="66"/>
        <v>0</v>
      </c>
      <c r="AG49" s="85">
        <f t="shared" si="66"/>
        <v>0</v>
      </c>
      <c r="AH49" s="944">
        <f>SUM(V49:AG49)</f>
        <v>0</v>
      </c>
      <c r="BA49" s="72">
        <v>0.19</v>
      </c>
      <c r="BB49" s="73" t="s">
        <v>47</v>
      </c>
      <c r="BC49" s="1230">
        <f t="shared" si="62"/>
        <v>0</v>
      </c>
      <c r="BD49" s="1230">
        <f t="shared" si="62"/>
        <v>0</v>
      </c>
      <c r="BE49" s="1230">
        <f t="shared" si="62"/>
        <v>0</v>
      </c>
      <c r="BF49" s="1230">
        <f t="shared" si="62"/>
        <v>0</v>
      </c>
      <c r="BG49" s="1230">
        <f t="shared" si="62"/>
        <v>0</v>
      </c>
      <c r="BH49" s="1230">
        <f t="shared" si="62"/>
        <v>0</v>
      </c>
      <c r="BI49" s="1230">
        <f t="shared" si="62"/>
        <v>0</v>
      </c>
      <c r="BJ49" s="1230">
        <f t="shared" si="62"/>
        <v>0</v>
      </c>
      <c r="BK49" s="1230">
        <f t="shared" si="62"/>
        <v>0</v>
      </c>
      <c r="BL49" s="1230">
        <f t="shared" si="62"/>
        <v>0</v>
      </c>
      <c r="BM49" s="1230">
        <f t="shared" si="62"/>
        <v>0</v>
      </c>
      <c r="BN49" s="1230">
        <f t="shared" si="62"/>
        <v>0</v>
      </c>
      <c r="BO49" s="1186">
        <f t="shared" si="63"/>
        <v>0</v>
      </c>
      <c r="BP49" s="68"/>
      <c r="BQ49" s="68"/>
      <c r="BR49" s="72">
        <v>0.19</v>
      </c>
      <c r="BS49" s="73" t="s">
        <v>47</v>
      </c>
      <c r="BT49" s="1230">
        <f t="shared" si="64"/>
        <v>0</v>
      </c>
      <c r="BU49" s="1230">
        <f t="shared" si="64"/>
        <v>0</v>
      </c>
      <c r="BV49" s="1230">
        <f t="shared" si="64"/>
        <v>0</v>
      </c>
      <c r="BW49" s="1230">
        <f t="shared" si="64"/>
        <v>0</v>
      </c>
      <c r="BX49" s="1230">
        <f t="shared" si="64"/>
        <v>0</v>
      </c>
      <c r="BY49" s="1230">
        <f t="shared" si="64"/>
        <v>0</v>
      </c>
      <c r="BZ49" s="1230">
        <f t="shared" si="64"/>
        <v>0</v>
      </c>
      <c r="CA49" s="1230">
        <f t="shared" si="64"/>
        <v>0</v>
      </c>
      <c r="CB49" s="1230">
        <f t="shared" si="64"/>
        <v>0</v>
      </c>
      <c r="CC49" s="1230">
        <f t="shared" si="64"/>
        <v>0</v>
      </c>
      <c r="CD49" s="1230">
        <f t="shared" si="64"/>
        <v>0</v>
      </c>
      <c r="CE49" s="1230">
        <f t="shared" si="64"/>
        <v>0</v>
      </c>
      <c r="CF49" s="1186">
        <f t="shared" si="65"/>
        <v>0</v>
      </c>
      <c r="CU49" s="934"/>
      <c r="CV49" s="934"/>
      <c r="CW49" s="920">
        <v>44</v>
      </c>
      <c r="CX49" s="926">
        <f>$Q$2</f>
        <v>0.19</v>
      </c>
      <c r="CY49" s="876" t="s">
        <v>47</v>
      </c>
      <c r="CZ49" s="874" t="s">
        <v>665</v>
      </c>
      <c r="DA49" s="920">
        <v>44</v>
      </c>
      <c r="DB49" s="930">
        <f t="shared" si="12"/>
        <v>0.19</v>
      </c>
      <c r="DC49" s="928" t="str">
        <f t="shared" si="13"/>
        <v>Briefpapier, Visitenkarte, Stempel</v>
      </c>
      <c r="DD49" s="928" t="str">
        <f t="shared" si="14"/>
        <v>Office supply, paper, business cards, stamps</v>
      </c>
      <c r="DR49" s="126"/>
    </row>
    <row r="50" spans="1:122" x14ac:dyDescent="0.2">
      <c r="A50" s="1002">
        <f>$Q$2</f>
        <v>0.19</v>
      </c>
      <c r="B50" s="72">
        <f t="shared" si="60"/>
        <v>0.19</v>
      </c>
      <c r="C50" s="1429" t="str">
        <f t="shared" si="1"/>
        <v>Webseite, lfd. Webseitenpflege</v>
      </c>
      <c r="D50" s="1430"/>
      <c r="E50" s="1430"/>
      <c r="F50" s="1430"/>
      <c r="G50" s="1430"/>
      <c r="H50" s="1430"/>
      <c r="I50" s="1430"/>
      <c r="J50" s="1430"/>
      <c r="K50" s="1430"/>
      <c r="L50" s="1430"/>
      <c r="M50" s="1430"/>
      <c r="N50" s="1430"/>
      <c r="O50" s="1430"/>
      <c r="P50" s="1431">
        <f t="shared" si="61"/>
        <v>0</v>
      </c>
      <c r="Q50" s="1675"/>
      <c r="S50" s="1556"/>
      <c r="T50" s="68"/>
      <c r="U50" s="35"/>
      <c r="V50" s="1591" t="s">
        <v>797</v>
      </c>
      <c r="W50" s="1591" t="s">
        <v>797</v>
      </c>
      <c r="X50" s="1591" t="s">
        <v>797</v>
      </c>
      <c r="Y50" s="1591" t="s">
        <v>797</v>
      </c>
      <c r="Z50" s="1591" t="s">
        <v>797</v>
      </c>
      <c r="AA50" s="1591" t="s">
        <v>797</v>
      </c>
      <c r="AB50" s="1591" t="s">
        <v>797</v>
      </c>
      <c r="AC50" s="1591" t="s">
        <v>797</v>
      </c>
      <c r="AD50" s="1591" t="s">
        <v>797</v>
      </c>
      <c r="AE50" s="1591" t="s">
        <v>797</v>
      </c>
      <c r="AF50" s="1591" t="s">
        <v>797</v>
      </c>
      <c r="AG50" s="1591" t="s">
        <v>797</v>
      </c>
      <c r="AH50" s="939"/>
      <c r="BA50" s="72">
        <v>0.19</v>
      </c>
      <c r="BB50" s="73" t="s">
        <v>226</v>
      </c>
      <c r="BC50" s="1230">
        <f t="shared" si="62"/>
        <v>0</v>
      </c>
      <c r="BD50" s="1230">
        <f t="shared" si="62"/>
        <v>0</v>
      </c>
      <c r="BE50" s="1230">
        <f t="shared" si="62"/>
        <v>0</v>
      </c>
      <c r="BF50" s="1230">
        <f t="shared" si="62"/>
        <v>0</v>
      </c>
      <c r="BG50" s="1230">
        <f t="shared" si="62"/>
        <v>0</v>
      </c>
      <c r="BH50" s="1230">
        <f t="shared" si="62"/>
        <v>0</v>
      </c>
      <c r="BI50" s="1230">
        <f t="shared" si="62"/>
        <v>0</v>
      </c>
      <c r="BJ50" s="1230">
        <f t="shared" si="62"/>
        <v>0</v>
      </c>
      <c r="BK50" s="1230">
        <f t="shared" si="62"/>
        <v>0</v>
      </c>
      <c r="BL50" s="1230">
        <f t="shared" si="62"/>
        <v>0</v>
      </c>
      <c r="BM50" s="1230">
        <f t="shared" si="62"/>
        <v>0</v>
      </c>
      <c r="BN50" s="1230">
        <f t="shared" si="62"/>
        <v>0</v>
      </c>
      <c r="BO50" s="1186">
        <f t="shared" si="63"/>
        <v>0</v>
      </c>
      <c r="BP50" s="68"/>
      <c r="BQ50" s="68"/>
      <c r="BR50" s="72">
        <v>0.19</v>
      </c>
      <c r="BS50" s="73" t="s">
        <v>226</v>
      </c>
      <c r="BT50" s="1230">
        <f t="shared" si="64"/>
        <v>0</v>
      </c>
      <c r="BU50" s="1230">
        <f t="shared" si="64"/>
        <v>0</v>
      </c>
      <c r="BV50" s="1230">
        <f t="shared" si="64"/>
        <v>0</v>
      </c>
      <c r="BW50" s="1230">
        <f t="shared" si="64"/>
        <v>0</v>
      </c>
      <c r="BX50" s="1230">
        <f t="shared" si="64"/>
        <v>0</v>
      </c>
      <c r="BY50" s="1230">
        <f t="shared" si="64"/>
        <v>0</v>
      </c>
      <c r="BZ50" s="1230">
        <f t="shared" si="64"/>
        <v>0</v>
      </c>
      <c r="CA50" s="1230">
        <f t="shared" si="64"/>
        <v>0</v>
      </c>
      <c r="CB50" s="1230">
        <f t="shared" si="64"/>
        <v>0</v>
      </c>
      <c r="CC50" s="1230">
        <f t="shared" si="64"/>
        <v>0</v>
      </c>
      <c r="CD50" s="1230">
        <f t="shared" si="64"/>
        <v>0</v>
      </c>
      <c r="CE50" s="1230">
        <f t="shared" si="64"/>
        <v>0</v>
      </c>
      <c r="CF50" s="1186">
        <f t="shared" si="65"/>
        <v>0</v>
      </c>
      <c r="CU50" s="934"/>
      <c r="CV50" s="934"/>
      <c r="CW50" s="920">
        <v>45</v>
      </c>
      <c r="CX50" s="926">
        <f>$Q$2</f>
        <v>0.19</v>
      </c>
      <c r="CY50" s="876" t="s">
        <v>226</v>
      </c>
      <c r="CZ50" s="874" t="s">
        <v>666</v>
      </c>
      <c r="DA50" s="920">
        <v>45</v>
      </c>
      <c r="DB50" s="930">
        <f t="shared" si="12"/>
        <v>0.19</v>
      </c>
      <c r="DC50" s="928" t="str">
        <f t="shared" si="13"/>
        <v>Webseite, lfd. Webseitenpflege</v>
      </c>
      <c r="DD50" s="928" t="str">
        <f t="shared" si="14"/>
        <v>Homepage, current website maintenance</v>
      </c>
      <c r="DR50" s="126"/>
    </row>
    <row r="51" spans="1:122" x14ac:dyDescent="0.2">
      <c r="A51" s="1002">
        <f>$Q$2</f>
        <v>0.19</v>
      </c>
      <c r="B51" s="72">
        <f t="shared" si="60"/>
        <v>0.19</v>
      </c>
      <c r="C51" s="1429" t="str">
        <f t="shared" si="1"/>
        <v>Flyer, Prospekte, Broschüren, Anzeigen</v>
      </c>
      <c r="D51" s="1430"/>
      <c r="E51" s="1430"/>
      <c r="F51" s="1430"/>
      <c r="G51" s="1430"/>
      <c r="H51" s="1430"/>
      <c r="I51" s="1430"/>
      <c r="J51" s="1430"/>
      <c r="K51" s="1430"/>
      <c r="L51" s="1430"/>
      <c r="M51" s="1430"/>
      <c r="N51" s="1430"/>
      <c r="O51" s="1430"/>
      <c r="P51" s="1431">
        <f t="shared" si="61"/>
        <v>0</v>
      </c>
      <c r="Q51" s="1675"/>
      <c r="S51" s="1556"/>
      <c r="T51" s="68"/>
      <c r="U51" s="35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939"/>
      <c r="BA51" s="72">
        <v>0.19</v>
      </c>
      <c r="BB51" s="73" t="s">
        <v>126</v>
      </c>
      <c r="BC51" s="1230">
        <f t="shared" si="62"/>
        <v>0</v>
      </c>
      <c r="BD51" s="1230">
        <f t="shared" si="62"/>
        <v>0</v>
      </c>
      <c r="BE51" s="1230">
        <f t="shared" si="62"/>
        <v>0</v>
      </c>
      <c r="BF51" s="1230">
        <f t="shared" si="62"/>
        <v>0</v>
      </c>
      <c r="BG51" s="1230">
        <f t="shared" si="62"/>
        <v>0</v>
      </c>
      <c r="BH51" s="1230">
        <f t="shared" si="62"/>
        <v>0</v>
      </c>
      <c r="BI51" s="1230">
        <f t="shared" si="62"/>
        <v>0</v>
      </c>
      <c r="BJ51" s="1230">
        <f t="shared" si="62"/>
        <v>0</v>
      </c>
      <c r="BK51" s="1230">
        <f t="shared" si="62"/>
        <v>0</v>
      </c>
      <c r="BL51" s="1230">
        <f t="shared" si="62"/>
        <v>0</v>
      </c>
      <c r="BM51" s="1230">
        <f t="shared" si="62"/>
        <v>0</v>
      </c>
      <c r="BN51" s="1230">
        <f t="shared" si="62"/>
        <v>0</v>
      </c>
      <c r="BO51" s="1186">
        <f t="shared" si="63"/>
        <v>0</v>
      </c>
      <c r="BP51" s="68"/>
      <c r="BQ51" s="68"/>
      <c r="BR51" s="72">
        <v>0.19</v>
      </c>
      <c r="BS51" s="73" t="s">
        <v>126</v>
      </c>
      <c r="BT51" s="1230">
        <f t="shared" si="64"/>
        <v>0</v>
      </c>
      <c r="BU51" s="1230">
        <f t="shared" si="64"/>
        <v>0</v>
      </c>
      <c r="BV51" s="1230">
        <f t="shared" si="64"/>
        <v>0</v>
      </c>
      <c r="BW51" s="1230">
        <f t="shared" si="64"/>
        <v>0</v>
      </c>
      <c r="BX51" s="1230">
        <f t="shared" si="64"/>
        <v>0</v>
      </c>
      <c r="BY51" s="1230">
        <f t="shared" si="64"/>
        <v>0</v>
      </c>
      <c r="BZ51" s="1230">
        <f t="shared" si="64"/>
        <v>0</v>
      </c>
      <c r="CA51" s="1230">
        <f t="shared" si="64"/>
        <v>0</v>
      </c>
      <c r="CB51" s="1230">
        <f t="shared" si="64"/>
        <v>0</v>
      </c>
      <c r="CC51" s="1230">
        <f t="shared" si="64"/>
        <v>0</v>
      </c>
      <c r="CD51" s="1230">
        <f t="shared" si="64"/>
        <v>0</v>
      </c>
      <c r="CE51" s="1230">
        <f t="shared" si="64"/>
        <v>0</v>
      </c>
      <c r="CF51" s="1186">
        <f t="shared" si="65"/>
        <v>0</v>
      </c>
      <c r="CU51" s="934"/>
      <c r="CV51" s="934"/>
      <c r="CW51" s="920">
        <v>46</v>
      </c>
      <c r="CX51" s="926">
        <f>$Q$2</f>
        <v>0.19</v>
      </c>
      <c r="CY51" s="876" t="s">
        <v>126</v>
      </c>
      <c r="CZ51" s="874" t="s">
        <v>301</v>
      </c>
      <c r="DA51" s="920">
        <v>46</v>
      </c>
      <c r="DB51" s="930">
        <f t="shared" si="12"/>
        <v>0.19</v>
      </c>
      <c r="DC51" s="928" t="str">
        <f t="shared" si="13"/>
        <v>Flyer, Prospekte, Broschüren, Anzeigen</v>
      </c>
      <c r="DD51" s="928" t="str">
        <f t="shared" si="14"/>
        <v>Flyers, leaflets, booklets, ads</v>
      </c>
      <c r="DR51" s="126"/>
    </row>
    <row r="52" spans="1:122" ht="15" thickBot="1" x14ac:dyDescent="0.25">
      <c r="A52" s="1002">
        <v>0.19</v>
      </c>
      <c r="B52" s="72">
        <f t="shared" si="60"/>
        <v>0.19</v>
      </c>
      <c r="C52" s="1429" t="str">
        <f t="shared" si="1"/>
        <v>Bewirtungskosten</v>
      </c>
      <c r="D52" s="1430"/>
      <c r="E52" s="1430"/>
      <c r="F52" s="1430"/>
      <c r="G52" s="1430"/>
      <c r="H52" s="1430"/>
      <c r="I52" s="1430"/>
      <c r="J52" s="1430"/>
      <c r="K52" s="1430"/>
      <c r="L52" s="1430"/>
      <c r="M52" s="1430"/>
      <c r="N52" s="1430"/>
      <c r="O52" s="1430"/>
      <c r="P52" s="1431">
        <f t="shared" si="61"/>
        <v>0</v>
      </c>
      <c r="Q52" s="1675"/>
      <c r="S52" s="1556"/>
      <c r="T52" s="68"/>
      <c r="U52" s="35"/>
      <c r="V52" s="49">
        <f>IFERROR(V61,-1)</f>
        <v>0</v>
      </c>
      <c r="W52" s="49">
        <f t="shared" ref="W52:AG52" si="67">IFERROR(W61,-1)</f>
        <v>0</v>
      </c>
      <c r="X52" s="49">
        <f t="shared" si="67"/>
        <v>0</v>
      </c>
      <c r="Y52" s="49">
        <f t="shared" si="67"/>
        <v>0</v>
      </c>
      <c r="Z52" s="49">
        <f t="shared" si="67"/>
        <v>0</v>
      </c>
      <c r="AA52" s="49">
        <f t="shared" si="67"/>
        <v>0</v>
      </c>
      <c r="AB52" s="49">
        <f t="shared" si="67"/>
        <v>0</v>
      </c>
      <c r="AC52" s="49">
        <f t="shared" si="67"/>
        <v>0</v>
      </c>
      <c r="AD52" s="49">
        <f t="shared" si="67"/>
        <v>0</v>
      </c>
      <c r="AE52" s="49">
        <f t="shared" si="67"/>
        <v>0</v>
      </c>
      <c r="AF52" s="49">
        <f t="shared" si="67"/>
        <v>0</v>
      </c>
      <c r="AG52" s="49">
        <f t="shared" si="67"/>
        <v>0</v>
      </c>
      <c r="AH52" s="939"/>
      <c r="BA52" s="72">
        <v>0.19</v>
      </c>
      <c r="BB52" s="73" t="s">
        <v>485</v>
      </c>
      <c r="BC52" s="1230">
        <f t="shared" si="62"/>
        <v>0</v>
      </c>
      <c r="BD52" s="1230">
        <f t="shared" si="62"/>
        <v>0</v>
      </c>
      <c r="BE52" s="1230">
        <f t="shared" si="62"/>
        <v>0</v>
      </c>
      <c r="BF52" s="1230">
        <f t="shared" si="62"/>
        <v>0</v>
      </c>
      <c r="BG52" s="1230">
        <f t="shared" si="62"/>
        <v>0</v>
      </c>
      <c r="BH52" s="1230">
        <f t="shared" si="62"/>
        <v>0</v>
      </c>
      <c r="BI52" s="1230">
        <f t="shared" si="62"/>
        <v>0</v>
      </c>
      <c r="BJ52" s="1230">
        <f t="shared" si="62"/>
        <v>0</v>
      </c>
      <c r="BK52" s="1230">
        <f t="shared" si="62"/>
        <v>0</v>
      </c>
      <c r="BL52" s="1230">
        <f t="shared" si="62"/>
        <v>0</v>
      </c>
      <c r="BM52" s="1230">
        <f t="shared" si="62"/>
        <v>0</v>
      </c>
      <c r="BN52" s="1230">
        <f t="shared" si="62"/>
        <v>0</v>
      </c>
      <c r="BO52" s="1186">
        <f t="shared" si="63"/>
        <v>0</v>
      </c>
      <c r="BP52" s="68"/>
      <c r="BQ52" s="68"/>
      <c r="BR52" s="72">
        <v>0.19</v>
      </c>
      <c r="BS52" s="73" t="s">
        <v>485</v>
      </c>
      <c r="BT52" s="1230">
        <f t="shared" si="64"/>
        <v>0</v>
      </c>
      <c r="BU52" s="1230">
        <f t="shared" si="64"/>
        <v>0</v>
      </c>
      <c r="BV52" s="1230">
        <f t="shared" si="64"/>
        <v>0</v>
      </c>
      <c r="BW52" s="1230">
        <f t="shared" si="64"/>
        <v>0</v>
      </c>
      <c r="BX52" s="1230">
        <f t="shared" si="64"/>
        <v>0</v>
      </c>
      <c r="BY52" s="1230">
        <f t="shared" si="64"/>
        <v>0</v>
      </c>
      <c r="BZ52" s="1230">
        <f t="shared" si="64"/>
        <v>0</v>
      </c>
      <c r="CA52" s="1230">
        <f t="shared" si="64"/>
        <v>0</v>
      </c>
      <c r="CB52" s="1230">
        <f t="shared" si="64"/>
        <v>0</v>
      </c>
      <c r="CC52" s="1230">
        <f t="shared" si="64"/>
        <v>0</v>
      </c>
      <c r="CD52" s="1230">
        <f t="shared" si="64"/>
        <v>0</v>
      </c>
      <c r="CE52" s="1230">
        <f t="shared" si="64"/>
        <v>0</v>
      </c>
      <c r="CF52" s="1186">
        <f t="shared" si="65"/>
        <v>0</v>
      </c>
      <c r="CU52" s="934"/>
      <c r="CV52" s="934"/>
      <c r="CW52" s="920">
        <v>47</v>
      </c>
      <c r="CX52" s="926">
        <v>0.19</v>
      </c>
      <c r="CY52" s="872" t="s">
        <v>485</v>
      </c>
      <c r="CZ52" s="874" t="s">
        <v>567</v>
      </c>
      <c r="DA52" s="920">
        <v>47</v>
      </c>
      <c r="DB52" s="930">
        <f t="shared" si="12"/>
        <v>0.19</v>
      </c>
      <c r="DC52" s="928" t="str">
        <f t="shared" si="13"/>
        <v>Bewirtungskosten</v>
      </c>
      <c r="DD52" s="928" t="str">
        <f t="shared" si="14"/>
        <v>Entertainment expenses</v>
      </c>
      <c r="DR52" s="126"/>
    </row>
    <row r="53" spans="1:122" ht="15" thickBot="1" x14ac:dyDescent="0.25">
      <c r="A53" s="1385">
        <v>7.0000000000000007E-2</v>
      </c>
      <c r="B53" s="72">
        <f t="shared" si="60"/>
        <v>7.0000000000000007E-2</v>
      </c>
      <c r="C53" s="1432" t="s">
        <v>127</v>
      </c>
      <c r="D53" s="1433"/>
      <c r="E53" s="1433"/>
      <c r="F53" s="1433"/>
      <c r="G53" s="1433"/>
      <c r="H53" s="1433"/>
      <c r="I53" s="1433"/>
      <c r="J53" s="1433"/>
      <c r="K53" s="1433"/>
      <c r="L53" s="1433"/>
      <c r="M53" s="1433"/>
      <c r="N53" s="1433"/>
      <c r="O53" s="1433"/>
      <c r="P53" s="1434">
        <f t="shared" si="61"/>
        <v>0</v>
      </c>
      <c r="Q53" s="1675"/>
      <c r="S53" s="1556"/>
      <c r="T53" s="68"/>
      <c r="U53" s="709">
        <f ca="1">H153</f>
        <v>2023</v>
      </c>
      <c r="V53" s="59" t="str">
        <f t="shared" ref="V53:AG53" si="68">V17</f>
        <v>Jan.</v>
      </c>
      <c r="W53" s="59" t="str">
        <f t="shared" si="68"/>
        <v>Febr.</v>
      </c>
      <c r="X53" s="59" t="str">
        <f t="shared" si="68"/>
        <v>März</v>
      </c>
      <c r="Y53" s="59" t="str">
        <f t="shared" si="68"/>
        <v>April</v>
      </c>
      <c r="Z53" s="59" t="str">
        <f t="shared" si="68"/>
        <v>Mai</v>
      </c>
      <c r="AA53" s="59" t="str">
        <f t="shared" si="68"/>
        <v>Juni</v>
      </c>
      <c r="AB53" s="59" t="str">
        <f t="shared" si="68"/>
        <v>Juli</v>
      </c>
      <c r="AC53" s="59" t="str">
        <f t="shared" si="68"/>
        <v>Aug.</v>
      </c>
      <c r="AD53" s="59" t="str">
        <f t="shared" si="68"/>
        <v>Sept.</v>
      </c>
      <c r="AE53" s="59" t="str">
        <f t="shared" si="68"/>
        <v>Okt.</v>
      </c>
      <c r="AF53" s="59" t="str">
        <f t="shared" si="68"/>
        <v>Nov.</v>
      </c>
      <c r="AG53" s="156" t="str">
        <f t="shared" si="68"/>
        <v>Dez.</v>
      </c>
      <c r="AH53" s="939"/>
      <c r="BA53" s="72"/>
      <c r="BB53" s="1063" t="s">
        <v>127</v>
      </c>
      <c r="BC53" s="1230">
        <f t="shared" si="62"/>
        <v>0</v>
      </c>
      <c r="BD53" s="1230">
        <f t="shared" si="62"/>
        <v>0</v>
      </c>
      <c r="BE53" s="1230">
        <f t="shared" si="62"/>
        <v>0</v>
      </c>
      <c r="BF53" s="1230">
        <f t="shared" si="62"/>
        <v>0</v>
      </c>
      <c r="BG53" s="1230">
        <f t="shared" si="62"/>
        <v>0</v>
      </c>
      <c r="BH53" s="1230">
        <f t="shared" si="62"/>
        <v>0</v>
      </c>
      <c r="BI53" s="1230">
        <f t="shared" si="62"/>
        <v>0</v>
      </c>
      <c r="BJ53" s="1230">
        <f t="shared" si="62"/>
        <v>0</v>
      </c>
      <c r="BK53" s="1230">
        <f t="shared" si="62"/>
        <v>0</v>
      </c>
      <c r="BL53" s="1230">
        <f t="shared" si="62"/>
        <v>0</v>
      </c>
      <c r="BM53" s="1230">
        <f t="shared" si="62"/>
        <v>0</v>
      </c>
      <c r="BN53" s="1230">
        <f t="shared" si="62"/>
        <v>0</v>
      </c>
      <c r="BO53" s="1186">
        <f t="shared" si="63"/>
        <v>0</v>
      </c>
      <c r="BP53" s="68"/>
      <c r="BQ53" s="68"/>
      <c r="BR53" s="72"/>
      <c r="BS53" s="990" t="s">
        <v>127</v>
      </c>
      <c r="BT53" s="1230">
        <f t="shared" si="64"/>
        <v>0</v>
      </c>
      <c r="BU53" s="1230">
        <f t="shared" si="64"/>
        <v>0</v>
      </c>
      <c r="BV53" s="1230">
        <f t="shared" si="64"/>
        <v>0</v>
      </c>
      <c r="BW53" s="1230">
        <f t="shared" si="64"/>
        <v>0</v>
      </c>
      <c r="BX53" s="1230">
        <f t="shared" si="64"/>
        <v>0</v>
      </c>
      <c r="BY53" s="1230">
        <f t="shared" si="64"/>
        <v>0</v>
      </c>
      <c r="BZ53" s="1230">
        <f t="shared" si="64"/>
        <v>0</v>
      </c>
      <c r="CA53" s="1230">
        <f t="shared" si="64"/>
        <v>0</v>
      </c>
      <c r="CB53" s="1230">
        <f t="shared" si="64"/>
        <v>0</v>
      </c>
      <c r="CC53" s="1230">
        <f t="shared" si="64"/>
        <v>0</v>
      </c>
      <c r="CD53" s="1230">
        <f t="shared" si="64"/>
        <v>0</v>
      </c>
      <c r="CE53" s="1230">
        <f t="shared" si="64"/>
        <v>0</v>
      </c>
      <c r="CF53" s="1186">
        <f t="shared" si="65"/>
        <v>0</v>
      </c>
      <c r="CU53" s="934"/>
      <c r="CV53" s="934"/>
      <c r="CW53" s="920">
        <v>48</v>
      </c>
      <c r="CX53" s="878">
        <f>$Q$2</f>
        <v>0.19</v>
      </c>
      <c r="CY53" s="873" t="s">
        <v>127</v>
      </c>
      <c r="CZ53" s="873" t="s">
        <v>667</v>
      </c>
      <c r="DA53" s="920">
        <v>48</v>
      </c>
      <c r="DB53" s="930">
        <f t="shared" si="12"/>
        <v>0.19</v>
      </c>
      <c r="DC53" s="928" t="str">
        <f t="shared" si="13"/>
        <v>Sonstiges, Messen, ...</v>
      </c>
      <c r="DD53" s="928" t="str">
        <f t="shared" si="14"/>
        <v>Others, exhibitions, ...</v>
      </c>
      <c r="DR53" s="126"/>
    </row>
    <row r="54" spans="1:122" ht="15" thickBot="1" x14ac:dyDescent="0.25">
      <c r="A54" s="1002"/>
      <c r="B54" s="1487"/>
      <c r="C54" s="1488" t="str">
        <f t="shared" si="1"/>
        <v>Summe Marketing  u. Werbung</v>
      </c>
      <c r="D54" s="1489">
        <f>SUM(D48:D53)</f>
        <v>0</v>
      </c>
      <c r="E54" s="1489">
        <f t="shared" ref="E54:O54" si="69">SUM(E48:E53)</f>
        <v>0</v>
      </c>
      <c r="F54" s="1489">
        <f t="shared" si="69"/>
        <v>0</v>
      </c>
      <c r="G54" s="1489">
        <f t="shared" si="69"/>
        <v>0</v>
      </c>
      <c r="H54" s="1489">
        <f t="shared" si="69"/>
        <v>0</v>
      </c>
      <c r="I54" s="1489">
        <f t="shared" si="69"/>
        <v>0</v>
      </c>
      <c r="J54" s="1489">
        <f t="shared" si="69"/>
        <v>0</v>
      </c>
      <c r="K54" s="1489">
        <f t="shared" si="69"/>
        <v>0</v>
      </c>
      <c r="L54" s="1489">
        <f t="shared" si="69"/>
        <v>0</v>
      </c>
      <c r="M54" s="1489">
        <f t="shared" si="69"/>
        <v>0</v>
      </c>
      <c r="N54" s="1489">
        <f t="shared" si="69"/>
        <v>0</v>
      </c>
      <c r="O54" s="1489">
        <f t="shared" si="69"/>
        <v>0</v>
      </c>
      <c r="P54" s="1490">
        <f t="shared" si="61"/>
        <v>0</v>
      </c>
      <c r="Q54" s="47"/>
      <c r="S54" s="82"/>
      <c r="T54" s="68"/>
      <c r="U54" s="69" t="str">
        <f t="shared" ref="U54:U61" si="70">U42</f>
        <v xml:space="preserve"> Anzahl Mitarbeiter</v>
      </c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936"/>
      <c r="AH54" s="939"/>
      <c r="AZ54" s="35" t="b">
        <f>IFERROR(OR(BO54,CF54),-1)</f>
        <v>0</v>
      </c>
      <c r="BA54" s="80"/>
      <c r="BB54" s="96" t="s">
        <v>625</v>
      </c>
      <c r="BC54" s="1188">
        <f>SUM(BC48:BC53)</f>
        <v>0</v>
      </c>
      <c r="BD54" s="1188">
        <f t="shared" ref="BD54:BN54" si="71">SUM(BD48:BD53)</f>
        <v>0</v>
      </c>
      <c r="BE54" s="1188">
        <f t="shared" si="71"/>
        <v>0</v>
      </c>
      <c r="BF54" s="1188">
        <f t="shared" si="71"/>
        <v>0</v>
      </c>
      <c r="BG54" s="1188">
        <f t="shared" si="71"/>
        <v>0</v>
      </c>
      <c r="BH54" s="1188">
        <f t="shared" si="71"/>
        <v>0</v>
      </c>
      <c r="BI54" s="1188">
        <f t="shared" si="71"/>
        <v>0</v>
      </c>
      <c r="BJ54" s="1188">
        <f t="shared" si="71"/>
        <v>0</v>
      </c>
      <c r="BK54" s="1188">
        <f t="shared" si="71"/>
        <v>0</v>
      </c>
      <c r="BL54" s="1188">
        <f t="shared" si="71"/>
        <v>0</v>
      </c>
      <c r="BM54" s="1188">
        <f t="shared" si="71"/>
        <v>0</v>
      </c>
      <c r="BN54" s="1188">
        <f t="shared" si="71"/>
        <v>0</v>
      </c>
      <c r="BO54" s="1192">
        <f t="shared" si="63"/>
        <v>0</v>
      </c>
      <c r="BP54" s="68"/>
      <c r="BQ54" s="68"/>
      <c r="BR54" s="80"/>
      <c r="BS54" s="96" t="s">
        <v>625</v>
      </c>
      <c r="BT54" s="1188">
        <f>SUM(BT48:BT53)</f>
        <v>0</v>
      </c>
      <c r="BU54" s="1188">
        <f t="shared" ref="BU54:CE54" si="72">SUM(BU48:BU53)</f>
        <v>0</v>
      </c>
      <c r="BV54" s="1188">
        <f t="shared" si="72"/>
        <v>0</v>
      </c>
      <c r="BW54" s="1188">
        <f t="shared" si="72"/>
        <v>0</v>
      </c>
      <c r="BX54" s="1188">
        <f t="shared" si="72"/>
        <v>0</v>
      </c>
      <c r="BY54" s="1188">
        <f t="shared" si="72"/>
        <v>0</v>
      </c>
      <c r="BZ54" s="1188">
        <f t="shared" si="72"/>
        <v>0</v>
      </c>
      <c r="CA54" s="1188">
        <f t="shared" si="72"/>
        <v>0</v>
      </c>
      <c r="CB54" s="1188">
        <f t="shared" si="72"/>
        <v>0</v>
      </c>
      <c r="CC54" s="1188">
        <f t="shared" si="72"/>
        <v>0</v>
      </c>
      <c r="CD54" s="1188">
        <f t="shared" si="72"/>
        <v>0</v>
      </c>
      <c r="CE54" s="1188">
        <f t="shared" si="72"/>
        <v>0</v>
      </c>
      <c r="CF54" s="1192">
        <f t="shared" si="65"/>
        <v>0</v>
      </c>
      <c r="CU54" s="934"/>
      <c r="CV54" s="934"/>
      <c r="CW54" s="920">
        <v>49</v>
      </c>
      <c r="CX54" s="926"/>
      <c r="CY54" s="876" t="str">
        <f>"Summe "&amp;CY47</f>
        <v>Summe Marketing  u. Werbung</v>
      </c>
      <c r="CZ54" s="874" t="s">
        <v>300</v>
      </c>
      <c r="DA54" s="920">
        <v>49</v>
      </c>
      <c r="DB54" s="930">
        <f t="shared" si="12"/>
        <v>0</v>
      </c>
      <c r="DC54" s="928" t="str">
        <f t="shared" si="13"/>
        <v>Summe Marketing  u. Werbung</v>
      </c>
      <c r="DD54" s="928" t="str">
        <f t="shared" si="14"/>
        <v xml:space="preserve">Sum marketing &amp; advertising </v>
      </c>
      <c r="DR54" s="126"/>
    </row>
    <row r="55" spans="1:122" ht="14.25" customHeight="1" x14ac:dyDescent="0.2">
      <c r="A55" s="1002"/>
      <c r="B55" s="141">
        <v>8</v>
      </c>
      <c r="C55" s="86" t="str">
        <f t="shared" si="1"/>
        <v>Rechts- und Beratungskosten</v>
      </c>
      <c r="D55" s="1190"/>
      <c r="E55" s="1190"/>
      <c r="F55" s="1190"/>
      <c r="G55" s="1190"/>
      <c r="H55" s="1190"/>
      <c r="I55" s="1190"/>
      <c r="J55" s="1190"/>
      <c r="K55" s="1190"/>
      <c r="L55" s="1190"/>
      <c r="M55" s="1190"/>
      <c r="N55" s="1190"/>
      <c r="O55" s="1190"/>
      <c r="P55" s="1191"/>
      <c r="Q55" s="1675" t="s">
        <v>796</v>
      </c>
      <c r="S55" s="93"/>
      <c r="T55" s="68"/>
      <c r="U55" s="76" t="str">
        <f t="shared" si="70"/>
        <v>Gehalt1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937"/>
      <c r="AH55" s="939"/>
      <c r="BA55" s="141">
        <v>8</v>
      </c>
      <c r="BB55" s="86" t="s">
        <v>487</v>
      </c>
      <c r="BC55" s="1190"/>
      <c r="BD55" s="1190"/>
      <c r="BE55" s="1190"/>
      <c r="BF55" s="1190"/>
      <c r="BG55" s="1190"/>
      <c r="BH55" s="1190"/>
      <c r="BI55" s="1190"/>
      <c r="BJ55" s="1190"/>
      <c r="BK55" s="1190"/>
      <c r="BL55" s="1190"/>
      <c r="BM55" s="1190"/>
      <c r="BN55" s="1190"/>
      <c r="BO55" s="1191"/>
      <c r="BP55" s="68"/>
      <c r="BQ55" s="68"/>
      <c r="BR55" s="141">
        <v>8</v>
      </c>
      <c r="BS55" s="86" t="s">
        <v>487</v>
      </c>
      <c r="BT55" s="1190"/>
      <c r="BU55" s="1190"/>
      <c r="BV55" s="1190"/>
      <c r="BW55" s="1190"/>
      <c r="BX55" s="1190"/>
      <c r="BY55" s="1190"/>
      <c r="BZ55" s="1190"/>
      <c r="CA55" s="1190"/>
      <c r="CB55" s="1190"/>
      <c r="CC55" s="1190"/>
      <c r="CD55" s="1190"/>
      <c r="CE55" s="1190"/>
      <c r="CF55" s="1191"/>
      <c r="CU55" s="934"/>
      <c r="CV55" s="934"/>
      <c r="CW55" s="920">
        <v>50</v>
      </c>
      <c r="CX55" s="926"/>
      <c r="CY55" s="142" t="s">
        <v>487</v>
      </c>
      <c r="CZ55" s="874" t="s">
        <v>668</v>
      </c>
      <c r="DA55" s="920">
        <v>50</v>
      </c>
      <c r="DB55" s="930">
        <f t="shared" si="12"/>
        <v>0</v>
      </c>
      <c r="DC55" s="928" t="str">
        <f t="shared" si="13"/>
        <v>Rechts- und Beratungskosten</v>
      </c>
      <c r="DD55" s="928" t="str">
        <f t="shared" si="14"/>
        <v>Legal and accountancy fees</v>
      </c>
      <c r="DR55" s="126"/>
    </row>
    <row r="56" spans="1:122" ht="15" customHeight="1" x14ac:dyDescent="0.2">
      <c r="A56" s="1002">
        <v>0.19</v>
      </c>
      <c r="B56" s="72">
        <f>IF($D$4&lt;&gt;1, A56,"")</f>
        <v>0.19</v>
      </c>
      <c r="C56" s="1429" t="str">
        <f t="shared" si="1"/>
        <v>Buchhaltung</v>
      </c>
      <c r="D56" s="1430"/>
      <c r="E56" s="1430"/>
      <c r="F56" s="1430"/>
      <c r="G56" s="1430"/>
      <c r="H56" s="1430"/>
      <c r="I56" s="1430"/>
      <c r="J56" s="1430"/>
      <c r="K56" s="1430"/>
      <c r="L56" s="1430"/>
      <c r="M56" s="1430"/>
      <c r="N56" s="1430"/>
      <c r="O56" s="1430"/>
      <c r="P56" s="1431">
        <f t="shared" si="61"/>
        <v>0</v>
      </c>
      <c r="Q56" s="1675"/>
      <c r="S56" s="1556"/>
      <c r="T56" s="68"/>
      <c r="U56" s="76" t="str">
        <f t="shared" si="70"/>
        <v xml:space="preserve"> Anzahl Mitarbeiter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937"/>
      <c r="AH56" s="939"/>
      <c r="BA56" s="72">
        <v>0.19</v>
      </c>
      <c r="BB56" s="73" t="s">
        <v>488</v>
      </c>
      <c r="BC56" s="1230">
        <f t="shared" ref="BC56:BN58" si="73">IF($A56=$Q$2,D56*IF(OR($D$4=0,$D$4=3),$A56,$A56/(1+$A56)),0)</f>
        <v>0</v>
      </c>
      <c r="BD56" s="1230">
        <f t="shared" si="73"/>
        <v>0</v>
      </c>
      <c r="BE56" s="1230">
        <f t="shared" si="73"/>
        <v>0</v>
      </c>
      <c r="BF56" s="1230">
        <f t="shared" si="73"/>
        <v>0</v>
      </c>
      <c r="BG56" s="1230">
        <f t="shared" si="73"/>
        <v>0</v>
      </c>
      <c r="BH56" s="1230">
        <f t="shared" si="73"/>
        <v>0</v>
      </c>
      <c r="BI56" s="1230">
        <f t="shared" si="73"/>
        <v>0</v>
      </c>
      <c r="BJ56" s="1230">
        <f t="shared" si="73"/>
        <v>0</v>
      </c>
      <c r="BK56" s="1230">
        <f t="shared" si="73"/>
        <v>0</v>
      </c>
      <c r="BL56" s="1230">
        <f t="shared" si="73"/>
        <v>0</v>
      </c>
      <c r="BM56" s="1230">
        <f t="shared" si="73"/>
        <v>0</v>
      </c>
      <c r="BN56" s="1230">
        <f t="shared" si="73"/>
        <v>0</v>
      </c>
      <c r="BO56" s="1186">
        <f t="shared" si="63"/>
        <v>0</v>
      </c>
      <c r="BP56" s="68"/>
      <c r="BQ56" s="68"/>
      <c r="BR56" s="72">
        <v>0.19</v>
      </c>
      <c r="BS56" s="73" t="s">
        <v>488</v>
      </c>
      <c r="BT56" s="1230">
        <f t="shared" ref="BT56:CE58" si="74">IF($A56=$Q$3,D56*IF(OR($D$4=0,$D$4=3),$A56,$A56/(1+$A56)),0)</f>
        <v>0</v>
      </c>
      <c r="BU56" s="1230">
        <f t="shared" si="74"/>
        <v>0</v>
      </c>
      <c r="BV56" s="1230">
        <f t="shared" si="74"/>
        <v>0</v>
      </c>
      <c r="BW56" s="1230">
        <f t="shared" si="74"/>
        <v>0</v>
      </c>
      <c r="BX56" s="1230">
        <f t="shared" si="74"/>
        <v>0</v>
      </c>
      <c r="BY56" s="1230">
        <f t="shared" si="74"/>
        <v>0</v>
      </c>
      <c r="BZ56" s="1230">
        <f t="shared" si="74"/>
        <v>0</v>
      </c>
      <c r="CA56" s="1230">
        <f t="shared" si="74"/>
        <v>0</v>
      </c>
      <c r="CB56" s="1230">
        <f t="shared" si="74"/>
        <v>0</v>
      </c>
      <c r="CC56" s="1230">
        <f t="shared" si="74"/>
        <v>0</v>
      </c>
      <c r="CD56" s="1230">
        <f t="shared" si="74"/>
        <v>0</v>
      </c>
      <c r="CE56" s="1230">
        <f t="shared" si="74"/>
        <v>0</v>
      </c>
      <c r="CF56" s="1186">
        <f>SUM(BT56:CE56)</f>
        <v>0</v>
      </c>
      <c r="CU56" s="934"/>
      <c r="CV56" s="934"/>
      <c r="CW56" s="920">
        <v>51</v>
      </c>
      <c r="CX56" s="926">
        <v>0.19</v>
      </c>
      <c r="CY56" s="872" t="s">
        <v>488</v>
      </c>
      <c r="CZ56" s="874" t="s">
        <v>491</v>
      </c>
      <c r="DA56" s="920">
        <v>51</v>
      </c>
      <c r="DB56" s="930">
        <f t="shared" si="12"/>
        <v>0.19</v>
      </c>
      <c r="DC56" s="928" t="str">
        <f t="shared" si="13"/>
        <v>Buchhaltung</v>
      </c>
      <c r="DD56" s="928" t="str">
        <f t="shared" si="14"/>
        <v xml:space="preserve">Bookkeeping </v>
      </c>
      <c r="DR56" s="126"/>
    </row>
    <row r="57" spans="1:122" x14ac:dyDescent="0.2">
      <c r="A57" s="1002">
        <v>0.19</v>
      </c>
      <c r="B57" s="72">
        <f>IF($D$4&lt;&gt;1, A57,"")</f>
        <v>0.19</v>
      </c>
      <c r="C57" s="1429" t="str">
        <f t="shared" si="1"/>
        <v>Steuerberatung, Abschluss, Prüfung</v>
      </c>
      <c r="D57" s="1430"/>
      <c r="E57" s="1430"/>
      <c r="F57" s="1430"/>
      <c r="G57" s="1430"/>
      <c r="H57" s="1430"/>
      <c r="I57" s="1430"/>
      <c r="J57" s="1430"/>
      <c r="K57" s="1430"/>
      <c r="L57" s="1430"/>
      <c r="M57" s="1430"/>
      <c r="N57" s="1430"/>
      <c r="O57" s="1430"/>
      <c r="P57" s="1431">
        <f t="shared" si="61"/>
        <v>0</v>
      </c>
      <c r="Q57" s="1675"/>
      <c r="S57" s="1556"/>
      <c r="T57" s="68"/>
      <c r="U57" s="76" t="str">
        <f t="shared" si="70"/>
        <v>Gehalt2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937"/>
      <c r="AH57" s="939"/>
      <c r="BA57" s="72">
        <v>0.19</v>
      </c>
      <c r="BB57" s="73" t="s">
        <v>489</v>
      </c>
      <c r="BC57" s="1230">
        <f t="shared" si="73"/>
        <v>0</v>
      </c>
      <c r="BD57" s="1230">
        <f t="shared" si="73"/>
        <v>0</v>
      </c>
      <c r="BE57" s="1230">
        <f t="shared" si="73"/>
        <v>0</v>
      </c>
      <c r="BF57" s="1230">
        <f t="shared" si="73"/>
        <v>0</v>
      </c>
      <c r="BG57" s="1230">
        <f t="shared" si="73"/>
        <v>0</v>
      </c>
      <c r="BH57" s="1230">
        <f t="shared" si="73"/>
        <v>0</v>
      </c>
      <c r="BI57" s="1230">
        <f t="shared" si="73"/>
        <v>0</v>
      </c>
      <c r="BJ57" s="1230">
        <f t="shared" si="73"/>
        <v>0</v>
      </c>
      <c r="BK57" s="1230">
        <f t="shared" si="73"/>
        <v>0</v>
      </c>
      <c r="BL57" s="1230">
        <f t="shared" si="73"/>
        <v>0</v>
      </c>
      <c r="BM57" s="1230">
        <f t="shared" si="73"/>
        <v>0</v>
      </c>
      <c r="BN57" s="1230">
        <f t="shared" si="73"/>
        <v>0</v>
      </c>
      <c r="BO57" s="1186">
        <f t="shared" si="63"/>
        <v>0</v>
      </c>
      <c r="BP57" s="68"/>
      <c r="BQ57" s="68"/>
      <c r="BR57" s="72">
        <v>0.19</v>
      </c>
      <c r="BS57" s="73" t="s">
        <v>489</v>
      </c>
      <c r="BT57" s="1230">
        <f t="shared" si="74"/>
        <v>0</v>
      </c>
      <c r="BU57" s="1230">
        <f t="shared" si="74"/>
        <v>0</v>
      </c>
      <c r="BV57" s="1230">
        <f t="shared" si="74"/>
        <v>0</v>
      </c>
      <c r="BW57" s="1230">
        <f t="shared" si="74"/>
        <v>0</v>
      </c>
      <c r="BX57" s="1230">
        <f t="shared" si="74"/>
        <v>0</v>
      </c>
      <c r="BY57" s="1230">
        <f t="shared" si="74"/>
        <v>0</v>
      </c>
      <c r="BZ57" s="1230">
        <f t="shared" si="74"/>
        <v>0</v>
      </c>
      <c r="CA57" s="1230">
        <f t="shared" si="74"/>
        <v>0</v>
      </c>
      <c r="CB57" s="1230">
        <f t="shared" si="74"/>
        <v>0</v>
      </c>
      <c r="CC57" s="1230">
        <f t="shared" si="74"/>
        <v>0</v>
      </c>
      <c r="CD57" s="1230">
        <f t="shared" si="74"/>
        <v>0</v>
      </c>
      <c r="CE57" s="1230">
        <f t="shared" si="74"/>
        <v>0</v>
      </c>
      <c r="CF57" s="1186">
        <f>SUM(BT57:CE57)</f>
        <v>0</v>
      </c>
      <c r="CU57" s="934"/>
      <c r="CV57" s="934"/>
      <c r="CW57" s="920">
        <v>52</v>
      </c>
      <c r="CX57" s="926">
        <v>0.19</v>
      </c>
      <c r="CY57" s="872" t="s">
        <v>489</v>
      </c>
      <c r="CZ57" s="874" t="s">
        <v>669</v>
      </c>
      <c r="DA57" s="920">
        <v>52</v>
      </c>
      <c r="DB57" s="930">
        <f t="shared" si="12"/>
        <v>0.19</v>
      </c>
      <c r="DC57" s="928" t="str">
        <f t="shared" si="13"/>
        <v>Steuerberatung, Abschluss, Prüfung</v>
      </c>
      <c r="DD57" s="928" t="str">
        <f t="shared" si="14"/>
        <v>Tax advice, annual accounts, accounts audit</v>
      </c>
      <c r="DR57" s="126"/>
    </row>
    <row r="58" spans="1:122" x14ac:dyDescent="0.2">
      <c r="A58" s="1385">
        <v>0.19</v>
      </c>
      <c r="B58" s="72">
        <f>IF($D$4&lt;&gt;1, A58,"")</f>
        <v>0.19</v>
      </c>
      <c r="C58" s="1432" t="s">
        <v>470</v>
      </c>
      <c r="D58" s="1433"/>
      <c r="E58" s="1433"/>
      <c r="F58" s="1433"/>
      <c r="G58" s="1433"/>
      <c r="H58" s="1433"/>
      <c r="I58" s="1433"/>
      <c r="J58" s="1433"/>
      <c r="K58" s="1433"/>
      <c r="L58" s="1433"/>
      <c r="M58" s="1433"/>
      <c r="N58" s="1433"/>
      <c r="O58" s="1433"/>
      <c r="P58" s="1434">
        <f t="shared" si="61"/>
        <v>0</v>
      </c>
      <c r="Q58" s="1675"/>
      <c r="S58" s="1556"/>
      <c r="T58" s="68"/>
      <c r="U58" s="76" t="str">
        <f t="shared" si="70"/>
        <v xml:space="preserve"> Anzahl Mitarbeiter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937"/>
      <c r="AH58" s="939"/>
      <c r="BA58" s="72"/>
      <c r="BB58" s="1063" t="s">
        <v>470</v>
      </c>
      <c r="BC58" s="1230">
        <f t="shared" si="73"/>
        <v>0</v>
      </c>
      <c r="BD58" s="1230">
        <f t="shared" si="73"/>
        <v>0</v>
      </c>
      <c r="BE58" s="1230">
        <f t="shared" si="73"/>
        <v>0</v>
      </c>
      <c r="BF58" s="1230">
        <f t="shared" si="73"/>
        <v>0</v>
      </c>
      <c r="BG58" s="1230">
        <f t="shared" si="73"/>
        <v>0</v>
      </c>
      <c r="BH58" s="1230">
        <f t="shared" si="73"/>
        <v>0</v>
      </c>
      <c r="BI58" s="1230">
        <f t="shared" si="73"/>
        <v>0</v>
      </c>
      <c r="BJ58" s="1230">
        <f t="shared" si="73"/>
        <v>0</v>
      </c>
      <c r="BK58" s="1230">
        <f t="shared" si="73"/>
        <v>0</v>
      </c>
      <c r="BL58" s="1230">
        <f t="shared" si="73"/>
        <v>0</v>
      </c>
      <c r="BM58" s="1230">
        <f t="shared" si="73"/>
        <v>0</v>
      </c>
      <c r="BN58" s="1230">
        <f t="shared" si="73"/>
        <v>0</v>
      </c>
      <c r="BO58" s="1186">
        <f t="shared" si="63"/>
        <v>0</v>
      </c>
      <c r="BP58" s="68"/>
      <c r="BQ58" s="68"/>
      <c r="BR58" s="72"/>
      <c r="BS58" s="990" t="s">
        <v>470</v>
      </c>
      <c r="BT58" s="1230">
        <f t="shared" si="74"/>
        <v>0</v>
      </c>
      <c r="BU58" s="1230">
        <f t="shared" si="74"/>
        <v>0</v>
      </c>
      <c r="BV58" s="1230">
        <f t="shared" si="74"/>
        <v>0</v>
      </c>
      <c r="BW58" s="1230">
        <f t="shared" si="74"/>
        <v>0</v>
      </c>
      <c r="BX58" s="1230">
        <f t="shared" si="74"/>
        <v>0</v>
      </c>
      <c r="BY58" s="1230">
        <f t="shared" si="74"/>
        <v>0</v>
      </c>
      <c r="BZ58" s="1230">
        <f t="shared" si="74"/>
        <v>0</v>
      </c>
      <c r="CA58" s="1230">
        <f t="shared" si="74"/>
        <v>0</v>
      </c>
      <c r="CB58" s="1230">
        <f t="shared" si="74"/>
        <v>0</v>
      </c>
      <c r="CC58" s="1230">
        <f t="shared" si="74"/>
        <v>0</v>
      </c>
      <c r="CD58" s="1230">
        <f t="shared" si="74"/>
        <v>0</v>
      </c>
      <c r="CE58" s="1230">
        <f t="shared" si="74"/>
        <v>0</v>
      </c>
      <c r="CF58" s="1186">
        <f>SUM(BT58:CE58)</f>
        <v>0</v>
      </c>
      <c r="CU58" s="934"/>
      <c r="CV58" s="934"/>
      <c r="CW58" s="920">
        <v>53</v>
      </c>
      <c r="CX58" s="878">
        <v>7.0000000000000007E-2</v>
      </c>
      <c r="CY58" s="873" t="s">
        <v>470</v>
      </c>
      <c r="CZ58" s="873" t="s">
        <v>473</v>
      </c>
      <c r="DA58" s="920">
        <v>53</v>
      </c>
      <c r="DB58" s="930">
        <f t="shared" si="12"/>
        <v>7.0000000000000007E-2</v>
      </c>
      <c r="DC58" s="928" t="str">
        <f t="shared" si="13"/>
        <v>Sonstiges</v>
      </c>
      <c r="DD58" s="928" t="str">
        <f t="shared" si="14"/>
        <v>Others</v>
      </c>
      <c r="DR58" s="126"/>
    </row>
    <row r="59" spans="1:122" ht="15" thickBot="1" x14ac:dyDescent="0.25">
      <c r="A59" s="1002"/>
      <c r="B59" s="1487"/>
      <c r="C59" s="1488" t="str">
        <f t="shared" si="1"/>
        <v>Summe Rechts- und Beratungskosten</v>
      </c>
      <c r="D59" s="1489">
        <f>SUM(D56:D58)</f>
        <v>0</v>
      </c>
      <c r="E59" s="1489">
        <f t="shared" ref="E59:O59" si="75">SUM(E56:E58)</f>
        <v>0</v>
      </c>
      <c r="F59" s="1489">
        <f t="shared" si="75"/>
        <v>0</v>
      </c>
      <c r="G59" s="1489">
        <f t="shared" si="75"/>
        <v>0</v>
      </c>
      <c r="H59" s="1489">
        <f t="shared" si="75"/>
        <v>0</v>
      </c>
      <c r="I59" s="1489">
        <f t="shared" si="75"/>
        <v>0</v>
      </c>
      <c r="J59" s="1489">
        <f t="shared" si="75"/>
        <v>0</v>
      </c>
      <c r="K59" s="1489">
        <f t="shared" si="75"/>
        <v>0</v>
      </c>
      <c r="L59" s="1489">
        <f t="shared" si="75"/>
        <v>0</v>
      </c>
      <c r="M59" s="1489">
        <f t="shared" si="75"/>
        <v>0</v>
      </c>
      <c r="N59" s="1489">
        <f t="shared" si="75"/>
        <v>0</v>
      </c>
      <c r="O59" s="1489">
        <f t="shared" si="75"/>
        <v>0</v>
      </c>
      <c r="P59" s="1490">
        <f t="shared" si="61"/>
        <v>0</v>
      </c>
      <c r="Q59" s="1675"/>
      <c r="S59" s="82"/>
      <c r="T59" s="68"/>
      <c r="U59" s="76" t="str">
        <f t="shared" si="70"/>
        <v>Gehalt3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937"/>
      <c r="AH59" s="939"/>
      <c r="AZ59" s="35" t="b">
        <f>IFERROR(OR(BO59,CF59),-1)</f>
        <v>0</v>
      </c>
      <c r="BA59" s="80"/>
      <c r="BB59" s="96" t="s">
        <v>490</v>
      </c>
      <c r="BC59" s="1188">
        <f>SUM(BC56:BC58)</f>
        <v>0</v>
      </c>
      <c r="BD59" s="1188">
        <f t="shared" ref="BD59:BN59" si="76">SUM(BD56:BD58)</f>
        <v>0</v>
      </c>
      <c r="BE59" s="1188">
        <f t="shared" si="76"/>
        <v>0</v>
      </c>
      <c r="BF59" s="1188">
        <f t="shared" si="76"/>
        <v>0</v>
      </c>
      <c r="BG59" s="1188">
        <f t="shared" si="76"/>
        <v>0</v>
      </c>
      <c r="BH59" s="1188">
        <f t="shared" si="76"/>
        <v>0</v>
      </c>
      <c r="BI59" s="1188">
        <f t="shared" si="76"/>
        <v>0</v>
      </c>
      <c r="BJ59" s="1188">
        <f t="shared" si="76"/>
        <v>0</v>
      </c>
      <c r="BK59" s="1188">
        <f t="shared" si="76"/>
        <v>0</v>
      </c>
      <c r="BL59" s="1188">
        <f t="shared" si="76"/>
        <v>0</v>
      </c>
      <c r="BM59" s="1188">
        <f t="shared" si="76"/>
        <v>0</v>
      </c>
      <c r="BN59" s="1188">
        <f t="shared" si="76"/>
        <v>0</v>
      </c>
      <c r="BO59" s="1192">
        <f t="shared" si="63"/>
        <v>0</v>
      </c>
      <c r="BP59" s="68"/>
      <c r="BQ59" s="68"/>
      <c r="BR59" s="80"/>
      <c r="BS59" s="96" t="s">
        <v>490</v>
      </c>
      <c r="BT59" s="1188">
        <f>SUM(BT56:BT58)</f>
        <v>0</v>
      </c>
      <c r="BU59" s="1188">
        <f t="shared" ref="BU59:CE59" si="77">SUM(BU56:BU58)</f>
        <v>0</v>
      </c>
      <c r="BV59" s="1188">
        <f t="shared" si="77"/>
        <v>0</v>
      </c>
      <c r="BW59" s="1188">
        <f t="shared" si="77"/>
        <v>0</v>
      </c>
      <c r="BX59" s="1188">
        <f t="shared" si="77"/>
        <v>0</v>
      </c>
      <c r="BY59" s="1188">
        <f t="shared" si="77"/>
        <v>0</v>
      </c>
      <c r="BZ59" s="1188">
        <f t="shared" si="77"/>
        <v>0</v>
      </c>
      <c r="CA59" s="1188">
        <f t="shared" si="77"/>
        <v>0</v>
      </c>
      <c r="CB59" s="1188">
        <f t="shared" si="77"/>
        <v>0</v>
      </c>
      <c r="CC59" s="1188">
        <f t="shared" si="77"/>
        <v>0</v>
      </c>
      <c r="CD59" s="1188">
        <f t="shared" si="77"/>
        <v>0</v>
      </c>
      <c r="CE59" s="1188">
        <f t="shared" si="77"/>
        <v>0</v>
      </c>
      <c r="CF59" s="1192">
        <f>SUM(BT59:CE59)</f>
        <v>0</v>
      </c>
      <c r="CU59" s="934"/>
      <c r="CV59" s="934"/>
      <c r="CW59" s="920">
        <v>54</v>
      </c>
      <c r="CX59" s="926"/>
      <c r="CY59" s="92" t="s">
        <v>490</v>
      </c>
      <c r="CZ59" s="874" t="s">
        <v>494</v>
      </c>
      <c r="DA59" s="920">
        <v>54</v>
      </c>
      <c r="DB59" s="930">
        <f t="shared" si="12"/>
        <v>0</v>
      </c>
      <c r="DC59" s="928" t="str">
        <f t="shared" si="13"/>
        <v>Summe Rechts- und Beratungskosten</v>
      </c>
      <c r="DD59" s="928" t="str">
        <f t="shared" si="14"/>
        <v>Sum legislation and consultancy fees</v>
      </c>
      <c r="DR59" s="126"/>
    </row>
    <row r="60" spans="1:122" ht="15" thickBot="1" x14ac:dyDescent="0.25">
      <c r="A60" s="1002"/>
      <c r="B60" s="141">
        <v>9</v>
      </c>
      <c r="C60" s="63" t="str">
        <f t="shared" si="1"/>
        <v>Verschiedenes</v>
      </c>
      <c r="D60" s="1190"/>
      <c r="E60" s="1190"/>
      <c r="F60" s="1190"/>
      <c r="G60" s="1190"/>
      <c r="H60" s="1190"/>
      <c r="I60" s="1190"/>
      <c r="J60" s="1190"/>
      <c r="K60" s="1190"/>
      <c r="L60" s="1190"/>
      <c r="M60" s="1190"/>
      <c r="N60" s="1190"/>
      <c r="O60" s="1190"/>
      <c r="P60" s="1191"/>
      <c r="Q60" s="47"/>
      <c r="S60" s="89"/>
      <c r="T60" s="68"/>
      <c r="U60" s="942" t="str">
        <f t="shared" si="70"/>
        <v>Nebenkosten (%)</v>
      </c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938"/>
      <c r="AH60" s="939"/>
      <c r="BA60" s="141">
        <v>9</v>
      </c>
      <c r="BB60" s="63" t="s">
        <v>34</v>
      </c>
      <c r="BC60" s="1190"/>
      <c r="BD60" s="1190"/>
      <c r="BE60" s="1190"/>
      <c r="BF60" s="1190"/>
      <c r="BG60" s="1190"/>
      <c r="BH60" s="1190"/>
      <c r="BI60" s="1190"/>
      <c r="BJ60" s="1190"/>
      <c r="BK60" s="1190"/>
      <c r="BL60" s="1190"/>
      <c r="BM60" s="1190"/>
      <c r="BN60" s="1190"/>
      <c r="BO60" s="1191"/>
      <c r="BP60" s="68"/>
      <c r="BQ60" s="68"/>
      <c r="BR60" s="141">
        <v>9</v>
      </c>
      <c r="BS60" s="63" t="s">
        <v>34</v>
      </c>
      <c r="BT60" s="1190"/>
      <c r="BU60" s="1190"/>
      <c r="BV60" s="1190"/>
      <c r="BW60" s="1190"/>
      <c r="BX60" s="1190"/>
      <c r="BY60" s="1190"/>
      <c r="BZ60" s="1190"/>
      <c r="CA60" s="1190"/>
      <c r="CB60" s="1190"/>
      <c r="CC60" s="1190"/>
      <c r="CD60" s="1190"/>
      <c r="CE60" s="1190"/>
      <c r="CF60" s="1191"/>
      <c r="CW60" s="920">
        <v>55</v>
      </c>
      <c r="CX60" s="926"/>
      <c r="CY60" s="142" t="s">
        <v>34</v>
      </c>
      <c r="CZ60" s="874" t="s">
        <v>292</v>
      </c>
      <c r="DA60" s="920">
        <v>55</v>
      </c>
      <c r="DB60" s="930">
        <f t="shared" si="12"/>
        <v>0</v>
      </c>
      <c r="DC60" s="928" t="str">
        <f t="shared" si="13"/>
        <v>Verschiedenes</v>
      </c>
      <c r="DD60" s="928" t="str">
        <f t="shared" si="14"/>
        <v>Miscellaneous</v>
      </c>
      <c r="DR60" s="126"/>
    </row>
    <row r="61" spans="1:122" ht="15" customHeight="1" thickBot="1" x14ac:dyDescent="0.25">
      <c r="A61" s="1002">
        <v>0</v>
      </c>
      <c r="B61" s="72" t="str">
        <f>IF($D$4=-1, A61,"")</f>
        <v/>
      </c>
      <c r="C61" s="1429" t="str">
        <f t="shared" si="1"/>
        <v>Finanzaufwand / Zinsen *)</v>
      </c>
      <c r="D61" s="1435">
        <f>'7 Finanzierung|Financing'!D37</f>
        <v>0</v>
      </c>
      <c r="E61" s="1435">
        <f>'7 Finanzierung|Financing'!E37</f>
        <v>0</v>
      </c>
      <c r="F61" s="1435">
        <f>'7 Finanzierung|Financing'!F37</f>
        <v>0</v>
      </c>
      <c r="G61" s="1435">
        <f>'7 Finanzierung|Financing'!G37</f>
        <v>0</v>
      </c>
      <c r="H61" s="1435">
        <f>'7 Finanzierung|Financing'!H37</f>
        <v>0</v>
      </c>
      <c r="I61" s="1435">
        <f>'7 Finanzierung|Financing'!I37</f>
        <v>0</v>
      </c>
      <c r="J61" s="1435">
        <f>'7 Finanzierung|Financing'!J37</f>
        <v>0</v>
      </c>
      <c r="K61" s="1435">
        <f>'7 Finanzierung|Financing'!K37</f>
        <v>0</v>
      </c>
      <c r="L61" s="1435">
        <f>'7 Finanzierung|Financing'!L37</f>
        <v>0</v>
      </c>
      <c r="M61" s="1435">
        <f>'7 Finanzierung|Financing'!M37</f>
        <v>0</v>
      </c>
      <c r="N61" s="1435">
        <f>'7 Finanzierung|Financing'!N37</f>
        <v>0</v>
      </c>
      <c r="O61" s="1435">
        <f>'7 Finanzierung|Financing'!O37</f>
        <v>0</v>
      </c>
      <c r="P61" s="1436">
        <f t="shared" ref="P61:P66" si="78">SUM(D61:O61)</f>
        <v>0</v>
      </c>
      <c r="Q61" s="1675" t="s">
        <v>796</v>
      </c>
      <c r="S61" s="1556"/>
      <c r="T61" s="68"/>
      <c r="U61" s="940" t="str">
        <f t="shared" si="70"/>
        <v>Gehaltssumme</v>
      </c>
      <c r="V61" s="941">
        <f>((V54*V55)+(V56*V57)+(V58*V59))*(1+V60)</f>
        <v>0</v>
      </c>
      <c r="W61" s="941">
        <f>((W54*W55)+(W56*W57)+(W58*W59))*(1+W60)</f>
        <v>0</v>
      </c>
      <c r="X61" s="941">
        <f t="shared" ref="X61:AG61" si="79">((X54*X55)+(X56*X57)+(X58*X59))*(1+X60)</f>
        <v>0</v>
      </c>
      <c r="Y61" s="941">
        <f t="shared" si="79"/>
        <v>0</v>
      </c>
      <c r="Z61" s="941">
        <f t="shared" si="79"/>
        <v>0</v>
      </c>
      <c r="AA61" s="941">
        <f t="shared" si="79"/>
        <v>0</v>
      </c>
      <c r="AB61" s="941">
        <f t="shared" si="79"/>
        <v>0</v>
      </c>
      <c r="AC61" s="941">
        <f t="shared" si="79"/>
        <v>0</v>
      </c>
      <c r="AD61" s="941">
        <f t="shared" si="79"/>
        <v>0</v>
      </c>
      <c r="AE61" s="941">
        <f t="shared" si="79"/>
        <v>0</v>
      </c>
      <c r="AF61" s="941">
        <f t="shared" si="79"/>
        <v>0</v>
      </c>
      <c r="AG61" s="943">
        <f t="shared" si="79"/>
        <v>0</v>
      </c>
      <c r="AH61" s="944">
        <f>SUM(V61:AG61)</f>
        <v>0</v>
      </c>
      <c r="BA61" s="72" t="s">
        <v>622</v>
      </c>
      <c r="BB61" s="73" t="s">
        <v>495</v>
      </c>
      <c r="BC61" s="1230">
        <f t="shared" ref="BC61:BN65" si="80">IF($A61=$Q$2,D61*IF(OR($D$4=0,$D$4=3),$A61,$A61/(1+$A61)),0)</f>
        <v>0</v>
      </c>
      <c r="BD61" s="1230">
        <f t="shared" si="80"/>
        <v>0</v>
      </c>
      <c r="BE61" s="1230">
        <f t="shared" si="80"/>
        <v>0</v>
      </c>
      <c r="BF61" s="1230">
        <f t="shared" si="80"/>
        <v>0</v>
      </c>
      <c r="BG61" s="1230">
        <f t="shared" si="80"/>
        <v>0</v>
      </c>
      <c r="BH61" s="1230">
        <f t="shared" si="80"/>
        <v>0</v>
      </c>
      <c r="BI61" s="1230">
        <f t="shared" si="80"/>
        <v>0</v>
      </c>
      <c r="BJ61" s="1230">
        <f t="shared" si="80"/>
        <v>0</v>
      </c>
      <c r="BK61" s="1230">
        <f t="shared" si="80"/>
        <v>0</v>
      </c>
      <c r="BL61" s="1230">
        <f t="shared" si="80"/>
        <v>0</v>
      </c>
      <c r="BM61" s="1230">
        <f t="shared" si="80"/>
        <v>0</v>
      </c>
      <c r="BN61" s="1230">
        <f t="shared" si="80"/>
        <v>0</v>
      </c>
      <c r="BO61" s="1194">
        <f t="shared" ref="BO61:BO66" si="81">SUM(BC61:BN61)</f>
        <v>0</v>
      </c>
      <c r="BP61" s="68"/>
      <c r="BQ61" s="68"/>
      <c r="BR61" s="72" t="s">
        <v>622</v>
      </c>
      <c r="BS61" s="73" t="s">
        <v>495</v>
      </c>
      <c r="BT61" s="1230">
        <f t="shared" ref="BT61:CE65" si="82">IF($A61=$Q$3,D61*IF(OR($D$4=0,$D$4=3),$A61,$A61/(1+$A61)),0)</f>
        <v>0</v>
      </c>
      <c r="BU61" s="1230">
        <f t="shared" si="82"/>
        <v>0</v>
      </c>
      <c r="BV61" s="1230">
        <f t="shared" si="82"/>
        <v>0</v>
      </c>
      <c r="BW61" s="1230">
        <f t="shared" si="82"/>
        <v>0</v>
      </c>
      <c r="BX61" s="1230">
        <f t="shared" si="82"/>
        <v>0</v>
      </c>
      <c r="BY61" s="1230">
        <f t="shared" si="82"/>
        <v>0</v>
      </c>
      <c r="BZ61" s="1230">
        <f t="shared" si="82"/>
        <v>0</v>
      </c>
      <c r="CA61" s="1230">
        <f t="shared" si="82"/>
        <v>0</v>
      </c>
      <c r="CB61" s="1230">
        <f t="shared" si="82"/>
        <v>0</v>
      </c>
      <c r="CC61" s="1230">
        <f t="shared" si="82"/>
        <v>0</v>
      </c>
      <c r="CD61" s="1230">
        <f t="shared" si="82"/>
        <v>0</v>
      </c>
      <c r="CE61" s="1230">
        <f t="shared" si="82"/>
        <v>0</v>
      </c>
      <c r="CF61" s="1194">
        <f t="shared" ref="CF61:CF66" si="83">SUM(BT61:CE61)</f>
        <v>0</v>
      </c>
      <c r="CW61" s="920">
        <v>56</v>
      </c>
      <c r="CX61" s="926">
        <v>0</v>
      </c>
      <c r="CY61" s="877" t="s">
        <v>495</v>
      </c>
      <c r="CZ61" s="874" t="s">
        <v>670</v>
      </c>
      <c r="DA61" s="920">
        <v>56</v>
      </c>
      <c r="DB61" s="930">
        <f t="shared" si="12"/>
        <v>0</v>
      </c>
      <c r="DC61" s="928" t="str">
        <f t="shared" si="13"/>
        <v>Finanzaufwand / Zinsen *)</v>
      </c>
      <c r="DD61" s="928" t="str">
        <f t="shared" si="14"/>
        <v>Finance costs /  interest *)</v>
      </c>
      <c r="DR61" s="126"/>
    </row>
    <row r="62" spans="1:122" ht="14.25" customHeight="1" x14ac:dyDescent="0.2">
      <c r="A62" s="1002">
        <f>$Q$2</f>
        <v>0.19</v>
      </c>
      <c r="B62" s="72">
        <f>IF($D$4&lt;&gt;1, A62,"")</f>
        <v>0.19</v>
      </c>
      <c r="C62" s="1429" t="str">
        <f t="shared" si="1"/>
        <v>Reisekosten</v>
      </c>
      <c r="D62" s="1430"/>
      <c r="E62" s="1430"/>
      <c r="F62" s="1430"/>
      <c r="G62" s="1430"/>
      <c r="H62" s="1430"/>
      <c r="I62" s="1430"/>
      <c r="J62" s="1430"/>
      <c r="K62" s="1430"/>
      <c r="L62" s="1430"/>
      <c r="M62" s="1430"/>
      <c r="N62" s="1430"/>
      <c r="O62" s="1430"/>
      <c r="P62" s="1431">
        <f t="shared" si="78"/>
        <v>0</v>
      </c>
      <c r="Q62" s="1675"/>
      <c r="S62" s="1556"/>
      <c r="T62" s="68"/>
      <c r="U62" s="35"/>
      <c r="V62" s="1591" t="s">
        <v>797</v>
      </c>
      <c r="W62" s="1591" t="s">
        <v>797</v>
      </c>
      <c r="X62" s="1591" t="s">
        <v>797</v>
      </c>
      <c r="Y62" s="1591" t="s">
        <v>797</v>
      </c>
      <c r="Z62" s="1591" t="s">
        <v>797</v>
      </c>
      <c r="AA62" s="1591" t="s">
        <v>797</v>
      </c>
      <c r="AB62" s="1591" t="s">
        <v>797</v>
      </c>
      <c r="AC62" s="1591" t="s">
        <v>797</v>
      </c>
      <c r="AD62" s="1591" t="s">
        <v>797</v>
      </c>
      <c r="AE62" s="1591" t="s">
        <v>797</v>
      </c>
      <c r="AF62" s="1591" t="s">
        <v>797</v>
      </c>
      <c r="AG62" s="1591" t="s">
        <v>797</v>
      </c>
      <c r="AH62" s="939"/>
      <c r="BA62" s="72">
        <v>0.19</v>
      </c>
      <c r="BB62" s="73" t="s">
        <v>121</v>
      </c>
      <c r="BC62" s="1230">
        <f t="shared" si="80"/>
        <v>0</v>
      </c>
      <c r="BD62" s="1230">
        <f t="shared" si="80"/>
        <v>0</v>
      </c>
      <c r="BE62" s="1230">
        <f t="shared" si="80"/>
        <v>0</v>
      </c>
      <c r="BF62" s="1230">
        <f t="shared" si="80"/>
        <v>0</v>
      </c>
      <c r="BG62" s="1230">
        <f t="shared" si="80"/>
        <v>0</v>
      </c>
      <c r="BH62" s="1230">
        <f t="shared" si="80"/>
        <v>0</v>
      </c>
      <c r="BI62" s="1230">
        <f t="shared" si="80"/>
        <v>0</v>
      </c>
      <c r="BJ62" s="1230">
        <f t="shared" si="80"/>
        <v>0</v>
      </c>
      <c r="BK62" s="1230">
        <f t="shared" si="80"/>
        <v>0</v>
      </c>
      <c r="BL62" s="1230">
        <f t="shared" si="80"/>
        <v>0</v>
      </c>
      <c r="BM62" s="1230">
        <f t="shared" si="80"/>
        <v>0</v>
      </c>
      <c r="BN62" s="1230">
        <f t="shared" si="80"/>
        <v>0</v>
      </c>
      <c r="BO62" s="1186">
        <f t="shared" si="81"/>
        <v>0</v>
      </c>
      <c r="BP62" s="68"/>
      <c r="BQ62" s="68"/>
      <c r="BR62" s="72">
        <v>0.19</v>
      </c>
      <c r="BS62" s="73" t="s">
        <v>121</v>
      </c>
      <c r="BT62" s="1230">
        <f t="shared" si="82"/>
        <v>0</v>
      </c>
      <c r="BU62" s="1230">
        <f t="shared" si="82"/>
        <v>0</v>
      </c>
      <c r="BV62" s="1230">
        <f t="shared" si="82"/>
        <v>0</v>
      </c>
      <c r="BW62" s="1230">
        <f t="shared" si="82"/>
        <v>0</v>
      </c>
      <c r="BX62" s="1230">
        <f t="shared" si="82"/>
        <v>0</v>
      </c>
      <c r="BY62" s="1230">
        <f t="shared" si="82"/>
        <v>0</v>
      </c>
      <c r="BZ62" s="1230">
        <f t="shared" si="82"/>
        <v>0</v>
      </c>
      <c r="CA62" s="1230">
        <f t="shared" si="82"/>
        <v>0</v>
      </c>
      <c r="CB62" s="1230">
        <f t="shared" si="82"/>
        <v>0</v>
      </c>
      <c r="CC62" s="1230">
        <f t="shared" si="82"/>
        <v>0</v>
      </c>
      <c r="CD62" s="1230">
        <f t="shared" si="82"/>
        <v>0</v>
      </c>
      <c r="CE62" s="1230">
        <f t="shared" si="82"/>
        <v>0</v>
      </c>
      <c r="CF62" s="1186">
        <f t="shared" si="83"/>
        <v>0</v>
      </c>
      <c r="CU62" s="90"/>
      <c r="CV62" s="90"/>
      <c r="CW62" s="920">
        <v>57</v>
      </c>
      <c r="CX62" s="926">
        <f>$Q$2</f>
        <v>0.19</v>
      </c>
      <c r="CY62" s="872" t="s">
        <v>121</v>
      </c>
      <c r="CZ62" s="874" t="s">
        <v>261</v>
      </c>
      <c r="DA62" s="920">
        <v>57</v>
      </c>
      <c r="DB62" s="930">
        <f t="shared" si="12"/>
        <v>0.19</v>
      </c>
      <c r="DC62" s="928" t="str">
        <f t="shared" si="13"/>
        <v>Reisekosten</v>
      </c>
      <c r="DD62" s="928" t="str">
        <f t="shared" si="14"/>
        <v>Travel expenses</v>
      </c>
      <c r="DR62" s="126"/>
    </row>
    <row r="63" spans="1:122" x14ac:dyDescent="0.2">
      <c r="A63" s="1002">
        <v>7.0000000000000007E-2</v>
      </c>
      <c r="B63" s="72">
        <f>IF($D$4&lt;&gt;1, A63,"")</f>
        <v>7.0000000000000007E-2</v>
      </c>
      <c r="C63" s="1429" t="str">
        <f t="shared" si="1"/>
        <v>Fachliteratur, Bücher</v>
      </c>
      <c r="D63" s="1430"/>
      <c r="E63" s="1430"/>
      <c r="F63" s="1430"/>
      <c r="G63" s="1430"/>
      <c r="H63" s="1430"/>
      <c r="I63" s="1430"/>
      <c r="J63" s="1430"/>
      <c r="K63" s="1430"/>
      <c r="L63" s="1430"/>
      <c r="M63" s="1430"/>
      <c r="N63" s="1430"/>
      <c r="O63" s="1430"/>
      <c r="P63" s="1431">
        <f t="shared" si="78"/>
        <v>0</v>
      </c>
      <c r="Q63" s="1675"/>
      <c r="S63" s="1556"/>
      <c r="T63" s="68"/>
      <c r="U63" s="35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939"/>
      <c r="BA63" s="72">
        <v>7.0000000000000007E-2</v>
      </c>
      <c r="BB63" s="73" t="s">
        <v>123</v>
      </c>
      <c r="BC63" s="1230">
        <f t="shared" si="80"/>
        <v>0</v>
      </c>
      <c r="BD63" s="1230">
        <f t="shared" si="80"/>
        <v>0</v>
      </c>
      <c r="BE63" s="1230">
        <f t="shared" si="80"/>
        <v>0</v>
      </c>
      <c r="BF63" s="1230">
        <f t="shared" si="80"/>
        <v>0</v>
      </c>
      <c r="BG63" s="1230">
        <f t="shared" si="80"/>
        <v>0</v>
      </c>
      <c r="BH63" s="1230">
        <f t="shared" si="80"/>
        <v>0</v>
      </c>
      <c r="BI63" s="1230">
        <f t="shared" si="80"/>
        <v>0</v>
      </c>
      <c r="BJ63" s="1230">
        <f t="shared" si="80"/>
        <v>0</v>
      </c>
      <c r="BK63" s="1230">
        <f t="shared" si="80"/>
        <v>0</v>
      </c>
      <c r="BL63" s="1230">
        <f t="shared" si="80"/>
        <v>0</v>
      </c>
      <c r="BM63" s="1230">
        <f t="shared" si="80"/>
        <v>0</v>
      </c>
      <c r="BN63" s="1230">
        <f t="shared" si="80"/>
        <v>0</v>
      </c>
      <c r="BO63" s="1186">
        <f t="shared" si="81"/>
        <v>0</v>
      </c>
      <c r="BP63" s="68"/>
      <c r="BQ63" s="68"/>
      <c r="BR63" s="72">
        <v>7.0000000000000007E-2</v>
      </c>
      <c r="BS63" s="73" t="s">
        <v>123</v>
      </c>
      <c r="BT63" s="1230">
        <f t="shared" si="82"/>
        <v>0</v>
      </c>
      <c r="BU63" s="1230">
        <f t="shared" si="82"/>
        <v>0</v>
      </c>
      <c r="BV63" s="1230">
        <f t="shared" si="82"/>
        <v>0</v>
      </c>
      <c r="BW63" s="1230">
        <f t="shared" si="82"/>
        <v>0</v>
      </c>
      <c r="BX63" s="1230">
        <f t="shared" si="82"/>
        <v>0</v>
      </c>
      <c r="BY63" s="1230">
        <f t="shared" si="82"/>
        <v>0</v>
      </c>
      <c r="BZ63" s="1230">
        <f t="shared" si="82"/>
        <v>0</v>
      </c>
      <c r="CA63" s="1230">
        <f t="shared" si="82"/>
        <v>0</v>
      </c>
      <c r="CB63" s="1230">
        <f t="shared" si="82"/>
        <v>0</v>
      </c>
      <c r="CC63" s="1230">
        <f t="shared" si="82"/>
        <v>0</v>
      </c>
      <c r="CD63" s="1230">
        <f t="shared" si="82"/>
        <v>0</v>
      </c>
      <c r="CE63" s="1230">
        <f t="shared" si="82"/>
        <v>0</v>
      </c>
      <c r="CF63" s="1186">
        <f t="shared" si="83"/>
        <v>0</v>
      </c>
      <c r="CU63" s="934"/>
      <c r="CV63" s="934"/>
      <c r="CW63" s="920">
        <v>58</v>
      </c>
      <c r="CX63" s="926">
        <v>7.0000000000000007E-2</v>
      </c>
      <c r="CY63" s="872" t="s">
        <v>123</v>
      </c>
      <c r="CZ63" s="874" t="s">
        <v>671</v>
      </c>
      <c r="DA63" s="920">
        <v>58</v>
      </c>
      <c r="DB63" s="930">
        <f t="shared" si="12"/>
        <v>7.0000000000000007E-2</v>
      </c>
      <c r="DC63" s="928" t="str">
        <f t="shared" si="13"/>
        <v>Fachliteratur, Bücher</v>
      </c>
      <c r="DD63" s="928" t="str">
        <f t="shared" si="14"/>
        <v>Business literature</v>
      </c>
      <c r="DR63" s="126"/>
    </row>
    <row r="64" spans="1:122" x14ac:dyDescent="0.2">
      <c r="A64" s="1002">
        <v>0.19</v>
      </c>
      <c r="B64" s="72">
        <f>IF($D$4&lt;&gt;1, A64,"")</f>
        <v>0.19</v>
      </c>
      <c r="C64" s="1429" t="str">
        <f t="shared" si="1"/>
        <v>Schulungen</v>
      </c>
      <c r="D64" s="1430"/>
      <c r="E64" s="1430"/>
      <c r="F64" s="1430"/>
      <c r="G64" s="1430"/>
      <c r="H64" s="1430"/>
      <c r="I64" s="1430"/>
      <c r="J64" s="1430"/>
      <c r="K64" s="1430"/>
      <c r="L64" s="1430"/>
      <c r="M64" s="1430"/>
      <c r="N64" s="1430"/>
      <c r="O64" s="1430"/>
      <c r="P64" s="1431">
        <f t="shared" si="78"/>
        <v>0</v>
      </c>
      <c r="Q64" s="1675"/>
      <c r="S64" s="1556"/>
      <c r="T64" s="68"/>
      <c r="U64" s="35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939"/>
      <c r="BA64" s="72">
        <v>0.19</v>
      </c>
      <c r="BB64" s="73" t="s">
        <v>496</v>
      </c>
      <c r="BC64" s="1230">
        <f t="shared" si="80"/>
        <v>0</v>
      </c>
      <c r="BD64" s="1230">
        <f t="shared" si="80"/>
        <v>0</v>
      </c>
      <c r="BE64" s="1230">
        <f t="shared" si="80"/>
        <v>0</v>
      </c>
      <c r="BF64" s="1230">
        <f t="shared" si="80"/>
        <v>0</v>
      </c>
      <c r="BG64" s="1230">
        <f t="shared" si="80"/>
        <v>0</v>
      </c>
      <c r="BH64" s="1230">
        <f t="shared" si="80"/>
        <v>0</v>
      </c>
      <c r="BI64" s="1230">
        <f t="shared" si="80"/>
        <v>0</v>
      </c>
      <c r="BJ64" s="1230">
        <f t="shared" si="80"/>
        <v>0</v>
      </c>
      <c r="BK64" s="1230">
        <f t="shared" si="80"/>
        <v>0</v>
      </c>
      <c r="BL64" s="1230">
        <f t="shared" si="80"/>
        <v>0</v>
      </c>
      <c r="BM64" s="1230">
        <f t="shared" si="80"/>
        <v>0</v>
      </c>
      <c r="BN64" s="1230">
        <f t="shared" si="80"/>
        <v>0</v>
      </c>
      <c r="BO64" s="1186">
        <f t="shared" si="81"/>
        <v>0</v>
      </c>
      <c r="BP64" s="68"/>
      <c r="BQ64" s="68"/>
      <c r="BR64" s="72">
        <v>0.19</v>
      </c>
      <c r="BS64" s="73" t="s">
        <v>496</v>
      </c>
      <c r="BT64" s="1230">
        <f t="shared" si="82"/>
        <v>0</v>
      </c>
      <c r="BU64" s="1230">
        <f t="shared" si="82"/>
        <v>0</v>
      </c>
      <c r="BV64" s="1230">
        <f t="shared" si="82"/>
        <v>0</v>
      </c>
      <c r="BW64" s="1230">
        <f t="shared" si="82"/>
        <v>0</v>
      </c>
      <c r="BX64" s="1230">
        <f t="shared" si="82"/>
        <v>0</v>
      </c>
      <c r="BY64" s="1230">
        <f t="shared" si="82"/>
        <v>0</v>
      </c>
      <c r="BZ64" s="1230">
        <f t="shared" si="82"/>
        <v>0</v>
      </c>
      <c r="CA64" s="1230">
        <f t="shared" si="82"/>
        <v>0</v>
      </c>
      <c r="CB64" s="1230">
        <f t="shared" si="82"/>
        <v>0</v>
      </c>
      <c r="CC64" s="1230">
        <f t="shared" si="82"/>
        <v>0</v>
      </c>
      <c r="CD64" s="1230">
        <f t="shared" si="82"/>
        <v>0</v>
      </c>
      <c r="CE64" s="1230">
        <f t="shared" si="82"/>
        <v>0</v>
      </c>
      <c r="CF64" s="1186">
        <f t="shared" si="83"/>
        <v>0</v>
      </c>
      <c r="CU64" s="934"/>
      <c r="CV64" s="934"/>
      <c r="CW64" s="920">
        <v>59</v>
      </c>
      <c r="CX64" s="926">
        <v>0.19</v>
      </c>
      <c r="CY64" s="872" t="s">
        <v>496</v>
      </c>
      <c r="CZ64" s="39" t="s">
        <v>672</v>
      </c>
      <c r="DA64" s="920">
        <v>59</v>
      </c>
      <c r="DB64" s="930">
        <f t="shared" si="12"/>
        <v>0.19</v>
      </c>
      <c r="DC64" s="928" t="str">
        <f t="shared" si="13"/>
        <v>Schulungen</v>
      </c>
      <c r="DD64" s="928" t="str">
        <f t="shared" si="14"/>
        <v>Training</v>
      </c>
      <c r="DR64" s="126"/>
    </row>
    <row r="65" spans="1:122" x14ac:dyDescent="0.2">
      <c r="A65" s="1385">
        <v>7.0000000000000007E-2</v>
      </c>
      <c r="B65" s="72">
        <f>IF($D$4&lt;&gt;1, A65,"")</f>
        <v>7.0000000000000007E-2</v>
      </c>
      <c r="C65" s="1432" t="s">
        <v>470</v>
      </c>
      <c r="D65" s="1433"/>
      <c r="E65" s="1433"/>
      <c r="F65" s="1433"/>
      <c r="G65" s="1433"/>
      <c r="H65" s="1433"/>
      <c r="I65" s="1433"/>
      <c r="J65" s="1433"/>
      <c r="K65" s="1433"/>
      <c r="L65" s="1433"/>
      <c r="M65" s="1433"/>
      <c r="N65" s="1433"/>
      <c r="O65" s="1433"/>
      <c r="P65" s="1434">
        <f t="shared" si="78"/>
        <v>0</v>
      </c>
      <c r="Q65" s="1675"/>
      <c r="S65" s="1556"/>
      <c r="T65" s="68"/>
      <c r="U65" s="35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939"/>
      <c r="BA65" s="72"/>
      <c r="BB65" s="1063" t="s">
        <v>470</v>
      </c>
      <c r="BC65" s="1230">
        <f t="shared" si="80"/>
        <v>0</v>
      </c>
      <c r="BD65" s="1230">
        <f t="shared" si="80"/>
        <v>0</v>
      </c>
      <c r="BE65" s="1230">
        <f t="shared" si="80"/>
        <v>0</v>
      </c>
      <c r="BF65" s="1230">
        <f t="shared" si="80"/>
        <v>0</v>
      </c>
      <c r="BG65" s="1230">
        <f t="shared" si="80"/>
        <v>0</v>
      </c>
      <c r="BH65" s="1230">
        <f t="shared" si="80"/>
        <v>0</v>
      </c>
      <c r="BI65" s="1230">
        <f t="shared" si="80"/>
        <v>0</v>
      </c>
      <c r="BJ65" s="1230">
        <f t="shared" si="80"/>
        <v>0</v>
      </c>
      <c r="BK65" s="1230">
        <f t="shared" si="80"/>
        <v>0</v>
      </c>
      <c r="BL65" s="1230">
        <f t="shared" si="80"/>
        <v>0</v>
      </c>
      <c r="BM65" s="1230">
        <f t="shared" si="80"/>
        <v>0</v>
      </c>
      <c r="BN65" s="1230">
        <f t="shared" si="80"/>
        <v>0</v>
      </c>
      <c r="BO65" s="1187">
        <f t="shared" si="81"/>
        <v>0</v>
      </c>
      <c r="BP65" s="68"/>
      <c r="BQ65" s="68"/>
      <c r="BR65" s="72"/>
      <c r="BS65" s="990" t="s">
        <v>470</v>
      </c>
      <c r="BT65" s="1230">
        <f t="shared" si="82"/>
        <v>0</v>
      </c>
      <c r="BU65" s="1230">
        <f t="shared" si="82"/>
        <v>0</v>
      </c>
      <c r="BV65" s="1230">
        <f t="shared" si="82"/>
        <v>0</v>
      </c>
      <c r="BW65" s="1230">
        <f t="shared" si="82"/>
        <v>0</v>
      </c>
      <c r="BX65" s="1230">
        <f t="shared" si="82"/>
        <v>0</v>
      </c>
      <c r="BY65" s="1230">
        <f t="shared" si="82"/>
        <v>0</v>
      </c>
      <c r="BZ65" s="1230">
        <f t="shared" si="82"/>
        <v>0</v>
      </c>
      <c r="CA65" s="1230">
        <f t="shared" si="82"/>
        <v>0</v>
      </c>
      <c r="CB65" s="1230">
        <f t="shared" si="82"/>
        <v>0</v>
      </c>
      <c r="CC65" s="1230">
        <f t="shared" si="82"/>
        <v>0</v>
      </c>
      <c r="CD65" s="1230">
        <f t="shared" si="82"/>
        <v>0</v>
      </c>
      <c r="CE65" s="1230">
        <f t="shared" si="82"/>
        <v>0</v>
      </c>
      <c r="CF65" s="1187">
        <f t="shared" si="83"/>
        <v>0</v>
      </c>
      <c r="CU65" s="934"/>
      <c r="CV65" s="934"/>
      <c r="CW65" s="920">
        <v>60</v>
      </c>
      <c r="CX65" s="878">
        <v>7.0000000000000007E-2</v>
      </c>
      <c r="CY65" s="873" t="s">
        <v>470</v>
      </c>
      <c r="CZ65" s="873" t="s">
        <v>473</v>
      </c>
      <c r="DA65" s="920">
        <v>60</v>
      </c>
      <c r="DB65" s="930">
        <f t="shared" si="12"/>
        <v>7.0000000000000007E-2</v>
      </c>
      <c r="DC65" s="928" t="str">
        <f t="shared" si="13"/>
        <v>Sonstiges</v>
      </c>
      <c r="DD65" s="928" t="str">
        <f t="shared" si="14"/>
        <v>Others</v>
      </c>
      <c r="DR65" s="126"/>
    </row>
    <row r="66" spans="1:122" ht="15" thickBot="1" x14ac:dyDescent="0.25">
      <c r="A66" s="1002"/>
      <c r="B66" s="91"/>
      <c r="C66" s="96" t="str">
        <f t="shared" si="1"/>
        <v>Summe Verschiedenes</v>
      </c>
      <c r="D66" s="1195">
        <f>SUM(D61:D65)</f>
        <v>0</v>
      </c>
      <c r="E66" s="1196">
        <f t="shared" ref="E66:N66" si="84">SUM(E61:E65)</f>
        <v>0</v>
      </c>
      <c r="F66" s="1196">
        <f t="shared" si="84"/>
        <v>0</v>
      </c>
      <c r="G66" s="1196">
        <f t="shared" si="84"/>
        <v>0</v>
      </c>
      <c r="H66" s="1196">
        <f t="shared" si="84"/>
        <v>0</v>
      </c>
      <c r="I66" s="1196">
        <f t="shared" si="84"/>
        <v>0</v>
      </c>
      <c r="J66" s="1196">
        <f t="shared" si="84"/>
        <v>0</v>
      </c>
      <c r="K66" s="1196">
        <f t="shared" si="84"/>
        <v>0</v>
      </c>
      <c r="L66" s="1196">
        <f t="shared" si="84"/>
        <v>0</v>
      </c>
      <c r="M66" s="1196">
        <f t="shared" si="84"/>
        <v>0</v>
      </c>
      <c r="N66" s="1196">
        <f t="shared" si="84"/>
        <v>0</v>
      </c>
      <c r="O66" s="1196">
        <f>SUM(O61:O65)</f>
        <v>0</v>
      </c>
      <c r="P66" s="1197">
        <f t="shared" si="78"/>
        <v>0</v>
      </c>
      <c r="Q66" s="47"/>
      <c r="S66" s="82"/>
      <c r="T66" s="68"/>
      <c r="U66" s="35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939"/>
      <c r="BA66" s="91"/>
      <c r="BB66" s="96" t="s">
        <v>498</v>
      </c>
      <c r="BC66" s="1188">
        <f>SUM(BC61:BC65)</f>
        <v>0</v>
      </c>
      <c r="BD66" s="1188">
        <f t="shared" ref="BD66:BN66" si="85">SUM(BD61:BD65)</f>
        <v>0</v>
      </c>
      <c r="BE66" s="1188">
        <f t="shared" si="85"/>
        <v>0</v>
      </c>
      <c r="BF66" s="1188">
        <f t="shared" si="85"/>
        <v>0</v>
      </c>
      <c r="BG66" s="1188">
        <f t="shared" si="85"/>
        <v>0</v>
      </c>
      <c r="BH66" s="1188">
        <f t="shared" si="85"/>
        <v>0</v>
      </c>
      <c r="BI66" s="1188">
        <f t="shared" si="85"/>
        <v>0</v>
      </c>
      <c r="BJ66" s="1188">
        <f t="shared" si="85"/>
        <v>0</v>
      </c>
      <c r="BK66" s="1188">
        <f t="shared" si="85"/>
        <v>0</v>
      </c>
      <c r="BL66" s="1188">
        <f t="shared" si="85"/>
        <v>0</v>
      </c>
      <c r="BM66" s="1188">
        <f t="shared" si="85"/>
        <v>0</v>
      </c>
      <c r="BN66" s="1188">
        <f t="shared" si="85"/>
        <v>0</v>
      </c>
      <c r="BO66" s="1197">
        <f t="shared" si="81"/>
        <v>0</v>
      </c>
      <c r="BP66" s="68"/>
      <c r="BQ66" s="68"/>
      <c r="BR66" s="91"/>
      <c r="BS66" s="96" t="s">
        <v>498</v>
      </c>
      <c r="BT66" s="1188">
        <f>SUM(BT61:BT65)</f>
        <v>0</v>
      </c>
      <c r="BU66" s="1188">
        <f t="shared" ref="BU66:CE66" si="86">SUM(BU61:BU65)</f>
        <v>0</v>
      </c>
      <c r="BV66" s="1188">
        <f t="shared" si="86"/>
        <v>0</v>
      </c>
      <c r="BW66" s="1188">
        <f t="shared" si="86"/>
        <v>0</v>
      </c>
      <c r="BX66" s="1188">
        <f t="shared" si="86"/>
        <v>0</v>
      </c>
      <c r="BY66" s="1188">
        <f t="shared" si="86"/>
        <v>0</v>
      </c>
      <c r="BZ66" s="1188">
        <f t="shared" si="86"/>
        <v>0</v>
      </c>
      <c r="CA66" s="1188">
        <f t="shared" si="86"/>
        <v>0</v>
      </c>
      <c r="CB66" s="1188">
        <f t="shared" si="86"/>
        <v>0</v>
      </c>
      <c r="CC66" s="1188">
        <f t="shared" si="86"/>
        <v>0</v>
      </c>
      <c r="CD66" s="1188">
        <f t="shared" si="86"/>
        <v>0</v>
      </c>
      <c r="CE66" s="1188">
        <f t="shared" si="86"/>
        <v>0</v>
      </c>
      <c r="CF66" s="1197">
        <f t="shared" si="83"/>
        <v>0</v>
      </c>
      <c r="CU66" s="934"/>
      <c r="CV66" s="934"/>
      <c r="CW66" s="920">
        <v>61</v>
      </c>
      <c r="CX66" s="926"/>
      <c r="CY66" s="96" t="s">
        <v>498</v>
      </c>
      <c r="CZ66" s="874" t="s">
        <v>286</v>
      </c>
      <c r="DA66" s="920">
        <v>61</v>
      </c>
      <c r="DB66" s="930">
        <f t="shared" si="12"/>
        <v>0</v>
      </c>
      <c r="DC66" s="928" t="str">
        <f t="shared" si="13"/>
        <v>Summe Verschiedenes</v>
      </c>
      <c r="DD66" s="928" t="str">
        <f t="shared" si="14"/>
        <v>Sum miscellaneous</v>
      </c>
      <c r="DR66" s="126"/>
    </row>
    <row r="67" spans="1:122" s="618" customFormat="1" ht="16.5" thickTop="1" thickBot="1" x14ac:dyDescent="0.25">
      <c r="A67" s="1018"/>
      <c r="B67" s="98"/>
      <c r="C67" s="99" t="str">
        <f t="shared" si="1"/>
        <v>Summe Betriebskosten I</v>
      </c>
      <c r="D67" s="1198">
        <f>SUM(D6:D66)/2</f>
        <v>0</v>
      </c>
      <c r="E67" s="1198">
        <f t="shared" ref="E67:O67" si="87">SUM(E6:E66)/2</f>
        <v>0</v>
      </c>
      <c r="F67" s="1198">
        <f t="shared" si="87"/>
        <v>0</v>
      </c>
      <c r="G67" s="1198">
        <f t="shared" si="87"/>
        <v>0</v>
      </c>
      <c r="H67" s="1198">
        <f t="shared" si="87"/>
        <v>0</v>
      </c>
      <c r="I67" s="1198">
        <f t="shared" si="87"/>
        <v>0</v>
      </c>
      <c r="J67" s="1198">
        <f t="shared" si="87"/>
        <v>0</v>
      </c>
      <c r="K67" s="1198">
        <f t="shared" si="87"/>
        <v>0</v>
      </c>
      <c r="L67" s="1198">
        <f t="shared" si="87"/>
        <v>0</v>
      </c>
      <c r="M67" s="1198">
        <f t="shared" si="87"/>
        <v>0</v>
      </c>
      <c r="N67" s="1198">
        <f t="shared" si="87"/>
        <v>0</v>
      </c>
      <c r="O67" s="1198">
        <f t="shared" si="87"/>
        <v>0</v>
      </c>
      <c r="P67" s="1199">
        <f>SUM(D67:O67)</f>
        <v>0</v>
      </c>
      <c r="Q67" s="1586" t="str">
        <f>IF(P67&lt;&gt;SUM(P7:P66)/2,"Fehler melden","")</f>
        <v/>
      </c>
      <c r="R67" s="1571"/>
      <c r="S67" s="1019"/>
      <c r="T67" s="1020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1021"/>
      <c r="AI67" s="257"/>
      <c r="AJ67" s="257"/>
      <c r="AK67" s="257"/>
      <c r="AL67" s="257"/>
      <c r="AM67" s="257"/>
      <c r="AN67" s="257"/>
      <c r="AO67" s="257"/>
      <c r="AP67" s="257"/>
      <c r="AQ67" s="257"/>
      <c r="AR67" s="257"/>
      <c r="AS67" s="257"/>
      <c r="AT67" s="257"/>
      <c r="AU67" s="257"/>
      <c r="AV67" s="257"/>
      <c r="AW67" s="257"/>
      <c r="AX67" s="257"/>
      <c r="AY67" s="257"/>
      <c r="AZ67" s="257"/>
      <c r="BA67" s="1229"/>
      <c r="BB67" s="106" t="str">
        <f>"Summe MwSt "&amp;$Q$2*100&amp;"%"</f>
        <v>Summe MwSt 19%</v>
      </c>
      <c r="BC67" s="1202">
        <f>SUM(BC6:BC66)/2</f>
        <v>0</v>
      </c>
      <c r="BD67" s="1202">
        <f t="shared" ref="BD67:BO67" si="88">SUM(BD6:BD66)/2</f>
        <v>0</v>
      </c>
      <c r="BE67" s="1202">
        <f t="shared" si="88"/>
        <v>0</v>
      </c>
      <c r="BF67" s="1202">
        <f t="shared" si="88"/>
        <v>0</v>
      </c>
      <c r="BG67" s="1202">
        <f t="shared" si="88"/>
        <v>0</v>
      </c>
      <c r="BH67" s="1202">
        <f t="shared" si="88"/>
        <v>0</v>
      </c>
      <c r="BI67" s="1202">
        <f t="shared" si="88"/>
        <v>0</v>
      </c>
      <c r="BJ67" s="1202">
        <f t="shared" si="88"/>
        <v>0</v>
      </c>
      <c r="BK67" s="1202">
        <f t="shared" si="88"/>
        <v>0</v>
      </c>
      <c r="BL67" s="1202">
        <f t="shared" si="88"/>
        <v>0</v>
      </c>
      <c r="BM67" s="1202">
        <f t="shared" si="88"/>
        <v>0</v>
      </c>
      <c r="BN67" s="1202">
        <f t="shared" si="88"/>
        <v>0</v>
      </c>
      <c r="BO67" s="1203">
        <f t="shared" si="88"/>
        <v>0</v>
      </c>
      <c r="BP67" s="130"/>
      <c r="BQ67" s="130"/>
      <c r="BR67" s="1229"/>
      <c r="BS67" s="106" t="str">
        <f>"Summe MwSt "&amp;$Q$3*100&amp;"%"</f>
        <v>Summe MwSt 7%</v>
      </c>
      <c r="BT67" s="1202">
        <f>SUM(BT6:BT66)/2</f>
        <v>0</v>
      </c>
      <c r="BU67" s="1202">
        <f t="shared" ref="BU67:CF67" si="89">SUM(BU6:BU66)/2</f>
        <v>0</v>
      </c>
      <c r="BV67" s="1202">
        <f t="shared" si="89"/>
        <v>0</v>
      </c>
      <c r="BW67" s="1202">
        <f t="shared" si="89"/>
        <v>0</v>
      </c>
      <c r="BX67" s="1202">
        <f t="shared" si="89"/>
        <v>0</v>
      </c>
      <c r="BY67" s="1202">
        <f t="shared" si="89"/>
        <v>0</v>
      </c>
      <c r="BZ67" s="1202">
        <f t="shared" si="89"/>
        <v>0</v>
      </c>
      <c r="CA67" s="1202">
        <f t="shared" si="89"/>
        <v>0</v>
      </c>
      <c r="CB67" s="1202">
        <f t="shared" si="89"/>
        <v>0</v>
      </c>
      <c r="CC67" s="1202">
        <f t="shared" si="89"/>
        <v>0</v>
      </c>
      <c r="CD67" s="1202">
        <f t="shared" si="89"/>
        <v>0</v>
      </c>
      <c r="CE67" s="1202">
        <f t="shared" si="89"/>
        <v>0</v>
      </c>
      <c r="CF67" s="1203">
        <f t="shared" si="89"/>
        <v>0</v>
      </c>
      <c r="CG67" s="257"/>
      <c r="CU67" s="1022"/>
      <c r="CV67" s="1022"/>
      <c r="CW67" s="1307"/>
      <c r="CX67" s="1023"/>
      <c r="CY67" s="899" t="s">
        <v>45</v>
      </c>
      <c r="CZ67" s="1024" t="s">
        <v>281</v>
      </c>
      <c r="DA67" s="1025"/>
      <c r="DB67" s="1026"/>
      <c r="DC67" s="1027"/>
      <c r="DD67" s="1027"/>
      <c r="DE67" s="869"/>
      <c r="DF67" s="869"/>
      <c r="DG67" s="869"/>
      <c r="DH67" s="869"/>
      <c r="DI67" s="869"/>
      <c r="DJ67" s="869"/>
      <c r="DK67" s="869"/>
      <c r="DL67" s="869"/>
      <c r="DM67" s="869"/>
      <c r="DN67" s="869"/>
      <c r="DO67" s="869"/>
      <c r="DP67" s="869"/>
      <c r="DQ67" s="869"/>
      <c r="DR67" s="256"/>
    </row>
    <row r="68" spans="1:122" ht="15" thickBot="1" x14ac:dyDescent="0.25">
      <c r="A68" s="145"/>
      <c r="B68" s="62"/>
      <c r="C68" s="102" t="str">
        <f t="shared" si="1"/>
        <v>Abschreibungen (aus "3 Anschaffungen|Investment")</v>
      </c>
      <c r="D68" s="1200">
        <f>'3 Anschaffungen|Investment'!E32</f>
        <v>0</v>
      </c>
      <c r="E68" s="1200">
        <f>'3 Anschaffungen|Investment'!F32</f>
        <v>0</v>
      </c>
      <c r="F68" s="1200">
        <f>'3 Anschaffungen|Investment'!G32</f>
        <v>0</v>
      </c>
      <c r="G68" s="1200">
        <f>'3 Anschaffungen|Investment'!H32</f>
        <v>0</v>
      </c>
      <c r="H68" s="1200">
        <f>'3 Anschaffungen|Investment'!I32</f>
        <v>0</v>
      </c>
      <c r="I68" s="1200">
        <f>'3 Anschaffungen|Investment'!J32</f>
        <v>0</v>
      </c>
      <c r="J68" s="1200">
        <f>'3 Anschaffungen|Investment'!K32</f>
        <v>0</v>
      </c>
      <c r="K68" s="1200">
        <f>'3 Anschaffungen|Investment'!L32</f>
        <v>0</v>
      </c>
      <c r="L68" s="1200">
        <f>'3 Anschaffungen|Investment'!M32</f>
        <v>0</v>
      </c>
      <c r="M68" s="1200">
        <f>'3 Anschaffungen|Investment'!N32</f>
        <v>0</v>
      </c>
      <c r="N68" s="1200">
        <f>'3 Anschaffungen|Investment'!O32</f>
        <v>0</v>
      </c>
      <c r="O68" s="1200">
        <f>'3 Anschaffungen|Investment'!P32</f>
        <v>0</v>
      </c>
      <c r="P68" s="1201">
        <f>SUM(D68:O68)</f>
        <v>0</v>
      </c>
      <c r="Q68" s="47"/>
      <c r="S68" s="89"/>
      <c r="T68" s="101"/>
      <c r="U68" s="35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939"/>
      <c r="CU68" s="934"/>
      <c r="CV68" s="934"/>
      <c r="CW68" s="920"/>
      <c r="CX68" s="924"/>
      <c r="CY68" s="897" t="s">
        <v>702</v>
      </c>
      <c r="CZ68" s="874" t="s">
        <v>701</v>
      </c>
      <c r="DA68" s="922"/>
      <c r="DB68" s="147"/>
      <c r="DC68" s="570"/>
      <c r="DD68" s="570"/>
      <c r="DR68" s="126"/>
    </row>
    <row r="69" spans="1:122" s="60" customFormat="1" ht="16.5" thickTop="1" thickBot="1" x14ac:dyDescent="0.25">
      <c r="A69" s="50"/>
      <c r="B69" s="105"/>
      <c r="C69" s="106" t="str">
        <f>IF($C$2="Deutsch",CY69,IF($C$2="English",CZ69,DB69))</f>
        <v>Summe Betriebskosten II</v>
      </c>
      <c r="D69" s="1202">
        <f>SUM(D67:D68)</f>
        <v>0</v>
      </c>
      <c r="E69" s="1202">
        <f t="shared" ref="E69:P69" si="90">SUM(E67:E68)</f>
        <v>0</v>
      </c>
      <c r="F69" s="1202">
        <f>SUM(F67:F68)</f>
        <v>0</v>
      </c>
      <c r="G69" s="1202">
        <f t="shared" si="90"/>
        <v>0</v>
      </c>
      <c r="H69" s="1202">
        <f t="shared" si="90"/>
        <v>0</v>
      </c>
      <c r="I69" s="1202">
        <f t="shared" si="90"/>
        <v>0</v>
      </c>
      <c r="J69" s="1202">
        <f t="shared" si="90"/>
        <v>0</v>
      </c>
      <c r="K69" s="1202">
        <f t="shared" si="90"/>
        <v>0</v>
      </c>
      <c r="L69" s="1202">
        <f t="shared" si="90"/>
        <v>0</v>
      </c>
      <c r="M69" s="1202">
        <f t="shared" si="90"/>
        <v>0</v>
      </c>
      <c r="N69" s="1202">
        <f t="shared" si="90"/>
        <v>0</v>
      </c>
      <c r="O69" s="1202">
        <f t="shared" si="90"/>
        <v>0</v>
      </c>
      <c r="P69" s="1203">
        <f t="shared" si="90"/>
        <v>0</v>
      </c>
      <c r="Q69" s="47"/>
      <c r="R69" s="1097"/>
      <c r="S69" s="89"/>
      <c r="T69" s="101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939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U69" s="934"/>
      <c r="CV69" s="934"/>
      <c r="CW69" s="417"/>
      <c r="CX69" s="925"/>
      <c r="CY69" s="893" t="str">
        <f>"Summe Betriebskosten II"</f>
        <v>Summe Betriebskosten II</v>
      </c>
      <c r="CZ69" s="874" t="s">
        <v>463</v>
      </c>
      <c r="DA69" s="922"/>
      <c r="DB69" s="136"/>
      <c r="DC69" s="570"/>
      <c r="DD69" s="570"/>
      <c r="DE69" s="625"/>
      <c r="DF69" s="625"/>
      <c r="DG69" s="625"/>
      <c r="DH69" s="625"/>
      <c r="DI69" s="625"/>
      <c r="DJ69" s="625"/>
      <c r="DK69" s="625"/>
      <c r="DL69" s="625"/>
      <c r="DM69" s="625"/>
      <c r="DN69" s="625"/>
      <c r="DO69" s="625"/>
      <c r="DP69" s="625"/>
      <c r="DQ69" s="625"/>
      <c r="DR69" s="287"/>
    </row>
    <row r="70" spans="1:122" x14ac:dyDescent="0.2">
      <c r="A70" s="32"/>
      <c r="B70" s="33"/>
      <c r="C70" s="33" t="str">
        <f>IF($C$2="Deutsch",CY70,IF($C$2="English",CZ70,DB70))</f>
        <v>*) wird aus Tabelle "7 Finanzierung|Financing" übernommen (auf ganze Euro gerundet!)</v>
      </c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6"/>
      <c r="Q70" s="47"/>
      <c r="S70" s="89"/>
      <c r="U70" s="35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939"/>
      <c r="CW70" s="920"/>
      <c r="CX70" s="924"/>
      <c r="CY70" s="898" t="s">
        <v>675</v>
      </c>
      <c r="CZ70" s="875" t="s">
        <v>674</v>
      </c>
      <c r="DA70" s="833"/>
      <c r="DB70" s="147"/>
      <c r="DC70" s="143"/>
      <c r="DD70" s="143"/>
      <c r="DR70" s="126"/>
    </row>
    <row r="71" spans="1:122" x14ac:dyDescent="0.2">
      <c r="A71" s="32"/>
      <c r="B71" s="33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6"/>
      <c r="Q71" s="47"/>
      <c r="S71" s="109"/>
      <c r="U71" s="57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CU71" s="40"/>
      <c r="CV71" s="40"/>
      <c r="CW71" s="920"/>
      <c r="CX71" s="924"/>
      <c r="CY71" s="875"/>
      <c r="CZ71" s="875"/>
      <c r="DA71" s="833"/>
      <c r="DB71" s="147"/>
      <c r="DC71" s="146"/>
      <c r="DD71" s="146"/>
      <c r="DR71" s="126"/>
    </row>
    <row r="72" spans="1:122" s="60" customFormat="1" ht="18.75" thickBot="1" x14ac:dyDescent="0.25">
      <c r="A72" s="50"/>
      <c r="B72" s="110"/>
      <c r="C72" s="111" t="str">
        <f>IF($C$2="English",CZ72,CY72)</f>
        <v>4a-1  Anhang: Ausweis der MwSt in EURO aus der Differenz zwischen den Tabellen 4a-1 und 4c-1</v>
      </c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01"/>
      <c r="Q72" s="47"/>
      <c r="R72" s="1097"/>
      <c r="S72" s="113"/>
      <c r="T72" s="101"/>
      <c r="U72" s="57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U72" s="40"/>
      <c r="CV72" s="40"/>
      <c r="CW72" s="417"/>
      <c r="CX72" s="925"/>
      <c r="CY72" s="899" t="s">
        <v>327</v>
      </c>
      <c r="CZ72" s="40" t="s">
        <v>673</v>
      </c>
      <c r="DA72" s="860"/>
      <c r="DB72" s="136"/>
      <c r="DC72" s="146"/>
      <c r="DD72" s="146"/>
      <c r="DE72" s="625"/>
      <c r="DF72" s="625"/>
      <c r="DG72" s="625"/>
      <c r="DH72" s="625"/>
      <c r="DI72" s="625"/>
      <c r="DJ72" s="625"/>
      <c r="DK72" s="625"/>
      <c r="DL72" s="625"/>
      <c r="DM72" s="625"/>
      <c r="DN72" s="625"/>
      <c r="DO72" s="625"/>
      <c r="DP72" s="625"/>
      <c r="DQ72" s="625"/>
      <c r="DR72" s="287"/>
    </row>
    <row r="73" spans="1:122" s="60" customFormat="1" x14ac:dyDescent="0.2">
      <c r="A73" s="50"/>
      <c r="B73" s="110"/>
      <c r="C73" s="115" t="str">
        <f>IF($C$2="Deutsch",CY74,IF($C$2="English",CZ74,DB74))&amp; "  "  &amp; $Q$2*100 &amp;"%"</f>
        <v>Summe der angefallenen MwSt  19%</v>
      </c>
      <c r="D73" s="116">
        <f t="shared" ref="D73:O73" si="91">BC67</f>
        <v>0</v>
      </c>
      <c r="E73" s="116">
        <f t="shared" si="91"/>
        <v>0</v>
      </c>
      <c r="F73" s="116">
        <f t="shared" si="91"/>
        <v>0</v>
      </c>
      <c r="G73" s="116">
        <f t="shared" si="91"/>
        <v>0</v>
      </c>
      <c r="H73" s="116">
        <f t="shared" si="91"/>
        <v>0</v>
      </c>
      <c r="I73" s="116">
        <f t="shared" si="91"/>
        <v>0</v>
      </c>
      <c r="J73" s="116">
        <f t="shared" si="91"/>
        <v>0</v>
      </c>
      <c r="K73" s="116">
        <f t="shared" si="91"/>
        <v>0</v>
      </c>
      <c r="L73" s="116">
        <f t="shared" si="91"/>
        <v>0</v>
      </c>
      <c r="M73" s="116">
        <f t="shared" si="91"/>
        <v>0</v>
      </c>
      <c r="N73" s="116">
        <f t="shared" si="91"/>
        <v>0</v>
      </c>
      <c r="O73" s="116">
        <f t="shared" si="91"/>
        <v>0</v>
      </c>
      <c r="P73" s="117">
        <f>SUM(D73:O73)</f>
        <v>0</v>
      </c>
      <c r="Q73" s="47"/>
      <c r="R73" s="1097"/>
      <c r="S73" s="882"/>
      <c r="T73" s="57"/>
      <c r="U73" s="57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U73" s="40"/>
      <c r="CV73" s="40"/>
      <c r="CW73" s="417"/>
      <c r="CX73" s="925"/>
      <c r="CY73" s="900" t="s">
        <v>255</v>
      </c>
      <c r="CZ73" s="40" t="s">
        <v>307</v>
      </c>
      <c r="DA73" s="860"/>
      <c r="DB73" s="136"/>
      <c r="DC73" s="146"/>
      <c r="DD73" s="146"/>
      <c r="DE73" s="625"/>
      <c r="DF73" s="625"/>
      <c r="DG73" s="625"/>
      <c r="DH73" s="625"/>
      <c r="DI73" s="625"/>
      <c r="DJ73" s="625"/>
      <c r="DK73" s="625"/>
      <c r="DL73" s="625"/>
      <c r="DM73" s="625"/>
      <c r="DN73" s="625"/>
      <c r="DO73" s="625"/>
      <c r="DP73" s="625"/>
      <c r="DQ73" s="625"/>
      <c r="DR73" s="287"/>
    </row>
    <row r="74" spans="1:122" s="60" customFormat="1" ht="15" thickBot="1" x14ac:dyDescent="0.25">
      <c r="A74" s="50"/>
      <c r="B74" s="110"/>
      <c r="C74" s="119" t="str">
        <f>IF($C$2="Deutsch",CY74,IF($C$2="English",CZ74,DB74))&amp; "  "  &amp; $Q$3*100 &amp;"%"</f>
        <v>Summe der angefallenen MwSt  7%</v>
      </c>
      <c r="D74" s="120">
        <f t="shared" ref="D74:O74" si="92">BT67</f>
        <v>0</v>
      </c>
      <c r="E74" s="120">
        <f t="shared" si="92"/>
        <v>0</v>
      </c>
      <c r="F74" s="120">
        <f t="shared" si="92"/>
        <v>0</v>
      </c>
      <c r="G74" s="120">
        <f t="shared" si="92"/>
        <v>0</v>
      </c>
      <c r="H74" s="120">
        <f t="shared" si="92"/>
        <v>0</v>
      </c>
      <c r="I74" s="120">
        <f t="shared" si="92"/>
        <v>0</v>
      </c>
      <c r="J74" s="120">
        <f t="shared" si="92"/>
        <v>0</v>
      </c>
      <c r="K74" s="120">
        <f t="shared" si="92"/>
        <v>0</v>
      </c>
      <c r="L74" s="120">
        <f t="shared" si="92"/>
        <v>0</v>
      </c>
      <c r="M74" s="120">
        <f t="shared" si="92"/>
        <v>0</v>
      </c>
      <c r="N74" s="120">
        <f t="shared" si="92"/>
        <v>0</v>
      </c>
      <c r="O74" s="120">
        <f t="shared" si="92"/>
        <v>0</v>
      </c>
      <c r="P74" s="121">
        <f>SUM(D74:O74)</f>
        <v>0</v>
      </c>
      <c r="Q74" s="47"/>
      <c r="R74" s="1097"/>
      <c r="S74" s="118"/>
      <c r="T74" s="57"/>
      <c r="U74" s="57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U74" s="40"/>
      <c r="CV74" s="40"/>
      <c r="CW74" s="417"/>
      <c r="CX74" s="925"/>
      <c r="CY74" s="900" t="s">
        <v>255</v>
      </c>
      <c r="CZ74" s="40" t="s">
        <v>307</v>
      </c>
      <c r="DA74" s="860"/>
      <c r="DB74" s="136"/>
      <c r="DC74" s="146"/>
      <c r="DD74" s="146"/>
      <c r="DE74" s="625"/>
      <c r="DF74" s="625"/>
      <c r="DG74" s="625"/>
      <c r="DH74" s="625"/>
      <c r="DI74" s="625"/>
      <c r="DJ74" s="625"/>
      <c r="DK74" s="625"/>
      <c r="DL74" s="625"/>
      <c r="DM74" s="625"/>
      <c r="DN74" s="625"/>
      <c r="DO74" s="625"/>
      <c r="DP74" s="625"/>
      <c r="DQ74" s="625"/>
      <c r="DR74" s="287"/>
    </row>
    <row r="75" spans="1:122" s="60" customFormat="1" ht="15.75" thickTop="1" thickBot="1" x14ac:dyDescent="0.25">
      <c r="A75" s="50"/>
      <c r="B75" s="110"/>
      <c r="C75" s="122" t="str">
        <f>IF($C$2="Deutsch",CY75,IF($C$2="English",CZ75,DB75))</f>
        <v>Gesamtsumme angefallener MwSt</v>
      </c>
      <c r="D75" s="123">
        <f>D74+D73</f>
        <v>0</v>
      </c>
      <c r="E75" s="123">
        <f t="shared" ref="E75:O75" si="93">E74+E73</f>
        <v>0</v>
      </c>
      <c r="F75" s="123">
        <f t="shared" si="93"/>
        <v>0</v>
      </c>
      <c r="G75" s="123">
        <f t="shared" si="93"/>
        <v>0</v>
      </c>
      <c r="H75" s="123">
        <f t="shared" si="93"/>
        <v>0</v>
      </c>
      <c r="I75" s="123">
        <f t="shared" si="93"/>
        <v>0</v>
      </c>
      <c r="J75" s="123">
        <f t="shared" si="93"/>
        <v>0</v>
      </c>
      <c r="K75" s="123">
        <f t="shared" si="93"/>
        <v>0</v>
      </c>
      <c r="L75" s="123">
        <f t="shared" si="93"/>
        <v>0</v>
      </c>
      <c r="M75" s="123">
        <f t="shared" si="93"/>
        <v>0</v>
      </c>
      <c r="N75" s="123">
        <f t="shared" si="93"/>
        <v>0</v>
      </c>
      <c r="O75" s="123">
        <f t="shared" si="93"/>
        <v>0</v>
      </c>
      <c r="P75" s="124">
        <f>SUM(D75:O75)</f>
        <v>0</v>
      </c>
      <c r="Q75" s="47"/>
      <c r="R75" s="1097"/>
      <c r="S75" s="118"/>
      <c r="T75" s="57"/>
      <c r="U75" s="57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U75" s="40"/>
      <c r="CV75" s="40"/>
      <c r="CW75" s="417"/>
      <c r="CX75" s="925"/>
      <c r="CY75" s="901" t="s">
        <v>141</v>
      </c>
      <c r="CZ75" s="40" t="s">
        <v>308</v>
      </c>
      <c r="DA75" s="860"/>
      <c r="DB75" s="136"/>
      <c r="DC75" s="146"/>
      <c r="DD75" s="146"/>
      <c r="DE75" s="625"/>
      <c r="DF75" s="625"/>
      <c r="DG75" s="625"/>
      <c r="DH75" s="625"/>
      <c r="DI75" s="625"/>
      <c r="DJ75" s="625"/>
      <c r="DK75" s="625"/>
      <c r="DL75" s="625"/>
      <c r="DM75" s="625"/>
      <c r="DN75" s="625"/>
      <c r="DO75" s="625"/>
      <c r="DP75" s="625"/>
      <c r="DQ75" s="625"/>
      <c r="DR75" s="287"/>
    </row>
    <row r="76" spans="1:122" s="35" customFormat="1" x14ac:dyDescent="0.2">
      <c r="A76" s="34"/>
      <c r="B76" s="57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587"/>
      <c r="R76" s="1097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CU76" s="902"/>
      <c r="CV76" s="902"/>
      <c r="CW76" s="902"/>
      <c r="CX76" s="858"/>
      <c r="CY76" s="859"/>
      <c r="CZ76" s="859"/>
      <c r="DA76" s="571"/>
      <c r="DB76" s="571"/>
      <c r="DC76" s="571"/>
      <c r="DD76" s="571"/>
      <c r="DE76" s="858"/>
      <c r="DF76" s="858"/>
      <c r="DG76" s="858"/>
      <c r="DH76" s="858"/>
      <c r="DI76" s="858"/>
      <c r="DJ76" s="858"/>
      <c r="DK76" s="858"/>
      <c r="DL76" s="858"/>
      <c r="DM76" s="152"/>
      <c r="DN76" s="152"/>
      <c r="DO76" s="152"/>
      <c r="DP76" s="152"/>
      <c r="DQ76" s="152"/>
    </row>
    <row r="77" spans="1:122" s="42" customFormat="1" ht="24.75" x14ac:dyDescent="0.2">
      <c r="A77" s="145"/>
      <c r="B77" s="41" t="str">
        <f ca="1">IF($C$2="English",CZ77,CY77)</f>
        <v xml:space="preserve">4a-2 Betriebskosten für das Jahr 2020 in EUR (ohne MwSt) 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Q77" s="611"/>
      <c r="R77" s="1566"/>
      <c r="T77" s="37" t="s">
        <v>317</v>
      </c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CU77" s="40"/>
      <c r="CV77" s="40"/>
      <c r="CW77" s="920" t="s">
        <v>521</v>
      </c>
      <c r="CX77" s="924"/>
      <c r="CY77" s="894" t="str">
        <f ca="1">"4a-2 Betriebskosten für das Jahr " &amp;'1 Pers.Ausgaben|Pers Expenses'!$C$4+1&amp;" in EUR" &amp; " (" &amp; IF(OR($D$4=1,$D$4=2),"mit MwSt","ohne MwSt")&amp; ") "</f>
        <v xml:space="preserve">4a-2 Betriebskosten für das Jahr 2020 in EUR (ohne MwSt) </v>
      </c>
      <c r="CZ77" s="895" t="str">
        <f ca="1">"4a-2 Operating Expense for Year " &amp;'1 Pers.Ausgaben|Pers Expenses'!$C$4+1&amp;" in EUR" &amp; " (" &amp;IF(OR($D$4=1,$D$4=2),"incl. VAT","w/o VAT")&amp; ") "</f>
        <v xml:space="preserve">4a-2 Operating Expense for Year 2020 in EUR (w/o VAT) </v>
      </c>
      <c r="DA77" s="921" t="s">
        <v>522</v>
      </c>
      <c r="DB77" s="923"/>
      <c r="DC77" s="146" t="s">
        <v>73</v>
      </c>
      <c r="DD77" s="146" t="s">
        <v>74</v>
      </c>
      <c r="DE77" s="349" t="s">
        <v>313</v>
      </c>
      <c r="DF77" s="349" t="s">
        <v>76</v>
      </c>
      <c r="DG77" s="349" t="s">
        <v>310</v>
      </c>
      <c r="DH77" s="349" t="s">
        <v>311</v>
      </c>
      <c r="DI77" s="349" t="s">
        <v>312</v>
      </c>
      <c r="DJ77" s="349" t="s">
        <v>79</v>
      </c>
      <c r="DK77" s="349" t="s">
        <v>314</v>
      </c>
      <c r="DL77" s="349" t="s">
        <v>315</v>
      </c>
      <c r="DM77" s="349" t="s">
        <v>82</v>
      </c>
      <c r="DN77" s="349" t="s">
        <v>316</v>
      </c>
      <c r="DO77" s="349" t="str">
        <f>"Year "&amp;'1 Pers.Ausgaben|Pers Expenses'!C81</f>
        <v>Year Zahlungsverpflichtungen</v>
      </c>
      <c r="DP77" s="856"/>
      <c r="DQ77" s="152"/>
      <c r="DR77" s="34"/>
    </row>
    <row r="78" spans="1:122" s="47" customFormat="1" ht="15.75" thickBot="1" x14ac:dyDescent="0.25">
      <c r="A78" s="145"/>
      <c r="B78" s="46" t="str">
        <f>IF($C$2="English",CZ78,CY78)</f>
        <v xml:space="preserve">   ┌   MwSt-Satz der jeweiligen Kostenart</v>
      </c>
      <c r="D78" s="47">
        <f>'Deckblatt Gruender|Data Founder'!M78</f>
        <v>0</v>
      </c>
      <c r="Q78" s="879"/>
      <c r="R78" s="1567"/>
      <c r="T78" s="48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CU78" s="923"/>
      <c r="CV78" s="923"/>
      <c r="CW78" s="920"/>
      <c r="CX78" s="924"/>
      <c r="CY78" s="896" t="str">
        <f>IF($D$4=-1,"","   ┌   MwSt-Satz der jeweiligen Kostenart")</f>
        <v xml:space="preserve">   ┌   MwSt-Satz der jeweiligen Kostenart</v>
      </c>
      <c r="CZ78" s="875" t="str">
        <f>IF($D$4=-1,"","   ┌   VAT for Cost Type")</f>
        <v xml:space="preserve">   ┌   VAT for Cost Type</v>
      </c>
      <c r="DA78" s="833"/>
      <c r="DB78" s="923"/>
      <c r="DC78" s="45"/>
      <c r="DD78" s="45"/>
      <c r="DE78" s="989"/>
      <c r="DF78" s="989"/>
      <c r="DG78" s="989"/>
      <c r="DH78" s="989"/>
      <c r="DI78" s="989"/>
      <c r="DJ78" s="989"/>
      <c r="DK78" s="989"/>
      <c r="DL78" s="989"/>
      <c r="DM78" s="989"/>
      <c r="DN78" s="989"/>
      <c r="DO78" s="989"/>
      <c r="DP78" s="989"/>
      <c r="DQ78" s="151"/>
    </row>
    <row r="79" spans="1:122" s="60" customFormat="1" ht="15" thickBot="1" x14ac:dyDescent="0.25">
      <c r="A79" s="1003"/>
      <c r="B79" s="51" t="s">
        <v>309</v>
      </c>
      <c r="C79" s="52" t="str">
        <f t="shared" ref="C79" si="94">IF($C$2="Deutsch",CY79,IF($C$2="English",CZ79,DB79))</f>
        <v>Kostenart</v>
      </c>
      <c r="D79" s="53" t="str">
        <f>D5</f>
        <v>Jan.</v>
      </c>
      <c r="E79" s="53" t="str">
        <f t="shared" ref="E79:O79" si="95">E5</f>
        <v>Febr.</v>
      </c>
      <c r="F79" s="53" t="str">
        <f t="shared" si="95"/>
        <v>März</v>
      </c>
      <c r="G79" s="53" t="str">
        <f t="shared" si="95"/>
        <v>April</v>
      </c>
      <c r="H79" s="53" t="str">
        <f t="shared" si="95"/>
        <v>Mai</v>
      </c>
      <c r="I79" s="53" t="str">
        <f t="shared" si="95"/>
        <v>Juni</v>
      </c>
      <c r="J79" s="53" t="str">
        <f t="shared" si="95"/>
        <v>Juli</v>
      </c>
      <c r="K79" s="53" t="str">
        <f t="shared" si="95"/>
        <v>Aug.</v>
      </c>
      <c r="L79" s="53" t="str">
        <f t="shared" si="95"/>
        <v>Sept.</v>
      </c>
      <c r="M79" s="53" t="str">
        <f t="shared" si="95"/>
        <v>Okt.</v>
      </c>
      <c r="N79" s="53" t="str">
        <f t="shared" si="95"/>
        <v>Nov.</v>
      </c>
      <c r="O79" s="53" t="str">
        <f t="shared" si="95"/>
        <v>Dez.</v>
      </c>
      <c r="P79" s="54" t="str">
        <f ca="1">IF($C$2="English",DV3,DV2)</f>
        <v>Jahr 2020</v>
      </c>
      <c r="Q79" s="47"/>
      <c r="R79" s="1097"/>
      <c r="S79" s="47"/>
      <c r="T79" s="57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1" t="s">
        <v>309</v>
      </c>
      <c r="BB79" s="52" t="str">
        <f>"MwSt "&amp;$Q$2*100&amp;"%"</f>
        <v>MwSt 19%</v>
      </c>
      <c r="BC79" s="53" t="s">
        <v>1</v>
      </c>
      <c r="BD79" s="53" t="s">
        <v>2</v>
      </c>
      <c r="BE79" s="53" t="s">
        <v>3</v>
      </c>
      <c r="BF79" s="53" t="s">
        <v>4</v>
      </c>
      <c r="BG79" s="53" t="s">
        <v>5</v>
      </c>
      <c r="BH79" s="53" t="s">
        <v>6</v>
      </c>
      <c r="BI79" s="53" t="s">
        <v>7</v>
      </c>
      <c r="BJ79" s="53" t="s">
        <v>8</v>
      </c>
      <c r="BK79" s="53" t="s">
        <v>9</v>
      </c>
      <c r="BL79" s="53" t="s">
        <v>10</v>
      </c>
      <c r="BM79" s="53" t="s">
        <v>11</v>
      </c>
      <c r="BN79" s="53" t="s">
        <v>12</v>
      </c>
      <c r="BO79" s="54">
        <f>IF($C$2="English",FN77,FN76)</f>
        <v>0</v>
      </c>
      <c r="BP79" s="130"/>
      <c r="BQ79" s="130"/>
      <c r="BR79" s="51" t="s">
        <v>309</v>
      </c>
      <c r="BS79" s="52" t="str">
        <f>"MwSt "&amp;$Q$3*100&amp;"%"</f>
        <v>MwSt 7%</v>
      </c>
      <c r="BT79" s="53" t="s">
        <v>1</v>
      </c>
      <c r="BU79" s="53" t="s">
        <v>2</v>
      </c>
      <c r="BV79" s="53" t="s">
        <v>3</v>
      </c>
      <c r="BW79" s="53" t="s">
        <v>4</v>
      </c>
      <c r="BX79" s="53" t="s">
        <v>5</v>
      </c>
      <c r="BY79" s="53" t="s">
        <v>6</v>
      </c>
      <c r="BZ79" s="53" t="s">
        <v>7</v>
      </c>
      <c r="CA79" s="53" t="s">
        <v>8</v>
      </c>
      <c r="CB79" s="53" t="s">
        <v>9</v>
      </c>
      <c r="CC79" s="53" t="s">
        <v>10</v>
      </c>
      <c r="CD79" s="53" t="s">
        <v>11</v>
      </c>
      <c r="CE79" s="53" t="s">
        <v>12</v>
      </c>
      <c r="CF79" s="54">
        <f>IF($C$2="English",GE77,GE76)</f>
        <v>0</v>
      </c>
      <c r="CG79" s="57"/>
      <c r="CU79" s="40" t="s">
        <v>325</v>
      </c>
      <c r="CV79" s="40" t="s">
        <v>525</v>
      </c>
      <c r="CW79" s="417"/>
      <c r="CX79" s="925"/>
      <c r="CY79" s="61" t="s">
        <v>0</v>
      </c>
      <c r="CZ79" s="40" t="s">
        <v>304</v>
      </c>
      <c r="DA79" s="860"/>
      <c r="DB79" s="137"/>
      <c r="DC79" s="146" t="s">
        <v>325</v>
      </c>
      <c r="DD79" s="146" t="s">
        <v>326</v>
      </c>
      <c r="DE79" s="625"/>
      <c r="DF79" s="625"/>
      <c r="DG79" s="625"/>
      <c r="DH79" s="625"/>
      <c r="DI79" s="625"/>
      <c r="DJ79" s="625"/>
      <c r="DK79" s="625"/>
      <c r="DL79" s="625"/>
      <c r="DM79" s="625"/>
      <c r="DN79" s="625"/>
      <c r="DO79" s="625"/>
      <c r="DP79" s="625"/>
      <c r="DQ79" s="625"/>
      <c r="DR79" s="287"/>
    </row>
    <row r="80" spans="1:122" x14ac:dyDescent="0.2">
      <c r="A80" s="145"/>
      <c r="B80" s="140">
        <v>1</v>
      </c>
      <c r="C80" s="63" t="str">
        <f>C6</f>
        <v>Bürokosten</v>
      </c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5"/>
      <c r="Q80" s="47"/>
      <c r="R80" s="1568"/>
      <c r="S80" s="47"/>
      <c r="T80" s="68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BA80" s="140">
        <v>1</v>
      </c>
      <c r="BB80" s="63" t="s">
        <v>46</v>
      </c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5"/>
      <c r="BP80" s="68"/>
      <c r="BQ80" s="68"/>
      <c r="BR80" s="140">
        <v>1</v>
      </c>
      <c r="BS80" s="63" t="s">
        <v>46</v>
      </c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5"/>
      <c r="CU80" s="934" t="s">
        <v>177</v>
      </c>
      <c r="CV80" s="934" t="s">
        <v>322</v>
      </c>
      <c r="CW80" s="920">
        <v>1</v>
      </c>
      <c r="CX80" s="924"/>
      <c r="CY80" s="876" t="s">
        <v>46</v>
      </c>
      <c r="CZ80" s="874" t="s">
        <v>260</v>
      </c>
      <c r="DA80" s="920">
        <v>1</v>
      </c>
      <c r="DB80" s="930">
        <f>VLOOKUP(DA80,$CW$6:$CZ$66,2,FALSE)</f>
        <v>0</v>
      </c>
      <c r="DC80" s="928" t="str">
        <f>VLOOKUP(DA80,$CW$6:$CZ$66,3,FALSE)</f>
        <v>Bürokosten</v>
      </c>
      <c r="DD80" s="928" t="str">
        <f>VLOOKUP(DA80,$CW$6:$CZ$66,4,FALSE)</f>
        <v>Office expences</v>
      </c>
      <c r="DR80" s="126"/>
    </row>
    <row r="81" spans="1:122" x14ac:dyDescent="0.2">
      <c r="A81" s="1002">
        <f t="shared" ref="A81:A86" si="96">A7</f>
        <v>0.19</v>
      </c>
      <c r="B81" s="72">
        <f t="shared" ref="B81:B86" si="97">IF($D$4&lt;&gt;1, A81,"")</f>
        <v>0.19</v>
      </c>
      <c r="C81" s="1429" t="str">
        <f>C7</f>
        <v>Raummiete</v>
      </c>
      <c r="D81" s="1430"/>
      <c r="E81" s="1430"/>
      <c r="F81" s="1430"/>
      <c r="G81" s="1430"/>
      <c r="H81" s="1430"/>
      <c r="I81" s="1430"/>
      <c r="J81" s="1430"/>
      <c r="K81" s="1430"/>
      <c r="L81" s="1430"/>
      <c r="M81" s="1430"/>
      <c r="N81" s="1430"/>
      <c r="O81" s="1430"/>
      <c r="P81" s="1431">
        <f t="shared" ref="P81:P86" si="98">SUM(D81:O81)</f>
        <v>0</v>
      </c>
      <c r="Q81" s="1675" t="str">
        <f>IF($C$2="english",$CV$16,$CU$16)</f>
        <v>Verschieben von Zellen
führt zu Bezugsfehlern!
Mit (Str+Z) oder
(Undo-Symbol) rückgängig machen</v>
      </c>
      <c r="R81" s="1569"/>
      <c r="S81" s="1556"/>
      <c r="T81" s="68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BA81" s="72">
        <v>0.19</v>
      </c>
      <c r="BB81" s="73" t="s">
        <v>467</v>
      </c>
      <c r="BC81" s="1230">
        <f t="shared" ref="BC81:BN86" si="99">IF($A81=$Q$2,D81*IF(OR($D$4=0,$D$4=3),$A81,$A81/(1+$A81)),0)</f>
        <v>0</v>
      </c>
      <c r="BD81" s="1230">
        <f t="shared" si="99"/>
        <v>0</v>
      </c>
      <c r="BE81" s="1230">
        <f t="shared" si="99"/>
        <v>0</v>
      </c>
      <c r="BF81" s="1230">
        <f t="shared" si="99"/>
        <v>0</v>
      </c>
      <c r="BG81" s="1230">
        <f t="shared" si="99"/>
        <v>0</v>
      </c>
      <c r="BH81" s="1230">
        <f t="shared" si="99"/>
        <v>0</v>
      </c>
      <c r="BI81" s="1230">
        <f t="shared" si="99"/>
        <v>0</v>
      </c>
      <c r="BJ81" s="1230">
        <f t="shared" si="99"/>
        <v>0</v>
      </c>
      <c r="BK81" s="1230">
        <f t="shared" si="99"/>
        <v>0</v>
      </c>
      <c r="BL81" s="1230">
        <f t="shared" si="99"/>
        <v>0</v>
      </c>
      <c r="BM81" s="1230">
        <f t="shared" si="99"/>
        <v>0</v>
      </c>
      <c r="BN81" s="1230">
        <f t="shared" si="99"/>
        <v>0</v>
      </c>
      <c r="BO81" s="1186">
        <f t="shared" ref="BO81:BO86" si="100">SUM(BC81:BN81)</f>
        <v>0</v>
      </c>
      <c r="BP81" s="68"/>
      <c r="BQ81" s="68"/>
      <c r="BR81" s="72">
        <v>0.19</v>
      </c>
      <c r="BS81" s="73" t="s">
        <v>467</v>
      </c>
      <c r="BT81" s="1230">
        <f t="shared" ref="BT81:CE86" si="101">IF($A81=$Q$3,D81*IF(OR($D$4=0,$D$4=3),$A81,$A81/(1+$A81)),0)</f>
        <v>0</v>
      </c>
      <c r="BU81" s="1230">
        <f t="shared" si="101"/>
        <v>0</v>
      </c>
      <c r="BV81" s="1230">
        <f t="shared" si="101"/>
        <v>0</v>
      </c>
      <c r="BW81" s="1230">
        <f t="shared" si="101"/>
        <v>0</v>
      </c>
      <c r="BX81" s="1230">
        <f t="shared" si="101"/>
        <v>0</v>
      </c>
      <c r="BY81" s="1230">
        <f t="shared" si="101"/>
        <v>0</v>
      </c>
      <c r="BZ81" s="1230">
        <f t="shared" si="101"/>
        <v>0</v>
      </c>
      <c r="CA81" s="1230">
        <f t="shared" si="101"/>
        <v>0</v>
      </c>
      <c r="CB81" s="1230">
        <f t="shared" si="101"/>
        <v>0</v>
      </c>
      <c r="CC81" s="1230">
        <f t="shared" si="101"/>
        <v>0</v>
      </c>
      <c r="CD81" s="1230">
        <f t="shared" si="101"/>
        <v>0</v>
      </c>
      <c r="CE81" s="1230">
        <f t="shared" si="101"/>
        <v>0</v>
      </c>
      <c r="CF81" s="1186">
        <f t="shared" ref="CF81:CF86" si="102">SUM(BT81:CE81)</f>
        <v>0</v>
      </c>
      <c r="CU81" s="934" t="s">
        <v>178</v>
      </c>
      <c r="CV81" s="934" t="s">
        <v>319</v>
      </c>
      <c r="CW81" s="920">
        <v>2</v>
      </c>
      <c r="CX81" s="926">
        <f t="shared" ref="CX81:CX86" si="103">$Q$2</f>
        <v>0.19</v>
      </c>
      <c r="CY81" s="872" t="s">
        <v>467</v>
      </c>
      <c r="CZ81" s="875" t="s">
        <v>475</v>
      </c>
      <c r="DA81" s="920">
        <v>2</v>
      </c>
      <c r="DB81" s="930">
        <f t="shared" ref="DB81:DB140" si="104">VLOOKUP(DA81,$CW$6:$CZ$66,2,FALSE)</f>
        <v>0.19</v>
      </c>
      <c r="DC81" s="928" t="str">
        <f t="shared" ref="DC81:DC140" si="105">VLOOKUP(DA81,$CW$6:$CZ$66,3,FALSE)</f>
        <v>Raummiete</v>
      </c>
      <c r="DD81" s="928" t="str">
        <f t="shared" ref="DD81:DD140" si="106">VLOOKUP(DA81,$CW$6:$CZ$66,4,FALSE)</f>
        <v>Room rental</v>
      </c>
      <c r="DR81" s="126"/>
    </row>
    <row r="82" spans="1:122" x14ac:dyDescent="0.2">
      <c r="A82" s="1002">
        <f t="shared" si="96"/>
        <v>0.19</v>
      </c>
      <c r="B82" s="72">
        <f t="shared" si="97"/>
        <v>0.19</v>
      </c>
      <c r="C82" s="1429" t="str">
        <f t="shared" ref="C82:C85" si="107">C8</f>
        <v>Strom, Wasser, Heizung, sonst. Nebenkosten</v>
      </c>
      <c r="D82" s="1430"/>
      <c r="E82" s="1430"/>
      <c r="F82" s="1430"/>
      <c r="G82" s="1430"/>
      <c r="H82" s="1430"/>
      <c r="I82" s="1430"/>
      <c r="J82" s="1430"/>
      <c r="K82" s="1430"/>
      <c r="L82" s="1430"/>
      <c r="M82" s="1430"/>
      <c r="N82" s="1430"/>
      <c r="O82" s="1430"/>
      <c r="P82" s="1431">
        <f t="shared" si="98"/>
        <v>0</v>
      </c>
      <c r="Q82" s="1675"/>
      <c r="R82" s="1569"/>
      <c r="S82" s="1556"/>
      <c r="T82" s="68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BA82" s="72">
        <v>0.19</v>
      </c>
      <c r="BB82" s="73" t="s">
        <v>468</v>
      </c>
      <c r="BC82" s="1230">
        <f t="shared" si="99"/>
        <v>0</v>
      </c>
      <c r="BD82" s="1230">
        <f t="shared" si="99"/>
        <v>0</v>
      </c>
      <c r="BE82" s="1230">
        <f t="shared" si="99"/>
        <v>0</v>
      </c>
      <c r="BF82" s="1230">
        <f t="shared" si="99"/>
        <v>0</v>
      </c>
      <c r="BG82" s="1230">
        <f t="shared" si="99"/>
        <v>0</v>
      </c>
      <c r="BH82" s="1230">
        <f t="shared" si="99"/>
        <v>0</v>
      </c>
      <c r="BI82" s="1230">
        <f t="shared" si="99"/>
        <v>0</v>
      </c>
      <c r="BJ82" s="1230">
        <f t="shared" si="99"/>
        <v>0</v>
      </c>
      <c r="BK82" s="1230">
        <f t="shared" si="99"/>
        <v>0</v>
      </c>
      <c r="BL82" s="1230">
        <f t="shared" si="99"/>
        <v>0</v>
      </c>
      <c r="BM82" s="1230">
        <f t="shared" si="99"/>
        <v>0</v>
      </c>
      <c r="BN82" s="1230">
        <f t="shared" si="99"/>
        <v>0</v>
      </c>
      <c r="BO82" s="1186">
        <f t="shared" si="100"/>
        <v>0</v>
      </c>
      <c r="BP82" s="68"/>
      <c r="BQ82" s="68"/>
      <c r="BR82" s="72">
        <v>0.19</v>
      </c>
      <c r="BS82" s="73" t="s">
        <v>468</v>
      </c>
      <c r="BT82" s="1230">
        <f t="shared" si="101"/>
        <v>0</v>
      </c>
      <c r="BU82" s="1230">
        <f t="shared" si="101"/>
        <v>0</v>
      </c>
      <c r="BV82" s="1230">
        <f t="shared" si="101"/>
        <v>0</v>
      </c>
      <c r="BW82" s="1230">
        <f t="shared" si="101"/>
        <v>0</v>
      </c>
      <c r="BX82" s="1230">
        <f t="shared" si="101"/>
        <v>0</v>
      </c>
      <c r="BY82" s="1230">
        <f t="shared" si="101"/>
        <v>0</v>
      </c>
      <c r="BZ82" s="1230">
        <f t="shared" si="101"/>
        <v>0</v>
      </c>
      <c r="CA82" s="1230">
        <f t="shared" si="101"/>
        <v>0</v>
      </c>
      <c r="CB82" s="1230">
        <f t="shared" si="101"/>
        <v>0</v>
      </c>
      <c r="CC82" s="1230">
        <f t="shared" si="101"/>
        <v>0</v>
      </c>
      <c r="CD82" s="1230">
        <f t="shared" si="101"/>
        <v>0</v>
      </c>
      <c r="CE82" s="1230">
        <f t="shared" si="101"/>
        <v>0</v>
      </c>
      <c r="CF82" s="1186">
        <f t="shared" si="102"/>
        <v>0</v>
      </c>
      <c r="CU82" s="934" t="s">
        <v>177</v>
      </c>
      <c r="CV82" s="934" t="s">
        <v>322</v>
      </c>
      <c r="CW82" s="920">
        <v>3</v>
      </c>
      <c r="CX82" s="926">
        <f t="shared" si="103"/>
        <v>0.19</v>
      </c>
      <c r="CY82" s="872" t="s">
        <v>468</v>
      </c>
      <c r="CZ82" s="874" t="s">
        <v>477</v>
      </c>
      <c r="DA82" s="920">
        <v>3</v>
      </c>
      <c r="DB82" s="930">
        <f t="shared" si="104"/>
        <v>0.19</v>
      </c>
      <c r="DC82" s="928" t="str">
        <f t="shared" si="105"/>
        <v>Strom, Wasser, Heizung, sonst. Nebenkosten</v>
      </c>
      <c r="DD82" s="928" t="str">
        <f t="shared" si="106"/>
        <v>Electricity, water, heating, other costs</v>
      </c>
      <c r="DR82" s="126"/>
    </row>
    <row r="83" spans="1:122" ht="14.25" customHeight="1" x14ac:dyDescent="0.2">
      <c r="A83" s="1002">
        <f t="shared" si="96"/>
        <v>0.19</v>
      </c>
      <c r="B83" s="72">
        <f t="shared" si="97"/>
        <v>0.19</v>
      </c>
      <c r="C83" s="1429" t="str">
        <f t="shared" si="107"/>
        <v>Telefon, Fax, Internet, Porto</v>
      </c>
      <c r="D83" s="1430"/>
      <c r="E83" s="1430"/>
      <c r="F83" s="1430"/>
      <c r="G83" s="1430"/>
      <c r="H83" s="1430"/>
      <c r="I83" s="1430"/>
      <c r="J83" s="1430"/>
      <c r="K83" s="1430"/>
      <c r="L83" s="1430"/>
      <c r="M83" s="1430"/>
      <c r="N83" s="1430"/>
      <c r="O83" s="1430"/>
      <c r="P83" s="1431">
        <f t="shared" si="98"/>
        <v>0</v>
      </c>
      <c r="Q83" s="1675"/>
      <c r="R83" s="1569"/>
      <c r="S83" s="1556"/>
      <c r="T83" s="68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BA83" s="72">
        <v>0.19</v>
      </c>
      <c r="BB83" s="73" t="s">
        <v>305</v>
      </c>
      <c r="BC83" s="1230">
        <f t="shared" si="99"/>
        <v>0</v>
      </c>
      <c r="BD83" s="1230">
        <f t="shared" si="99"/>
        <v>0</v>
      </c>
      <c r="BE83" s="1230">
        <f t="shared" si="99"/>
        <v>0</v>
      </c>
      <c r="BF83" s="1230">
        <f t="shared" si="99"/>
        <v>0</v>
      </c>
      <c r="BG83" s="1230">
        <f t="shared" si="99"/>
        <v>0</v>
      </c>
      <c r="BH83" s="1230">
        <f t="shared" si="99"/>
        <v>0</v>
      </c>
      <c r="BI83" s="1230">
        <f t="shared" si="99"/>
        <v>0</v>
      </c>
      <c r="BJ83" s="1230">
        <f t="shared" si="99"/>
        <v>0</v>
      </c>
      <c r="BK83" s="1230">
        <f t="shared" si="99"/>
        <v>0</v>
      </c>
      <c r="BL83" s="1230">
        <f t="shared" si="99"/>
        <v>0</v>
      </c>
      <c r="BM83" s="1230">
        <f t="shared" si="99"/>
        <v>0</v>
      </c>
      <c r="BN83" s="1230">
        <f t="shared" si="99"/>
        <v>0</v>
      </c>
      <c r="BO83" s="1186">
        <f t="shared" si="100"/>
        <v>0</v>
      </c>
      <c r="BP83" s="68"/>
      <c r="BQ83" s="68"/>
      <c r="BR83" s="72">
        <v>0.19</v>
      </c>
      <c r="BS83" s="73" t="s">
        <v>305</v>
      </c>
      <c r="BT83" s="1230">
        <f t="shared" si="101"/>
        <v>0</v>
      </c>
      <c r="BU83" s="1230">
        <f t="shared" si="101"/>
        <v>0</v>
      </c>
      <c r="BV83" s="1230">
        <f t="shared" si="101"/>
        <v>0</v>
      </c>
      <c r="BW83" s="1230">
        <f t="shared" si="101"/>
        <v>0</v>
      </c>
      <c r="BX83" s="1230">
        <f t="shared" si="101"/>
        <v>0</v>
      </c>
      <c r="BY83" s="1230">
        <f t="shared" si="101"/>
        <v>0</v>
      </c>
      <c r="BZ83" s="1230">
        <f t="shared" si="101"/>
        <v>0</v>
      </c>
      <c r="CA83" s="1230">
        <f t="shared" si="101"/>
        <v>0</v>
      </c>
      <c r="CB83" s="1230">
        <f t="shared" si="101"/>
        <v>0</v>
      </c>
      <c r="CC83" s="1230">
        <f t="shared" si="101"/>
        <v>0</v>
      </c>
      <c r="CD83" s="1230">
        <f t="shared" si="101"/>
        <v>0</v>
      </c>
      <c r="CE83" s="1230">
        <f t="shared" si="101"/>
        <v>0</v>
      </c>
      <c r="CF83" s="1186">
        <f t="shared" si="102"/>
        <v>0</v>
      </c>
      <c r="CU83" s="934" t="s">
        <v>179</v>
      </c>
      <c r="CV83" s="934" t="s">
        <v>320</v>
      </c>
      <c r="CW83" s="920">
        <v>4</v>
      </c>
      <c r="CX83" s="926">
        <f t="shared" si="103"/>
        <v>0.19</v>
      </c>
      <c r="CY83" s="872" t="s">
        <v>305</v>
      </c>
      <c r="CZ83" s="874" t="s">
        <v>288</v>
      </c>
      <c r="DA83" s="920">
        <v>5</v>
      </c>
      <c r="DB83" s="930">
        <f t="shared" si="104"/>
        <v>0.19</v>
      </c>
      <c r="DC83" s="928" t="str">
        <f t="shared" si="105"/>
        <v>Geringw. Wirtschaftsgüter (Büromöbel, Einrichtungen,...)</v>
      </c>
      <c r="DD83" s="928" t="str">
        <f t="shared" si="106"/>
        <v>Low value assets (office furniture,  facilities, ...)</v>
      </c>
      <c r="DR83" s="126"/>
    </row>
    <row r="84" spans="1:122" x14ac:dyDescent="0.2">
      <c r="A84" s="1002">
        <f t="shared" si="96"/>
        <v>0.19</v>
      </c>
      <c r="B84" s="72">
        <f t="shared" si="97"/>
        <v>0.19</v>
      </c>
      <c r="C84" s="1429" t="str">
        <f t="shared" si="107"/>
        <v>Geringw. Wirtschaftsgüter (Büromöbel, Einrichtungen,...)</v>
      </c>
      <c r="D84" s="1430"/>
      <c r="E84" s="1430"/>
      <c r="F84" s="1430"/>
      <c r="G84" s="1430"/>
      <c r="H84" s="1430"/>
      <c r="I84" s="1430"/>
      <c r="J84" s="1430"/>
      <c r="K84" s="1430"/>
      <c r="L84" s="1430"/>
      <c r="M84" s="1430"/>
      <c r="N84" s="1430"/>
      <c r="O84" s="1430"/>
      <c r="P84" s="1431">
        <f t="shared" si="98"/>
        <v>0</v>
      </c>
      <c r="Q84" s="1675"/>
      <c r="R84" s="1569"/>
      <c r="S84" s="1556"/>
      <c r="T84" s="68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BA84" s="72">
        <v>0.19</v>
      </c>
      <c r="BB84" s="73" t="s">
        <v>471</v>
      </c>
      <c r="BC84" s="1230">
        <f t="shared" si="99"/>
        <v>0</v>
      </c>
      <c r="BD84" s="1230">
        <f t="shared" si="99"/>
        <v>0</v>
      </c>
      <c r="BE84" s="1230">
        <f t="shared" si="99"/>
        <v>0</v>
      </c>
      <c r="BF84" s="1230">
        <f t="shared" si="99"/>
        <v>0</v>
      </c>
      <c r="BG84" s="1230">
        <f t="shared" si="99"/>
        <v>0</v>
      </c>
      <c r="BH84" s="1230">
        <f t="shared" si="99"/>
        <v>0</v>
      </c>
      <c r="BI84" s="1230">
        <f t="shared" si="99"/>
        <v>0</v>
      </c>
      <c r="BJ84" s="1230">
        <f t="shared" si="99"/>
        <v>0</v>
      </c>
      <c r="BK84" s="1230">
        <f t="shared" si="99"/>
        <v>0</v>
      </c>
      <c r="BL84" s="1230">
        <f t="shared" si="99"/>
        <v>0</v>
      </c>
      <c r="BM84" s="1230">
        <f t="shared" si="99"/>
        <v>0</v>
      </c>
      <c r="BN84" s="1230">
        <f t="shared" si="99"/>
        <v>0</v>
      </c>
      <c r="BO84" s="1186">
        <f t="shared" si="100"/>
        <v>0</v>
      </c>
      <c r="BP84" s="68"/>
      <c r="BQ84" s="68"/>
      <c r="BR84" s="72">
        <v>0.19</v>
      </c>
      <c r="BS84" s="73" t="s">
        <v>471</v>
      </c>
      <c r="BT84" s="1230">
        <f t="shared" si="101"/>
        <v>0</v>
      </c>
      <c r="BU84" s="1230">
        <f t="shared" si="101"/>
        <v>0</v>
      </c>
      <c r="BV84" s="1230">
        <f t="shared" si="101"/>
        <v>0</v>
      </c>
      <c r="BW84" s="1230">
        <f t="shared" si="101"/>
        <v>0</v>
      </c>
      <c r="BX84" s="1230">
        <f t="shared" si="101"/>
        <v>0</v>
      </c>
      <c r="BY84" s="1230">
        <f t="shared" si="101"/>
        <v>0</v>
      </c>
      <c r="BZ84" s="1230">
        <f t="shared" si="101"/>
        <v>0</v>
      </c>
      <c r="CA84" s="1230">
        <f t="shared" si="101"/>
        <v>0</v>
      </c>
      <c r="CB84" s="1230">
        <f t="shared" si="101"/>
        <v>0</v>
      </c>
      <c r="CC84" s="1230">
        <f t="shared" si="101"/>
        <v>0</v>
      </c>
      <c r="CD84" s="1230">
        <f t="shared" si="101"/>
        <v>0</v>
      </c>
      <c r="CE84" s="1230">
        <f t="shared" si="101"/>
        <v>0</v>
      </c>
      <c r="CF84" s="1186">
        <f t="shared" si="102"/>
        <v>0</v>
      </c>
      <c r="CU84" s="934" t="s">
        <v>177</v>
      </c>
      <c r="CV84" s="934" t="s">
        <v>322</v>
      </c>
      <c r="CW84" s="920">
        <v>5</v>
      </c>
      <c r="CX84" s="926">
        <f t="shared" si="103"/>
        <v>0.19</v>
      </c>
      <c r="CY84" s="872" t="s">
        <v>471</v>
      </c>
      <c r="CZ84" s="874" t="s">
        <v>472</v>
      </c>
      <c r="DA84" s="920">
        <v>4</v>
      </c>
      <c r="DB84" s="930">
        <f t="shared" si="104"/>
        <v>0.19</v>
      </c>
      <c r="DC84" s="928" t="str">
        <f t="shared" si="105"/>
        <v>Telefon, Fax, Internet, Porto</v>
      </c>
      <c r="DD84" s="928" t="str">
        <f t="shared" si="106"/>
        <v>Phone, fax, internet, postage</v>
      </c>
      <c r="DR84" s="126"/>
    </row>
    <row r="85" spans="1:122" x14ac:dyDescent="0.2">
      <c r="A85" s="1002">
        <f t="shared" si="96"/>
        <v>0.19</v>
      </c>
      <c r="B85" s="72">
        <f t="shared" si="97"/>
        <v>0.19</v>
      </c>
      <c r="C85" s="1429" t="str">
        <f t="shared" si="107"/>
        <v>IT (Lizenzen, Windows, Office, Wartung)</v>
      </c>
      <c r="D85" s="1430"/>
      <c r="E85" s="1430"/>
      <c r="F85" s="1430"/>
      <c r="G85" s="1430"/>
      <c r="H85" s="1430"/>
      <c r="I85" s="1430"/>
      <c r="J85" s="1430"/>
      <c r="K85" s="1430"/>
      <c r="L85" s="1430"/>
      <c r="M85" s="1430"/>
      <c r="N85" s="1430"/>
      <c r="O85" s="1430"/>
      <c r="P85" s="1431">
        <f t="shared" si="98"/>
        <v>0</v>
      </c>
      <c r="Q85" s="1675"/>
      <c r="R85" s="1569"/>
      <c r="S85" s="1556"/>
      <c r="T85" s="68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BA85" s="72">
        <v>0.19</v>
      </c>
      <c r="BB85" s="73" t="s">
        <v>469</v>
      </c>
      <c r="BC85" s="1230">
        <f t="shared" si="99"/>
        <v>0</v>
      </c>
      <c r="BD85" s="1230">
        <f t="shared" si="99"/>
        <v>0</v>
      </c>
      <c r="BE85" s="1230">
        <f t="shared" si="99"/>
        <v>0</v>
      </c>
      <c r="BF85" s="1230">
        <f t="shared" si="99"/>
        <v>0</v>
      </c>
      <c r="BG85" s="1230">
        <f t="shared" si="99"/>
        <v>0</v>
      </c>
      <c r="BH85" s="1230">
        <f t="shared" si="99"/>
        <v>0</v>
      </c>
      <c r="BI85" s="1230">
        <f t="shared" si="99"/>
        <v>0</v>
      </c>
      <c r="BJ85" s="1230">
        <f t="shared" si="99"/>
        <v>0</v>
      </c>
      <c r="BK85" s="1230">
        <f t="shared" si="99"/>
        <v>0</v>
      </c>
      <c r="BL85" s="1230">
        <f t="shared" si="99"/>
        <v>0</v>
      </c>
      <c r="BM85" s="1230">
        <f t="shared" si="99"/>
        <v>0</v>
      </c>
      <c r="BN85" s="1230">
        <f t="shared" si="99"/>
        <v>0</v>
      </c>
      <c r="BO85" s="1186">
        <f t="shared" si="100"/>
        <v>0</v>
      </c>
      <c r="BP85" s="68"/>
      <c r="BQ85" s="68"/>
      <c r="BR85" s="72">
        <v>0.19</v>
      </c>
      <c r="BS85" s="73" t="s">
        <v>469</v>
      </c>
      <c r="BT85" s="1230">
        <f t="shared" si="101"/>
        <v>0</v>
      </c>
      <c r="BU85" s="1230">
        <f t="shared" si="101"/>
        <v>0</v>
      </c>
      <c r="BV85" s="1230">
        <f t="shared" si="101"/>
        <v>0</v>
      </c>
      <c r="BW85" s="1230">
        <f t="shared" si="101"/>
        <v>0</v>
      </c>
      <c r="BX85" s="1230">
        <f t="shared" si="101"/>
        <v>0</v>
      </c>
      <c r="BY85" s="1230">
        <f t="shared" si="101"/>
        <v>0</v>
      </c>
      <c r="BZ85" s="1230">
        <f t="shared" si="101"/>
        <v>0</v>
      </c>
      <c r="CA85" s="1230">
        <f t="shared" si="101"/>
        <v>0</v>
      </c>
      <c r="CB85" s="1230">
        <f t="shared" si="101"/>
        <v>0</v>
      </c>
      <c r="CC85" s="1230">
        <f t="shared" si="101"/>
        <v>0</v>
      </c>
      <c r="CD85" s="1230">
        <f t="shared" si="101"/>
        <v>0</v>
      </c>
      <c r="CE85" s="1230">
        <f t="shared" si="101"/>
        <v>0</v>
      </c>
      <c r="CF85" s="1186">
        <f t="shared" si="102"/>
        <v>0</v>
      </c>
      <c r="CU85" s="934" t="s">
        <v>180</v>
      </c>
      <c r="CV85" s="934" t="s">
        <v>321</v>
      </c>
      <c r="CW85" s="920">
        <v>6</v>
      </c>
      <c r="CX85" s="926">
        <f t="shared" si="103"/>
        <v>0.19</v>
      </c>
      <c r="CY85" s="872" t="s">
        <v>469</v>
      </c>
      <c r="CZ85" s="875" t="s">
        <v>474</v>
      </c>
      <c r="DA85" s="920">
        <v>6</v>
      </c>
      <c r="DB85" s="930">
        <f t="shared" si="104"/>
        <v>0.19</v>
      </c>
      <c r="DC85" s="928" t="str">
        <f t="shared" si="105"/>
        <v>IT (Lizenzen, Windows, Office, Wartung)</v>
      </c>
      <c r="DD85" s="928" t="str">
        <f t="shared" si="106"/>
        <v>IT (licenses, windows, office, maintenace, ...)</v>
      </c>
      <c r="DR85" s="126"/>
    </row>
    <row r="86" spans="1:122" x14ac:dyDescent="0.2">
      <c r="A86" s="1002">
        <f t="shared" si="96"/>
        <v>0.19</v>
      </c>
      <c r="B86" s="72">
        <f t="shared" si="97"/>
        <v>0.19</v>
      </c>
      <c r="C86" s="1432" t="s">
        <v>470</v>
      </c>
      <c r="D86" s="1433"/>
      <c r="E86" s="1433"/>
      <c r="F86" s="1433"/>
      <c r="G86" s="1433"/>
      <c r="H86" s="1433"/>
      <c r="I86" s="1433"/>
      <c r="J86" s="1433"/>
      <c r="K86" s="1433"/>
      <c r="L86" s="1433"/>
      <c r="M86" s="1433"/>
      <c r="N86" s="1433"/>
      <c r="O86" s="1433"/>
      <c r="P86" s="1434">
        <f t="shared" si="98"/>
        <v>0</v>
      </c>
      <c r="Q86" s="1675"/>
      <c r="R86" s="1569"/>
      <c r="S86" s="1556"/>
      <c r="T86" s="68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BA86" s="72"/>
      <c r="BB86" s="1063" t="s">
        <v>470</v>
      </c>
      <c r="BC86" s="1230">
        <f t="shared" si="99"/>
        <v>0</v>
      </c>
      <c r="BD86" s="1230">
        <f t="shared" si="99"/>
        <v>0</v>
      </c>
      <c r="BE86" s="1230">
        <f t="shared" si="99"/>
        <v>0</v>
      </c>
      <c r="BF86" s="1230">
        <f t="shared" si="99"/>
        <v>0</v>
      </c>
      <c r="BG86" s="1230">
        <f t="shared" si="99"/>
        <v>0</v>
      </c>
      <c r="BH86" s="1230">
        <f t="shared" si="99"/>
        <v>0</v>
      </c>
      <c r="BI86" s="1230">
        <f t="shared" si="99"/>
        <v>0</v>
      </c>
      <c r="BJ86" s="1230">
        <f t="shared" si="99"/>
        <v>0</v>
      </c>
      <c r="BK86" s="1230">
        <f t="shared" si="99"/>
        <v>0</v>
      </c>
      <c r="BL86" s="1230">
        <f t="shared" si="99"/>
        <v>0</v>
      </c>
      <c r="BM86" s="1230">
        <f t="shared" si="99"/>
        <v>0</v>
      </c>
      <c r="BN86" s="1230">
        <f t="shared" si="99"/>
        <v>0</v>
      </c>
      <c r="BO86" s="1187">
        <f t="shared" si="100"/>
        <v>0</v>
      </c>
      <c r="BP86" s="68"/>
      <c r="BQ86" s="68"/>
      <c r="BR86" s="72"/>
      <c r="BS86" s="990" t="s">
        <v>470</v>
      </c>
      <c r="BT86" s="1230">
        <f t="shared" si="101"/>
        <v>0</v>
      </c>
      <c r="BU86" s="1230">
        <f t="shared" si="101"/>
        <v>0</v>
      </c>
      <c r="BV86" s="1230">
        <f t="shared" si="101"/>
        <v>0</v>
      </c>
      <c r="BW86" s="1230">
        <f t="shared" si="101"/>
        <v>0</v>
      </c>
      <c r="BX86" s="1230">
        <f t="shared" si="101"/>
        <v>0</v>
      </c>
      <c r="BY86" s="1230">
        <f t="shared" si="101"/>
        <v>0</v>
      </c>
      <c r="BZ86" s="1230">
        <f t="shared" si="101"/>
        <v>0</v>
      </c>
      <c r="CA86" s="1230">
        <f t="shared" si="101"/>
        <v>0</v>
      </c>
      <c r="CB86" s="1230">
        <f t="shared" si="101"/>
        <v>0</v>
      </c>
      <c r="CC86" s="1230">
        <f t="shared" si="101"/>
        <v>0</v>
      </c>
      <c r="CD86" s="1230">
        <f t="shared" si="101"/>
        <v>0</v>
      </c>
      <c r="CE86" s="1230">
        <f t="shared" si="101"/>
        <v>0</v>
      </c>
      <c r="CF86" s="1187">
        <f t="shared" si="102"/>
        <v>0</v>
      </c>
      <c r="CU86" s="934" t="s">
        <v>181</v>
      </c>
      <c r="CV86" s="934" t="s">
        <v>323</v>
      </c>
      <c r="CW86" s="920">
        <v>7</v>
      </c>
      <c r="CX86" s="878">
        <f t="shared" si="103"/>
        <v>0.19</v>
      </c>
      <c r="CY86" s="873" t="s">
        <v>470</v>
      </c>
      <c r="CZ86" s="873" t="s">
        <v>473</v>
      </c>
      <c r="DA86" s="920">
        <v>7</v>
      </c>
      <c r="DB86" s="930">
        <f t="shared" si="104"/>
        <v>0.19</v>
      </c>
      <c r="DC86" s="928" t="str">
        <f t="shared" si="105"/>
        <v>Sonstiges</v>
      </c>
      <c r="DD86" s="928" t="str">
        <f t="shared" si="106"/>
        <v>Others</v>
      </c>
      <c r="DR86" s="126"/>
    </row>
    <row r="87" spans="1:122" ht="15" thickBot="1" x14ac:dyDescent="0.25">
      <c r="A87" s="1002"/>
      <c r="B87" s="1487"/>
      <c r="C87" s="1488" t="str">
        <f>C13</f>
        <v>Summe Bürokosten</v>
      </c>
      <c r="D87" s="1489">
        <f>SUM(D81:D86)</f>
        <v>0</v>
      </c>
      <c r="E87" s="1489">
        <f t="shared" ref="E87:O87" si="108">SUM(E81:E86)</f>
        <v>0</v>
      </c>
      <c r="F87" s="1489">
        <f t="shared" si="108"/>
        <v>0</v>
      </c>
      <c r="G87" s="1489">
        <f t="shared" si="108"/>
        <v>0</v>
      </c>
      <c r="H87" s="1489">
        <f t="shared" si="108"/>
        <v>0</v>
      </c>
      <c r="I87" s="1489">
        <f t="shared" si="108"/>
        <v>0</v>
      </c>
      <c r="J87" s="1489">
        <f t="shared" si="108"/>
        <v>0</v>
      </c>
      <c r="K87" s="1489">
        <f t="shared" si="108"/>
        <v>0</v>
      </c>
      <c r="L87" s="1489">
        <f t="shared" si="108"/>
        <v>0</v>
      </c>
      <c r="M87" s="1489">
        <f t="shared" si="108"/>
        <v>0</v>
      </c>
      <c r="N87" s="1489">
        <f>SUM(N81:N86)</f>
        <v>0</v>
      </c>
      <c r="O87" s="1489">
        <f t="shared" si="108"/>
        <v>0</v>
      </c>
      <c r="P87" s="1490">
        <f>SUM(D87:O87)</f>
        <v>0</v>
      </c>
      <c r="Q87" s="1584"/>
      <c r="R87" s="1569"/>
      <c r="S87" s="82"/>
      <c r="T87" s="68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Z87" s="35" t="b">
        <f>IFERROR(OR(BO87,CF87),-1)</f>
        <v>0</v>
      </c>
      <c r="BA87" s="80"/>
      <c r="BB87" s="81" t="s">
        <v>617</v>
      </c>
      <c r="BC87" s="1188">
        <f>SUM(BC81:BC86)</f>
        <v>0</v>
      </c>
      <c r="BD87" s="1188">
        <f t="shared" ref="BD87:BN87" si="109">SUM(BD81:BD86)</f>
        <v>0</v>
      </c>
      <c r="BE87" s="1188">
        <f t="shared" si="109"/>
        <v>0</v>
      </c>
      <c r="BF87" s="1188">
        <f t="shared" si="109"/>
        <v>0</v>
      </c>
      <c r="BG87" s="1188">
        <f t="shared" si="109"/>
        <v>0</v>
      </c>
      <c r="BH87" s="1188">
        <f t="shared" si="109"/>
        <v>0</v>
      </c>
      <c r="BI87" s="1188">
        <f t="shared" si="109"/>
        <v>0</v>
      </c>
      <c r="BJ87" s="1188">
        <f t="shared" si="109"/>
        <v>0</v>
      </c>
      <c r="BK87" s="1188">
        <f t="shared" si="109"/>
        <v>0</v>
      </c>
      <c r="BL87" s="1188">
        <f t="shared" si="109"/>
        <v>0</v>
      </c>
      <c r="BM87" s="1188">
        <f t="shared" si="109"/>
        <v>0</v>
      </c>
      <c r="BN87" s="1188">
        <f t="shared" si="109"/>
        <v>0</v>
      </c>
      <c r="BO87" s="1189">
        <f>SUM(BC87:BN87)</f>
        <v>0</v>
      </c>
      <c r="BP87" s="68"/>
      <c r="BQ87" s="68"/>
      <c r="BR87" s="80"/>
      <c r="BS87" s="81" t="s">
        <v>617</v>
      </c>
      <c r="BT87" s="1188">
        <f>SUM(BT81:BT86)</f>
        <v>0</v>
      </c>
      <c r="BU87" s="1188">
        <f t="shared" ref="BU87:CE87" si="110">SUM(BU81:BU86)</f>
        <v>0</v>
      </c>
      <c r="BV87" s="1188">
        <f t="shared" si="110"/>
        <v>0</v>
      </c>
      <c r="BW87" s="1188">
        <f t="shared" si="110"/>
        <v>0</v>
      </c>
      <c r="BX87" s="1188">
        <f t="shared" si="110"/>
        <v>0</v>
      </c>
      <c r="BY87" s="1188">
        <f t="shared" si="110"/>
        <v>0</v>
      </c>
      <c r="BZ87" s="1188">
        <f t="shared" si="110"/>
        <v>0</v>
      </c>
      <c r="CA87" s="1188">
        <f t="shared" si="110"/>
        <v>0</v>
      </c>
      <c r="CB87" s="1188">
        <f t="shared" si="110"/>
        <v>0</v>
      </c>
      <c r="CC87" s="1188">
        <f t="shared" si="110"/>
        <v>0</v>
      </c>
      <c r="CD87" s="1188">
        <f t="shared" si="110"/>
        <v>0</v>
      </c>
      <c r="CE87" s="1188">
        <f t="shared" si="110"/>
        <v>0</v>
      </c>
      <c r="CF87" s="1189">
        <f>SUM(BT87:CE87)</f>
        <v>0</v>
      </c>
      <c r="CU87" s="875" t="s">
        <v>182</v>
      </c>
      <c r="CV87" s="875" t="s">
        <v>324</v>
      </c>
      <c r="CW87" s="920">
        <v>8</v>
      </c>
      <c r="CX87" s="926"/>
      <c r="CY87" s="876" t="str">
        <f>"Summe " &amp;CY80</f>
        <v>Summe Bürokosten</v>
      </c>
      <c r="CZ87" s="874" t="s">
        <v>282</v>
      </c>
      <c r="DA87" s="920">
        <v>8</v>
      </c>
      <c r="DB87" s="930">
        <f t="shared" si="104"/>
        <v>0</v>
      </c>
      <c r="DC87" s="928" t="str">
        <f t="shared" si="105"/>
        <v>Summe Bürokosten</v>
      </c>
      <c r="DD87" s="928" t="str">
        <f t="shared" si="106"/>
        <v>Sum office expences</v>
      </c>
      <c r="DR87" s="126"/>
    </row>
    <row r="88" spans="1:122" x14ac:dyDescent="0.2">
      <c r="A88" s="1002"/>
      <c r="B88" s="141">
        <v>2</v>
      </c>
      <c r="C88" s="86" t="str">
        <f>C14</f>
        <v>Produktionskosten</v>
      </c>
      <c r="D88" s="1190"/>
      <c r="E88" s="1190"/>
      <c r="F88" s="1190"/>
      <c r="G88" s="1190"/>
      <c r="H88" s="1190"/>
      <c r="I88" s="1190"/>
      <c r="J88" s="1190"/>
      <c r="K88" s="1190"/>
      <c r="L88" s="1190"/>
      <c r="M88" s="1190"/>
      <c r="N88" s="1190"/>
      <c r="O88" s="1190"/>
      <c r="P88" s="1191"/>
      <c r="Q88" s="1584"/>
      <c r="R88" s="1569"/>
      <c r="S88" s="93"/>
      <c r="T88" s="68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BA88" s="141">
        <v>2</v>
      </c>
      <c r="BB88" s="86" t="s">
        <v>48</v>
      </c>
      <c r="BC88" s="1190"/>
      <c r="BD88" s="1190"/>
      <c r="BE88" s="1190"/>
      <c r="BF88" s="1190"/>
      <c r="BG88" s="1190"/>
      <c r="BH88" s="1190"/>
      <c r="BI88" s="1190"/>
      <c r="BJ88" s="1190"/>
      <c r="BK88" s="1190"/>
      <c r="BL88" s="1190"/>
      <c r="BM88" s="1190"/>
      <c r="BN88" s="1190"/>
      <c r="BO88" s="1191"/>
      <c r="BP88" s="68"/>
      <c r="BQ88" s="68"/>
      <c r="BR88" s="141">
        <v>2</v>
      </c>
      <c r="BS88" s="86" t="s">
        <v>48</v>
      </c>
      <c r="BT88" s="1190"/>
      <c r="BU88" s="1190"/>
      <c r="BV88" s="1190"/>
      <c r="BW88" s="1190"/>
      <c r="BX88" s="1190"/>
      <c r="BY88" s="1190"/>
      <c r="BZ88" s="1190"/>
      <c r="CA88" s="1190"/>
      <c r="CB88" s="1190"/>
      <c r="CC88" s="1190"/>
      <c r="CD88" s="1190"/>
      <c r="CE88" s="1190"/>
      <c r="CF88" s="1191"/>
      <c r="CW88" s="920">
        <v>9</v>
      </c>
      <c r="CX88" s="926"/>
      <c r="CY88" s="876" t="s">
        <v>48</v>
      </c>
      <c r="CZ88" s="876" t="s">
        <v>274</v>
      </c>
      <c r="DA88" s="920">
        <v>9</v>
      </c>
      <c r="DB88" s="930">
        <f t="shared" si="104"/>
        <v>0</v>
      </c>
      <c r="DC88" s="928" t="str">
        <f t="shared" si="105"/>
        <v>Produktionskosten</v>
      </c>
      <c r="DD88" s="928" t="str">
        <f t="shared" si="106"/>
        <v>Production costs</v>
      </c>
      <c r="DR88" s="126"/>
    </row>
    <row r="89" spans="1:122" x14ac:dyDescent="0.2">
      <c r="A89" s="1002">
        <f t="shared" ref="A89:A96" si="111">A15</f>
        <v>0.19</v>
      </c>
      <c r="B89" s="72">
        <f t="shared" ref="B89:B96" si="112">IF($D$4&lt;&gt;1, A89,"")</f>
        <v>0.19</v>
      </c>
      <c r="C89" s="1429" t="str">
        <f>C15</f>
        <v>Raummiete</v>
      </c>
      <c r="D89" s="1430"/>
      <c r="E89" s="1430"/>
      <c r="F89" s="1430"/>
      <c r="G89" s="1430"/>
      <c r="H89" s="1430"/>
      <c r="I89" s="1430"/>
      <c r="J89" s="1430"/>
      <c r="K89" s="1430"/>
      <c r="L89" s="1430"/>
      <c r="M89" s="1430"/>
      <c r="N89" s="1430"/>
      <c r="O89" s="1430"/>
      <c r="P89" s="1431">
        <f t="shared" ref="P89:P97" si="113">SUM(D89:O89)</f>
        <v>0</v>
      </c>
      <c r="Q89" s="1675" t="str">
        <f>IF($C$2="english",$CV$16,$CU$16)</f>
        <v>Verschieben von Zellen
führt zu Bezugsfehlern!
Mit (Str+Z) oder
(Undo-Symbol) rückgängig machen</v>
      </c>
      <c r="R89" s="1569"/>
      <c r="S89" s="1556"/>
      <c r="T89" s="68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BA89" s="72">
        <v>0.19</v>
      </c>
      <c r="BB89" s="73" t="s">
        <v>467</v>
      </c>
      <c r="BC89" s="1230">
        <f t="shared" ref="BC89:BN96" si="114">IF($A89=$Q$2,D89*IF(OR($D$4=0,$D$4=3),$A89,$A89/(1+$A89)),0)</f>
        <v>0</v>
      </c>
      <c r="BD89" s="1230">
        <f t="shared" si="114"/>
        <v>0</v>
      </c>
      <c r="BE89" s="1230">
        <f t="shared" si="114"/>
        <v>0</v>
      </c>
      <c r="BF89" s="1230">
        <f t="shared" si="114"/>
        <v>0</v>
      </c>
      <c r="BG89" s="1230">
        <f t="shared" si="114"/>
        <v>0</v>
      </c>
      <c r="BH89" s="1230">
        <f t="shared" si="114"/>
        <v>0</v>
      </c>
      <c r="BI89" s="1230">
        <f t="shared" si="114"/>
        <v>0</v>
      </c>
      <c r="BJ89" s="1230">
        <f t="shared" si="114"/>
        <v>0</v>
      </c>
      <c r="BK89" s="1230">
        <f t="shared" si="114"/>
        <v>0</v>
      </c>
      <c r="BL89" s="1230">
        <f t="shared" si="114"/>
        <v>0</v>
      </c>
      <c r="BM89" s="1230">
        <f t="shared" si="114"/>
        <v>0</v>
      </c>
      <c r="BN89" s="1230">
        <f t="shared" si="114"/>
        <v>0</v>
      </c>
      <c r="BO89" s="1186">
        <f t="shared" ref="BO89:BO96" si="115">SUM(BC89:BN89)</f>
        <v>0</v>
      </c>
      <c r="BP89" s="68"/>
      <c r="BQ89" s="68"/>
      <c r="BR89" s="72">
        <v>0.19</v>
      </c>
      <c r="BS89" s="73" t="s">
        <v>467</v>
      </c>
      <c r="BT89" s="1230">
        <f t="shared" ref="BT89:CE96" si="116">IF($A89=$Q$3,D89*IF(OR($D$4=0,$D$4=3),$A89,$A89/(1+$A89)),0)</f>
        <v>0</v>
      </c>
      <c r="BU89" s="1230">
        <f t="shared" si="116"/>
        <v>0</v>
      </c>
      <c r="BV89" s="1230">
        <f t="shared" si="116"/>
        <v>0</v>
      </c>
      <c r="BW89" s="1230">
        <f t="shared" si="116"/>
        <v>0</v>
      </c>
      <c r="BX89" s="1230">
        <f t="shared" si="116"/>
        <v>0</v>
      </c>
      <c r="BY89" s="1230">
        <f t="shared" si="116"/>
        <v>0</v>
      </c>
      <c r="BZ89" s="1230">
        <f t="shared" si="116"/>
        <v>0</v>
      </c>
      <c r="CA89" s="1230">
        <f t="shared" si="116"/>
        <v>0</v>
      </c>
      <c r="CB89" s="1230">
        <f t="shared" si="116"/>
        <v>0</v>
      </c>
      <c r="CC89" s="1230">
        <f t="shared" si="116"/>
        <v>0</v>
      </c>
      <c r="CD89" s="1230">
        <f t="shared" si="116"/>
        <v>0</v>
      </c>
      <c r="CE89" s="1230">
        <f t="shared" si="116"/>
        <v>0</v>
      </c>
      <c r="CF89" s="1186">
        <f t="shared" ref="CF89:CF97" si="117">SUM(BT89:CE89)</f>
        <v>0</v>
      </c>
      <c r="CW89" s="920">
        <v>10</v>
      </c>
      <c r="CX89" s="926">
        <f>$Q$2</f>
        <v>0.19</v>
      </c>
      <c r="CY89" s="872" t="s">
        <v>467</v>
      </c>
      <c r="CZ89" s="876" t="s">
        <v>475</v>
      </c>
      <c r="DA89" s="920">
        <v>10</v>
      </c>
      <c r="DB89" s="930">
        <f t="shared" si="104"/>
        <v>0.19</v>
      </c>
      <c r="DC89" s="928" t="str">
        <f t="shared" si="105"/>
        <v>Raummiete</v>
      </c>
      <c r="DD89" s="928" t="str">
        <f t="shared" si="106"/>
        <v>Room rental</v>
      </c>
      <c r="DR89" s="126"/>
    </row>
    <row r="90" spans="1:122" x14ac:dyDescent="0.2">
      <c r="A90" s="1002">
        <f t="shared" si="111"/>
        <v>0.19</v>
      </c>
      <c r="B90" s="72">
        <f t="shared" si="112"/>
        <v>0.19</v>
      </c>
      <c r="C90" s="1429" t="str">
        <f t="shared" ref="C90:C143" si="118">C16</f>
        <v>Strom, Wasser, Heizung, sonst. Nebenkosten</v>
      </c>
      <c r="D90" s="1430"/>
      <c r="E90" s="1430"/>
      <c r="F90" s="1430"/>
      <c r="G90" s="1430"/>
      <c r="H90" s="1430"/>
      <c r="I90" s="1430"/>
      <c r="J90" s="1430"/>
      <c r="K90" s="1430"/>
      <c r="L90" s="1430"/>
      <c r="M90" s="1430"/>
      <c r="N90" s="1430"/>
      <c r="O90" s="1430"/>
      <c r="P90" s="1431">
        <f t="shared" si="113"/>
        <v>0</v>
      </c>
      <c r="Q90" s="1675"/>
      <c r="R90" s="1569"/>
      <c r="S90" s="1556"/>
      <c r="T90" s="68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BA90" s="72">
        <v>0.19</v>
      </c>
      <c r="BB90" s="73" t="s">
        <v>468</v>
      </c>
      <c r="BC90" s="1230">
        <f t="shared" si="114"/>
        <v>0</v>
      </c>
      <c r="BD90" s="1230">
        <f t="shared" si="114"/>
        <v>0</v>
      </c>
      <c r="BE90" s="1230">
        <f t="shared" si="114"/>
        <v>0</v>
      </c>
      <c r="BF90" s="1230">
        <f t="shared" si="114"/>
        <v>0</v>
      </c>
      <c r="BG90" s="1230">
        <f t="shared" si="114"/>
        <v>0</v>
      </c>
      <c r="BH90" s="1230">
        <f t="shared" si="114"/>
        <v>0</v>
      </c>
      <c r="BI90" s="1230">
        <f t="shared" si="114"/>
        <v>0</v>
      </c>
      <c r="BJ90" s="1230">
        <f t="shared" si="114"/>
        <v>0</v>
      </c>
      <c r="BK90" s="1230">
        <f t="shared" si="114"/>
        <v>0</v>
      </c>
      <c r="BL90" s="1230">
        <f t="shared" si="114"/>
        <v>0</v>
      </c>
      <c r="BM90" s="1230">
        <f t="shared" si="114"/>
        <v>0</v>
      </c>
      <c r="BN90" s="1230">
        <f t="shared" si="114"/>
        <v>0</v>
      </c>
      <c r="BO90" s="1186">
        <f t="shared" si="115"/>
        <v>0</v>
      </c>
      <c r="BP90" s="68"/>
      <c r="BQ90" s="68"/>
      <c r="BR90" s="72">
        <v>0.19</v>
      </c>
      <c r="BS90" s="73" t="s">
        <v>468</v>
      </c>
      <c r="BT90" s="1230">
        <f t="shared" si="116"/>
        <v>0</v>
      </c>
      <c r="BU90" s="1230">
        <f t="shared" si="116"/>
        <v>0</v>
      </c>
      <c r="BV90" s="1230">
        <f t="shared" si="116"/>
        <v>0</v>
      </c>
      <c r="BW90" s="1230">
        <f t="shared" si="116"/>
        <v>0</v>
      </c>
      <c r="BX90" s="1230">
        <f t="shared" si="116"/>
        <v>0</v>
      </c>
      <c r="BY90" s="1230">
        <f t="shared" si="116"/>
        <v>0</v>
      </c>
      <c r="BZ90" s="1230">
        <f t="shared" si="116"/>
        <v>0</v>
      </c>
      <c r="CA90" s="1230">
        <f t="shared" si="116"/>
        <v>0</v>
      </c>
      <c r="CB90" s="1230">
        <f t="shared" si="116"/>
        <v>0</v>
      </c>
      <c r="CC90" s="1230">
        <f t="shared" si="116"/>
        <v>0</v>
      </c>
      <c r="CD90" s="1230">
        <f t="shared" si="116"/>
        <v>0</v>
      </c>
      <c r="CE90" s="1230">
        <f t="shared" si="116"/>
        <v>0</v>
      </c>
      <c r="CF90" s="1186">
        <f t="shared" si="117"/>
        <v>0</v>
      </c>
      <c r="CW90" s="920">
        <v>11</v>
      </c>
      <c r="CX90" s="926">
        <f>$Q$2</f>
        <v>0.19</v>
      </c>
      <c r="CY90" s="872" t="s">
        <v>468</v>
      </c>
      <c r="CZ90" s="874" t="s">
        <v>477</v>
      </c>
      <c r="DA90" s="920">
        <v>11</v>
      </c>
      <c r="DB90" s="930">
        <f t="shared" si="104"/>
        <v>0.19</v>
      </c>
      <c r="DC90" s="928" t="str">
        <f t="shared" si="105"/>
        <v>Strom, Wasser, Heizung, sonst. Nebenkosten</v>
      </c>
      <c r="DD90" s="928" t="str">
        <f t="shared" si="106"/>
        <v>Electricity, water, heating, other costs</v>
      </c>
      <c r="DR90" s="126"/>
    </row>
    <row r="91" spans="1:122" ht="15.75" customHeight="1" x14ac:dyDescent="0.2">
      <c r="A91" s="1002">
        <f t="shared" si="111"/>
        <v>0.19</v>
      </c>
      <c r="B91" s="72">
        <f t="shared" si="112"/>
        <v>0.19</v>
      </c>
      <c r="C91" s="1429" t="str">
        <f t="shared" si="118"/>
        <v>Materialaufwand zur Produktion (19%)</v>
      </c>
      <c r="D91" s="1430"/>
      <c r="E91" s="1430"/>
      <c r="F91" s="1430"/>
      <c r="G91" s="1430"/>
      <c r="H91" s="1430"/>
      <c r="I91" s="1430"/>
      <c r="J91" s="1430"/>
      <c r="K91" s="1430"/>
      <c r="L91" s="1430"/>
      <c r="M91" s="1430"/>
      <c r="N91" s="1430"/>
      <c r="O91" s="1430"/>
      <c r="P91" s="1431">
        <f t="shared" si="113"/>
        <v>0</v>
      </c>
      <c r="Q91" s="1675"/>
      <c r="R91" s="1569"/>
      <c r="S91" s="1556"/>
      <c r="T91" s="68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BA91" s="72">
        <v>0.19</v>
      </c>
      <c r="BB91" s="73" t="s">
        <v>618</v>
      </c>
      <c r="BC91" s="1230">
        <f t="shared" si="114"/>
        <v>0</v>
      </c>
      <c r="BD91" s="1230">
        <f t="shared" si="114"/>
        <v>0</v>
      </c>
      <c r="BE91" s="1230">
        <f t="shared" si="114"/>
        <v>0</v>
      </c>
      <c r="BF91" s="1230">
        <f t="shared" si="114"/>
        <v>0</v>
      </c>
      <c r="BG91" s="1230">
        <f t="shared" si="114"/>
        <v>0</v>
      </c>
      <c r="BH91" s="1230">
        <f t="shared" si="114"/>
        <v>0</v>
      </c>
      <c r="BI91" s="1230">
        <f t="shared" si="114"/>
        <v>0</v>
      </c>
      <c r="BJ91" s="1230">
        <f t="shared" si="114"/>
        <v>0</v>
      </c>
      <c r="BK91" s="1230">
        <f t="shared" si="114"/>
        <v>0</v>
      </c>
      <c r="BL91" s="1230">
        <f t="shared" si="114"/>
        <v>0</v>
      </c>
      <c r="BM91" s="1230">
        <f t="shared" si="114"/>
        <v>0</v>
      </c>
      <c r="BN91" s="1230">
        <f t="shared" si="114"/>
        <v>0</v>
      </c>
      <c r="BO91" s="1186">
        <f>SUM(BC91:BN91)</f>
        <v>0</v>
      </c>
      <c r="BP91" s="68"/>
      <c r="BQ91" s="68"/>
      <c r="BR91" s="72">
        <v>0.19</v>
      </c>
      <c r="BS91" s="73" t="s">
        <v>618</v>
      </c>
      <c r="BT91" s="1230">
        <f t="shared" si="116"/>
        <v>0</v>
      </c>
      <c r="BU91" s="1230">
        <f t="shared" si="116"/>
        <v>0</v>
      </c>
      <c r="BV91" s="1230">
        <f t="shared" si="116"/>
        <v>0</v>
      </c>
      <c r="BW91" s="1230">
        <f t="shared" si="116"/>
        <v>0</v>
      </c>
      <c r="BX91" s="1230">
        <f t="shared" si="116"/>
        <v>0</v>
      </c>
      <c r="BY91" s="1230">
        <f t="shared" si="116"/>
        <v>0</v>
      </c>
      <c r="BZ91" s="1230">
        <f t="shared" si="116"/>
        <v>0</v>
      </c>
      <c r="CA91" s="1230">
        <f t="shared" si="116"/>
        <v>0</v>
      </c>
      <c r="CB91" s="1230">
        <f t="shared" si="116"/>
        <v>0</v>
      </c>
      <c r="CC91" s="1230">
        <f t="shared" si="116"/>
        <v>0</v>
      </c>
      <c r="CD91" s="1230">
        <f t="shared" si="116"/>
        <v>0</v>
      </c>
      <c r="CE91" s="1230">
        <f t="shared" si="116"/>
        <v>0</v>
      </c>
      <c r="CF91" s="1186">
        <f t="shared" si="117"/>
        <v>0</v>
      </c>
      <c r="CU91" s="90"/>
      <c r="CV91" s="90"/>
      <c r="CW91" s="920">
        <v>12</v>
      </c>
      <c r="CX91" s="926">
        <f>$Q$2</f>
        <v>0.19</v>
      </c>
      <c r="CY91" s="876" t="str">
        <f>"Materialaufwand zur Produktion ("&amp;$Q$2*100 &amp;"%)"</f>
        <v>Materialaufwand zur Produktion (19%)</v>
      </c>
      <c r="CZ91" s="874" t="str">
        <f>"Cost for materials for production  ("&amp;$Q$2*100 &amp;"%)"</f>
        <v>Cost for materials for production  (19%)</v>
      </c>
      <c r="DA91" s="920">
        <v>12</v>
      </c>
      <c r="DB91" s="930">
        <f t="shared" si="104"/>
        <v>0.19</v>
      </c>
      <c r="DC91" s="928" t="str">
        <f t="shared" si="105"/>
        <v>Materialaufwand zur Produktion (19%)</v>
      </c>
      <c r="DD91" s="928" t="str">
        <f t="shared" si="106"/>
        <v>Cost of production material  (19%)</v>
      </c>
      <c r="DR91" s="126"/>
    </row>
    <row r="92" spans="1:122" ht="15.75" customHeight="1" x14ac:dyDescent="0.2">
      <c r="A92" s="1002">
        <f t="shared" si="111"/>
        <v>7.0000000000000007E-2</v>
      </c>
      <c r="B92" s="72">
        <f t="shared" si="112"/>
        <v>7.0000000000000007E-2</v>
      </c>
      <c r="C92" s="1429" t="str">
        <f t="shared" si="118"/>
        <v>Materialaufwand zur Produktion (7%)</v>
      </c>
      <c r="D92" s="1430"/>
      <c r="E92" s="1430"/>
      <c r="F92" s="1430"/>
      <c r="G92" s="1430"/>
      <c r="H92" s="1430"/>
      <c r="I92" s="1430"/>
      <c r="J92" s="1430"/>
      <c r="K92" s="1430"/>
      <c r="L92" s="1430"/>
      <c r="M92" s="1430"/>
      <c r="N92" s="1430"/>
      <c r="O92" s="1430"/>
      <c r="P92" s="1431">
        <f t="shared" si="113"/>
        <v>0</v>
      </c>
      <c r="Q92" s="1675"/>
      <c r="R92" s="1569"/>
      <c r="S92" s="1556"/>
      <c r="T92" s="68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BA92" s="72">
        <v>7.0000000000000007E-2</v>
      </c>
      <c r="BB92" s="73" t="s">
        <v>619</v>
      </c>
      <c r="BC92" s="1230">
        <f t="shared" si="114"/>
        <v>0</v>
      </c>
      <c r="BD92" s="1230">
        <f t="shared" si="114"/>
        <v>0</v>
      </c>
      <c r="BE92" s="1230">
        <f t="shared" si="114"/>
        <v>0</v>
      </c>
      <c r="BF92" s="1230">
        <f t="shared" si="114"/>
        <v>0</v>
      </c>
      <c r="BG92" s="1230">
        <f t="shared" si="114"/>
        <v>0</v>
      </c>
      <c r="BH92" s="1230">
        <f t="shared" si="114"/>
        <v>0</v>
      </c>
      <c r="BI92" s="1230">
        <f t="shared" si="114"/>
        <v>0</v>
      </c>
      <c r="BJ92" s="1230">
        <f t="shared" si="114"/>
        <v>0</v>
      </c>
      <c r="BK92" s="1230">
        <f t="shared" si="114"/>
        <v>0</v>
      </c>
      <c r="BL92" s="1230">
        <f t="shared" si="114"/>
        <v>0</v>
      </c>
      <c r="BM92" s="1230">
        <f t="shared" si="114"/>
        <v>0</v>
      </c>
      <c r="BN92" s="1230">
        <f t="shared" si="114"/>
        <v>0</v>
      </c>
      <c r="BO92" s="1186">
        <f t="shared" si="115"/>
        <v>0</v>
      </c>
      <c r="BP92" s="68"/>
      <c r="BQ92" s="68"/>
      <c r="BR92" s="72">
        <v>7.0000000000000007E-2</v>
      </c>
      <c r="BS92" s="73" t="s">
        <v>619</v>
      </c>
      <c r="BT92" s="1230">
        <f t="shared" si="116"/>
        <v>0</v>
      </c>
      <c r="BU92" s="1230">
        <f t="shared" si="116"/>
        <v>0</v>
      </c>
      <c r="BV92" s="1230">
        <f t="shared" si="116"/>
        <v>0</v>
      </c>
      <c r="BW92" s="1230">
        <f t="shared" si="116"/>
        <v>0</v>
      </c>
      <c r="BX92" s="1230">
        <f t="shared" si="116"/>
        <v>0</v>
      </c>
      <c r="BY92" s="1230">
        <f t="shared" si="116"/>
        <v>0</v>
      </c>
      <c r="BZ92" s="1230">
        <f t="shared" si="116"/>
        <v>0</v>
      </c>
      <c r="CA92" s="1230">
        <f t="shared" si="116"/>
        <v>0</v>
      </c>
      <c r="CB92" s="1230">
        <f t="shared" si="116"/>
        <v>0</v>
      </c>
      <c r="CC92" s="1230">
        <f t="shared" si="116"/>
        <v>0</v>
      </c>
      <c r="CD92" s="1230">
        <f t="shared" si="116"/>
        <v>0</v>
      </c>
      <c r="CE92" s="1230">
        <f t="shared" si="116"/>
        <v>0</v>
      </c>
      <c r="CF92" s="1186">
        <f t="shared" si="117"/>
        <v>0</v>
      </c>
      <c r="CU92" s="90"/>
      <c r="CV92" s="90"/>
      <c r="CW92" s="920">
        <v>13</v>
      </c>
      <c r="CX92" s="926">
        <f>$Q$3</f>
        <v>7.0000000000000007E-2</v>
      </c>
      <c r="CY92" s="876" t="str">
        <f>"Materialaufwand zur Produktion ("&amp;$Q$3*100 &amp;"%)"</f>
        <v>Materialaufwand zur Produktion (7%)</v>
      </c>
      <c r="CZ92" s="874" t="str">
        <f>"Cost for materials for production  ("&amp;$Q$3*100 &amp;"%)"</f>
        <v>Cost for materials for production  (7%)</v>
      </c>
      <c r="DA92" s="920">
        <v>13</v>
      </c>
      <c r="DB92" s="930">
        <f t="shared" si="104"/>
        <v>7.0000000000000007E-2</v>
      </c>
      <c r="DC92" s="928" t="str">
        <f t="shared" si="105"/>
        <v>Materialaufwand zur Produktion (7%)</v>
      </c>
      <c r="DD92" s="928" t="str">
        <f t="shared" si="106"/>
        <v>Cost for materials for production  (7%)</v>
      </c>
      <c r="DR92" s="126"/>
    </row>
    <row r="93" spans="1:122" x14ac:dyDescent="0.2">
      <c r="A93" s="1002">
        <f t="shared" si="111"/>
        <v>0.19</v>
      </c>
      <c r="B93" s="72">
        <f t="shared" si="112"/>
        <v>0.19</v>
      </c>
      <c r="C93" s="1429" t="str">
        <f t="shared" si="118"/>
        <v>Produktionsbedarf, geringwertige Wirtschaftsgüter</v>
      </c>
      <c r="D93" s="1430"/>
      <c r="E93" s="1430"/>
      <c r="F93" s="1430"/>
      <c r="G93" s="1430"/>
      <c r="H93" s="1430"/>
      <c r="I93" s="1430"/>
      <c r="J93" s="1430"/>
      <c r="K93" s="1430"/>
      <c r="L93" s="1430"/>
      <c r="M93" s="1430"/>
      <c r="N93" s="1430"/>
      <c r="O93" s="1430"/>
      <c r="P93" s="1431">
        <f t="shared" si="113"/>
        <v>0</v>
      </c>
      <c r="Q93" s="1675"/>
      <c r="R93" s="1569"/>
      <c r="S93" s="1556"/>
      <c r="T93" s="68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BA93" s="72">
        <v>0.19</v>
      </c>
      <c r="BB93" s="73" t="s">
        <v>138</v>
      </c>
      <c r="BC93" s="1230">
        <f t="shared" si="114"/>
        <v>0</v>
      </c>
      <c r="BD93" s="1230">
        <f t="shared" si="114"/>
        <v>0</v>
      </c>
      <c r="BE93" s="1230">
        <f t="shared" si="114"/>
        <v>0</v>
      </c>
      <c r="BF93" s="1230">
        <f t="shared" si="114"/>
        <v>0</v>
      </c>
      <c r="BG93" s="1230">
        <f t="shared" si="114"/>
        <v>0</v>
      </c>
      <c r="BH93" s="1230">
        <f t="shared" si="114"/>
        <v>0</v>
      </c>
      <c r="BI93" s="1230">
        <f t="shared" si="114"/>
        <v>0</v>
      </c>
      <c r="BJ93" s="1230">
        <f t="shared" si="114"/>
        <v>0</v>
      </c>
      <c r="BK93" s="1230">
        <f t="shared" si="114"/>
        <v>0</v>
      </c>
      <c r="BL93" s="1230">
        <f t="shared" si="114"/>
        <v>0</v>
      </c>
      <c r="BM93" s="1230">
        <f t="shared" si="114"/>
        <v>0</v>
      </c>
      <c r="BN93" s="1230">
        <f t="shared" si="114"/>
        <v>0</v>
      </c>
      <c r="BO93" s="1186">
        <f t="shared" si="115"/>
        <v>0</v>
      </c>
      <c r="BP93" s="68"/>
      <c r="BQ93" s="68"/>
      <c r="BR93" s="72">
        <v>0.19</v>
      </c>
      <c r="BS93" s="73" t="s">
        <v>138</v>
      </c>
      <c r="BT93" s="1230">
        <f t="shared" si="116"/>
        <v>0</v>
      </c>
      <c r="BU93" s="1230">
        <f t="shared" si="116"/>
        <v>0</v>
      </c>
      <c r="BV93" s="1230">
        <f t="shared" si="116"/>
        <v>0</v>
      </c>
      <c r="BW93" s="1230">
        <f t="shared" si="116"/>
        <v>0</v>
      </c>
      <c r="BX93" s="1230">
        <f t="shared" si="116"/>
        <v>0</v>
      </c>
      <c r="BY93" s="1230">
        <f t="shared" si="116"/>
        <v>0</v>
      </c>
      <c r="BZ93" s="1230">
        <f t="shared" si="116"/>
        <v>0</v>
      </c>
      <c r="CA93" s="1230">
        <f t="shared" si="116"/>
        <v>0</v>
      </c>
      <c r="CB93" s="1230">
        <f t="shared" si="116"/>
        <v>0</v>
      </c>
      <c r="CC93" s="1230">
        <f t="shared" si="116"/>
        <v>0</v>
      </c>
      <c r="CD93" s="1230">
        <f t="shared" si="116"/>
        <v>0</v>
      </c>
      <c r="CE93" s="1230">
        <f t="shared" si="116"/>
        <v>0</v>
      </c>
      <c r="CF93" s="1186">
        <f t="shared" si="117"/>
        <v>0</v>
      </c>
      <c r="CU93" s="934"/>
      <c r="CV93" s="934"/>
      <c r="CW93" s="920">
        <v>14</v>
      </c>
      <c r="CX93" s="926">
        <f>$Q$2</f>
        <v>0.19</v>
      </c>
      <c r="CY93" s="876" t="s">
        <v>138</v>
      </c>
      <c r="CZ93" s="874" t="s">
        <v>273</v>
      </c>
      <c r="DA93" s="920">
        <v>14</v>
      </c>
      <c r="DB93" s="930">
        <f t="shared" si="104"/>
        <v>0.19</v>
      </c>
      <c r="DC93" s="928" t="str">
        <f t="shared" si="105"/>
        <v>Produktionsbedarf, geringwertige Wirtschaftsgüter</v>
      </c>
      <c r="DD93" s="928" t="str">
        <f t="shared" si="106"/>
        <v>Production need, low value assets</v>
      </c>
      <c r="DR93" s="126"/>
    </row>
    <row r="94" spans="1:122" x14ac:dyDescent="0.2">
      <c r="A94" s="1002">
        <f t="shared" si="111"/>
        <v>0.19</v>
      </c>
      <c r="B94" s="72">
        <f t="shared" si="112"/>
        <v>0.19</v>
      </c>
      <c r="C94" s="1429" t="str">
        <f t="shared" si="118"/>
        <v>Leasingraten für Produktionsanlagen, -maschinen</v>
      </c>
      <c r="D94" s="1430"/>
      <c r="E94" s="1430"/>
      <c r="F94" s="1430"/>
      <c r="G94" s="1430"/>
      <c r="H94" s="1430"/>
      <c r="I94" s="1430"/>
      <c r="J94" s="1430"/>
      <c r="K94" s="1430"/>
      <c r="L94" s="1430"/>
      <c r="M94" s="1430"/>
      <c r="N94" s="1430"/>
      <c r="O94" s="1430"/>
      <c r="P94" s="1431">
        <f t="shared" si="113"/>
        <v>0</v>
      </c>
      <c r="Q94" s="1675"/>
      <c r="R94" s="1569"/>
      <c r="S94" s="1556"/>
      <c r="T94" s="68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BA94" s="72">
        <v>0.19</v>
      </c>
      <c r="BB94" s="73" t="s">
        <v>136</v>
      </c>
      <c r="BC94" s="1230">
        <f t="shared" si="114"/>
        <v>0</v>
      </c>
      <c r="BD94" s="1230">
        <f t="shared" si="114"/>
        <v>0</v>
      </c>
      <c r="BE94" s="1230">
        <f t="shared" si="114"/>
        <v>0</v>
      </c>
      <c r="BF94" s="1230">
        <f t="shared" si="114"/>
        <v>0</v>
      </c>
      <c r="BG94" s="1230">
        <f t="shared" si="114"/>
        <v>0</v>
      </c>
      <c r="BH94" s="1230">
        <f t="shared" si="114"/>
        <v>0</v>
      </c>
      <c r="BI94" s="1230">
        <f t="shared" si="114"/>
        <v>0</v>
      </c>
      <c r="BJ94" s="1230">
        <f t="shared" si="114"/>
        <v>0</v>
      </c>
      <c r="BK94" s="1230">
        <f t="shared" si="114"/>
        <v>0</v>
      </c>
      <c r="BL94" s="1230">
        <f t="shared" si="114"/>
        <v>0</v>
      </c>
      <c r="BM94" s="1230">
        <f t="shared" si="114"/>
        <v>0</v>
      </c>
      <c r="BN94" s="1230">
        <f t="shared" si="114"/>
        <v>0</v>
      </c>
      <c r="BO94" s="1186">
        <f t="shared" si="115"/>
        <v>0</v>
      </c>
      <c r="BP94" s="68"/>
      <c r="BQ94" s="68"/>
      <c r="BR94" s="72">
        <v>0.19</v>
      </c>
      <c r="BS94" s="73" t="s">
        <v>136</v>
      </c>
      <c r="BT94" s="1230">
        <f t="shared" si="116"/>
        <v>0</v>
      </c>
      <c r="BU94" s="1230">
        <f t="shared" si="116"/>
        <v>0</v>
      </c>
      <c r="BV94" s="1230">
        <f t="shared" si="116"/>
        <v>0</v>
      </c>
      <c r="BW94" s="1230">
        <f t="shared" si="116"/>
        <v>0</v>
      </c>
      <c r="BX94" s="1230">
        <f t="shared" si="116"/>
        <v>0</v>
      </c>
      <c r="BY94" s="1230">
        <f t="shared" si="116"/>
        <v>0</v>
      </c>
      <c r="BZ94" s="1230">
        <f t="shared" si="116"/>
        <v>0</v>
      </c>
      <c r="CA94" s="1230">
        <f t="shared" si="116"/>
        <v>0</v>
      </c>
      <c r="CB94" s="1230">
        <f t="shared" si="116"/>
        <v>0</v>
      </c>
      <c r="CC94" s="1230">
        <f t="shared" si="116"/>
        <v>0</v>
      </c>
      <c r="CD94" s="1230">
        <f t="shared" si="116"/>
        <v>0</v>
      </c>
      <c r="CE94" s="1230">
        <f t="shared" si="116"/>
        <v>0</v>
      </c>
      <c r="CF94" s="1186">
        <f t="shared" si="117"/>
        <v>0</v>
      </c>
      <c r="CU94" s="934"/>
      <c r="CV94" s="934"/>
      <c r="CW94" s="920">
        <v>15</v>
      </c>
      <c r="CX94" s="926">
        <f>$Q$2</f>
        <v>0.19</v>
      </c>
      <c r="CY94" s="876" t="s">
        <v>136</v>
      </c>
      <c r="CZ94" s="874" t="s">
        <v>459</v>
      </c>
      <c r="DA94" s="920">
        <v>15</v>
      </c>
      <c r="DB94" s="930">
        <f t="shared" si="104"/>
        <v>0.19</v>
      </c>
      <c r="DC94" s="928" t="str">
        <f t="shared" si="105"/>
        <v>Leasingraten für Produktionsanlagen, -maschinen</v>
      </c>
      <c r="DD94" s="928" t="str">
        <f t="shared" si="106"/>
        <v>Leasing rate for production facityties , -machines</v>
      </c>
      <c r="DR94" s="126"/>
    </row>
    <row r="95" spans="1:122" x14ac:dyDescent="0.2">
      <c r="A95" s="1002">
        <f t="shared" si="111"/>
        <v>0.19</v>
      </c>
      <c r="B95" s="72">
        <f t="shared" si="112"/>
        <v>0.19</v>
      </c>
      <c r="C95" s="1429" t="str">
        <f t="shared" si="118"/>
        <v>Instandhaltung und Reparaturen</v>
      </c>
      <c r="D95" s="1430"/>
      <c r="E95" s="1430"/>
      <c r="F95" s="1430"/>
      <c r="G95" s="1430"/>
      <c r="H95" s="1430"/>
      <c r="I95" s="1430"/>
      <c r="J95" s="1430"/>
      <c r="K95" s="1430"/>
      <c r="L95" s="1430"/>
      <c r="M95" s="1430"/>
      <c r="N95" s="1430"/>
      <c r="O95" s="1430"/>
      <c r="P95" s="1431">
        <f t="shared" si="113"/>
        <v>0</v>
      </c>
      <c r="Q95" s="1675"/>
      <c r="R95" s="1569"/>
      <c r="S95" s="1556"/>
      <c r="T95" s="68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BA95" s="72">
        <v>0.19</v>
      </c>
      <c r="BB95" s="73" t="s">
        <v>476</v>
      </c>
      <c r="BC95" s="1230">
        <f t="shared" si="114"/>
        <v>0</v>
      </c>
      <c r="BD95" s="1230">
        <f t="shared" si="114"/>
        <v>0</v>
      </c>
      <c r="BE95" s="1230">
        <f t="shared" si="114"/>
        <v>0</v>
      </c>
      <c r="BF95" s="1230">
        <f t="shared" si="114"/>
        <v>0</v>
      </c>
      <c r="BG95" s="1230">
        <f t="shared" si="114"/>
        <v>0</v>
      </c>
      <c r="BH95" s="1230">
        <f t="shared" si="114"/>
        <v>0</v>
      </c>
      <c r="BI95" s="1230">
        <f t="shared" si="114"/>
        <v>0</v>
      </c>
      <c r="BJ95" s="1230">
        <f t="shared" si="114"/>
        <v>0</v>
      </c>
      <c r="BK95" s="1230">
        <f t="shared" si="114"/>
        <v>0</v>
      </c>
      <c r="BL95" s="1230">
        <f t="shared" si="114"/>
        <v>0</v>
      </c>
      <c r="BM95" s="1230">
        <f t="shared" si="114"/>
        <v>0</v>
      </c>
      <c r="BN95" s="1230">
        <f t="shared" si="114"/>
        <v>0</v>
      </c>
      <c r="BO95" s="1186">
        <f t="shared" si="115"/>
        <v>0</v>
      </c>
      <c r="BP95" s="68"/>
      <c r="BQ95" s="68"/>
      <c r="BR95" s="72">
        <v>0.19</v>
      </c>
      <c r="BS95" s="73" t="s">
        <v>476</v>
      </c>
      <c r="BT95" s="1230">
        <f t="shared" si="116"/>
        <v>0</v>
      </c>
      <c r="BU95" s="1230">
        <f t="shared" si="116"/>
        <v>0</v>
      </c>
      <c r="BV95" s="1230">
        <f t="shared" si="116"/>
        <v>0</v>
      </c>
      <c r="BW95" s="1230">
        <f t="shared" si="116"/>
        <v>0</v>
      </c>
      <c r="BX95" s="1230">
        <f t="shared" si="116"/>
        <v>0</v>
      </c>
      <c r="BY95" s="1230">
        <f t="shared" si="116"/>
        <v>0</v>
      </c>
      <c r="BZ95" s="1230">
        <f t="shared" si="116"/>
        <v>0</v>
      </c>
      <c r="CA95" s="1230">
        <f t="shared" si="116"/>
        <v>0</v>
      </c>
      <c r="CB95" s="1230">
        <f t="shared" si="116"/>
        <v>0</v>
      </c>
      <c r="CC95" s="1230">
        <f t="shared" si="116"/>
        <v>0</v>
      </c>
      <c r="CD95" s="1230">
        <f t="shared" si="116"/>
        <v>0</v>
      </c>
      <c r="CE95" s="1230">
        <f t="shared" si="116"/>
        <v>0</v>
      </c>
      <c r="CF95" s="1186">
        <f t="shared" si="117"/>
        <v>0</v>
      </c>
      <c r="CU95" s="934"/>
      <c r="CV95" s="934"/>
      <c r="CW95" s="920">
        <v>16</v>
      </c>
      <c r="CX95" s="926">
        <f>$Q$2</f>
        <v>0.19</v>
      </c>
      <c r="CY95" s="872" t="s">
        <v>476</v>
      </c>
      <c r="CZ95" s="874" t="s">
        <v>478</v>
      </c>
      <c r="DA95" s="920">
        <v>16</v>
      </c>
      <c r="DB95" s="930">
        <f t="shared" si="104"/>
        <v>0.19</v>
      </c>
      <c r="DC95" s="928" t="str">
        <f t="shared" si="105"/>
        <v>Instandhaltung und Reparaturen</v>
      </c>
      <c r="DD95" s="928" t="str">
        <f t="shared" si="106"/>
        <v>Maintenace and repairs</v>
      </c>
      <c r="DR95" s="126"/>
    </row>
    <row r="96" spans="1:122" x14ac:dyDescent="0.2">
      <c r="A96" s="1002">
        <f t="shared" si="111"/>
        <v>0.19</v>
      </c>
      <c r="B96" s="72">
        <f t="shared" si="112"/>
        <v>0.19</v>
      </c>
      <c r="C96" s="1432" t="s">
        <v>470</v>
      </c>
      <c r="D96" s="1433"/>
      <c r="E96" s="1433"/>
      <c r="F96" s="1433"/>
      <c r="G96" s="1433"/>
      <c r="H96" s="1433"/>
      <c r="I96" s="1433"/>
      <c r="J96" s="1433"/>
      <c r="K96" s="1433"/>
      <c r="L96" s="1433"/>
      <c r="M96" s="1433"/>
      <c r="N96" s="1433"/>
      <c r="O96" s="1433"/>
      <c r="P96" s="1434">
        <f t="shared" si="113"/>
        <v>0</v>
      </c>
      <c r="Q96" s="1675"/>
      <c r="R96" s="1569"/>
      <c r="S96" s="1556"/>
      <c r="T96" s="68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BA96" s="72"/>
      <c r="BB96" s="1063" t="s">
        <v>470</v>
      </c>
      <c r="BC96" s="1230">
        <f t="shared" si="114"/>
        <v>0</v>
      </c>
      <c r="BD96" s="1230">
        <f t="shared" si="114"/>
        <v>0</v>
      </c>
      <c r="BE96" s="1230">
        <f t="shared" si="114"/>
        <v>0</v>
      </c>
      <c r="BF96" s="1230">
        <f t="shared" si="114"/>
        <v>0</v>
      </c>
      <c r="BG96" s="1230">
        <f t="shared" si="114"/>
        <v>0</v>
      </c>
      <c r="BH96" s="1230">
        <f t="shared" si="114"/>
        <v>0</v>
      </c>
      <c r="BI96" s="1230">
        <f t="shared" si="114"/>
        <v>0</v>
      </c>
      <c r="BJ96" s="1230">
        <f t="shared" si="114"/>
        <v>0</v>
      </c>
      <c r="BK96" s="1230">
        <f t="shared" si="114"/>
        <v>0</v>
      </c>
      <c r="BL96" s="1230">
        <f t="shared" si="114"/>
        <v>0</v>
      </c>
      <c r="BM96" s="1230">
        <f t="shared" si="114"/>
        <v>0</v>
      </c>
      <c r="BN96" s="1230">
        <f t="shared" si="114"/>
        <v>0</v>
      </c>
      <c r="BO96" s="1187">
        <f t="shared" si="115"/>
        <v>0</v>
      </c>
      <c r="BP96" s="68"/>
      <c r="BQ96" s="68"/>
      <c r="BR96" s="72"/>
      <c r="BS96" s="990" t="s">
        <v>470</v>
      </c>
      <c r="BT96" s="1230">
        <f t="shared" si="116"/>
        <v>0</v>
      </c>
      <c r="BU96" s="1230">
        <f t="shared" si="116"/>
        <v>0</v>
      </c>
      <c r="BV96" s="1230">
        <f t="shared" si="116"/>
        <v>0</v>
      </c>
      <c r="BW96" s="1230">
        <f t="shared" si="116"/>
        <v>0</v>
      </c>
      <c r="BX96" s="1230">
        <f t="shared" si="116"/>
        <v>0</v>
      </c>
      <c r="BY96" s="1230">
        <f t="shared" si="116"/>
        <v>0</v>
      </c>
      <c r="BZ96" s="1230">
        <f t="shared" si="116"/>
        <v>0</v>
      </c>
      <c r="CA96" s="1230">
        <f t="shared" si="116"/>
        <v>0</v>
      </c>
      <c r="CB96" s="1230">
        <f t="shared" si="116"/>
        <v>0</v>
      </c>
      <c r="CC96" s="1230">
        <f t="shared" si="116"/>
        <v>0</v>
      </c>
      <c r="CD96" s="1230">
        <f t="shared" si="116"/>
        <v>0</v>
      </c>
      <c r="CE96" s="1230">
        <f t="shared" si="116"/>
        <v>0</v>
      </c>
      <c r="CF96" s="1187">
        <f t="shared" si="117"/>
        <v>0</v>
      </c>
      <c r="CU96" s="934"/>
      <c r="CV96" s="934"/>
      <c r="CW96" s="920">
        <v>17</v>
      </c>
      <c r="CX96" s="878">
        <f>$Q$2</f>
        <v>0.19</v>
      </c>
      <c r="CY96" s="873" t="s">
        <v>470</v>
      </c>
      <c r="CZ96" s="873" t="s">
        <v>473</v>
      </c>
      <c r="DA96" s="920">
        <v>17</v>
      </c>
      <c r="DB96" s="930">
        <f t="shared" si="104"/>
        <v>0.19</v>
      </c>
      <c r="DC96" s="928" t="str">
        <f t="shared" si="105"/>
        <v>Sonstiges</v>
      </c>
      <c r="DD96" s="928" t="str">
        <f t="shared" si="106"/>
        <v>Others</v>
      </c>
      <c r="DR96" s="126"/>
    </row>
    <row r="97" spans="1:122" ht="15" thickBot="1" x14ac:dyDescent="0.25">
      <c r="A97" s="1002"/>
      <c r="B97" s="1487"/>
      <c r="C97" s="1488" t="str">
        <f t="shared" si="118"/>
        <v>Summe Produktionskosten</v>
      </c>
      <c r="D97" s="1489">
        <f>SUM(D89:D96)</f>
        <v>0</v>
      </c>
      <c r="E97" s="1489">
        <f>SUM(E89:E96)</f>
        <v>0</v>
      </c>
      <c r="F97" s="1489">
        <f t="shared" ref="F97:O97" si="119">SUM(F89:F96)</f>
        <v>0</v>
      </c>
      <c r="G97" s="1489">
        <f t="shared" si="119"/>
        <v>0</v>
      </c>
      <c r="H97" s="1489">
        <f t="shared" si="119"/>
        <v>0</v>
      </c>
      <c r="I97" s="1489">
        <f t="shared" si="119"/>
        <v>0</v>
      </c>
      <c r="J97" s="1489">
        <f t="shared" si="119"/>
        <v>0</v>
      </c>
      <c r="K97" s="1489">
        <f t="shared" si="119"/>
        <v>0</v>
      </c>
      <c r="L97" s="1489">
        <f t="shared" si="119"/>
        <v>0</v>
      </c>
      <c r="M97" s="1489">
        <f t="shared" si="119"/>
        <v>0</v>
      </c>
      <c r="N97" s="1489">
        <f t="shared" si="119"/>
        <v>0</v>
      </c>
      <c r="O97" s="1489">
        <f t="shared" si="119"/>
        <v>0</v>
      </c>
      <c r="P97" s="1490">
        <f t="shared" si="113"/>
        <v>0</v>
      </c>
      <c r="Q97" s="1584"/>
      <c r="R97" s="1569"/>
      <c r="S97" s="82"/>
      <c r="T97" s="68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Z97" s="35" t="b">
        <f>IFERROR(OR(BO97,CF97),-1)</f>
        <v>0</v>
      </c>
      <c r="BA97" s="80"/>
      <c r="BB97" s="96" t="s">
        <v>620</v>
      </c>
      <c r="BC97" s="1188">
        <f>SUM(BC89:BC96)</f>
        <v>0</v>
      </c>
      <c r="BD97" s="1188">
        <f t="shared" ref="BD97:BN97" si="120">SUM(BD89:BD96)</f>
        <v>0</v>
      </c>
      <c r="BE97" s="1188">
        <f t="shared" si="120"/>
        <v>0</v>
      </c>
      <c r="BF97" s="1188">
        <f t="shared" si="120"/>
        <v>0</v>
      </c>
      <c r="BG97" s="1188">
        <f t="shared" si="120"/>
        <v>0</v>
      </c>
      <c r="BH97" s="1188">
        <f t="shared" si="120"/>
        <v>0</v>
      </c>
      <c r="BI97" s="1188">
        <f t="shared" si="120"/>
        <v>0</v>
      </c>
      <c r="BJ97" s="1188">
        <f t="shared" si="120"/>
        <v>0</v>
      </c>
      <c r="BK97" s="1188">
        <f t="shared" si="120"/>
        <v>0</v>
      </c>
      <c r="BL97" s="1188">
        <f t="shared" si="120"/>
        <v>0</v>
      </c>
      <c r="BM97" s="1188">
        <f t="shared" si="120"/>
        <v>0</v>
      </c>
      <c r="BN97" s="1188">
        <f t="shared" si="120"/>
        <v>0</v>
      </c>
      <c r="BO97" s="1192">
        <f>SUM(BC97:BN97)</f>
        <v>0</v>
      </c>
      <c r="BP97" s="68"/>
      <c r="BQ97" s="68"/>
      <c r="BR97" s="80"/>
      <c r="BS97" s="96" t="s">
        <v>620</v>
      </c>
      <c r="BT97" s="1188">
        <f>SUM(BT89:BT96)</f>
        <v>0</v>
      </c>
      <c r="BU97" s="1188">
        <f t="shared" ref="BU97:CE97" si="121">SUM(BU89:BU96)</f>
        <v>0</v>
      </c>
      <c r="BV97" s="1188">
        <f t="shared" si="121"/>
        <v>0</v>
      </c>
      <c r="BW97" s="1188">
        <f t="shared" si="121"/>
        <v>0</v>
      </c>
      <c r="BX97" s="1188">
        <f t="shared" si="121"/>
        <v>0</v>
      </c>
      <c r="BY97" s="1188">
        <f t="shared" si="121"/>
        <v>0</v>
      </c>
      <c r="BZ97" s="1188">
        <f t="shared" si="121"/>
        <v>0</v>
      </c>
      <c r="CA97" s="1188">
        <f t="shared" si="121"/>
        <v>0</v>
      </c>
      <c r="CB97" s="1188">
        <f t="shared" si="121"/>
        <v>0</v>
      </c>
      <c r="CC97" s="1188">
        <f t="shared" si="121"/>
        <v>0</v>
      </c>
      <c r="CD97" s="1188">
        <f t="shared" si="121"/>
        <v>0</v>
      </c>
      <c r="CE97" s="1188">
        <f t="shared" si="121"/>
        <v>0</v>
      </c>
      <c r="CF97" s="1192">
        <f t="shared" si="117"/>
        <v>0</v>
      </c>
      <c r="CU97" s="934"/>
      <c r="CV97" s="934"/>
      <c r="CW97" s="920">
        <v>18</v>
      </c>
      <c r="CX97" s="926"/>
      <c r="CY97" s="876" t="str">
        <f>"Summe "&amp;CY88</f>
        <v>Summe Produktionskosten</v>
      </c>
      <c r="CZ97" s="874" t="s">
        <v>284</v>
      </c>
      <c r="DA97" s="920">
        <v>18</v>
      </c>
      <c r="DB97" s="930">
        <f t="shared" si="104"/>
        <v>0</v>
      </c>
      <c r="DC97" s="928" t="str">
        <f t="shared" si="105"/>
        <v>Summe Produktionskosten</v>
      </c>
      <c r="DD97" s="928" t="str">
        <f t="shared" si="106"/>
        <v xml:space="preserve">Sum production costs </v>
      </c>
      <c r="DR97" s="126"/>
    </row>
    <row r="98" spans="1:122" ht="15.75" customHeight="1" x14ac:dyDescent="0.2">
      <c r="A98" s="1002"/>
      <c r="B98" s="141">
        <v>3</v>
      </c>
      <c r="C98" s="86" t="str">
        <f t="shared" si="118"/>
        <v>Personalkosten (nur Angestellte)</v>
      </c>
      <c r="D98" s="1190"/>
      <c r="E98" s="1190"/>
      <c r="F98" s="1190"/>
      <c r="G98" s="1190"/>
      <c r="H98" s="1190"/>
      <c r="I98" s="1190"/>
      <c r="J98" s="1190"/>
      <c r="K98" s="1190"/>
      <c r="L98" s="1190"/>
      <c r="M98" s="1190"/>
      <c r="N98" s="1190"/>
      <c r="O98" s="1190"/>
      <c r="P98" s="1186"/>
      <c r="Q98" s="1592"/>
      <c r="R98" s="1569"/>
      <c r="S98" s="93"/>
      <c r="T98" s="68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BA98" s="141">
        <v>3</v>
      </c>
      <c r="BB98" s="86" t="s">
        <v>43</v>
      </c>
      <c r="BC98" s="1190"/>
      <c r="BD98" s="1190"/>
      <c r="BE98" s="1190"/>
      <c r="BF98" s="1190"/>
      <c r="BG98" s="1190"/>
      <c r="BH98" s="1190"/>
      <c r="BI98" s="1190"/>
      <c r="BJ98" s="1190"/>
      <c r="BK98" s="1190"/>
      <c r="BL98" s="1190"/>
      <c r="BM98" s="1190"/>
      <c r="BN98" s="1190"/>
      <c r="BO98" s="1186"/>
      <c r="BP98" s="68"/>
      <c r="BQ98" s="68"/>
      <c r="BR98" s="141">
        <v>3</v>
      </c>
      <c r="BS98" s="86" t="s">
        <v>43</v>
      </c>
      <c r="BT98" s="1190"/>
      <c r="BU98" s="1190"/>
      <c r="BV98" s="1190"/>
      <c r="BW98" s="1190"/>
      <c r="BX98" s="1190"/>
      <c r="BY98" s="1190"/>
      <c r="BZ98" s="1190"/>
      <c r="CA98" s="1190"/>
      <c r="CB98" s="1190"/>
      <c r="CC98" s="1190"/>
      <c r="CD98" s="1190"/>
      <c r="CE98" s="1190"/>
      <c r="CF98" s="1186"/>
      <c r="CU98" s="934"/>
      <c r="CV98" s="934"/>
      <c r="CW98" s="920">
        <v>19</v>
      </c>
      <c r="CX98" s="926"/>
      <c r="CY98" s="876" t="s">
        <v>43</v>
      </c>
      <c r="CZ98" s="874" t="s">
        <v>297</v>
      </c>
      <c r="DA98" s="920">
        <v>19</v>
      </c>
      <c r="DB98" s="930">
        <f t="shared" si="104"/>
        <v>0</v>
      </c>
      <c r="DC98" s="928" t="str">
        <f t="shared" si="105"/>
        <v>Personalkosten (nur Angestellte)</v>
      </c>
      <c r="DD98" s="928" t="str">
        <f t="shared" si="106"/>
        <v>Personnel costs  (salery personel only)</v>
      </c>
      <c r="DR98" s="126"/>
    </row>
    <row r="99" spans="1:122" x14ac:dyDescent="0.2">
      <c r="A99" s="1002">
        <f t="shared" ref="A99:A106" si="122">A25</f>
        <v>0</v>
      </c>
      <c r="B99" s="72">
        <f>IF($D$4&lt;&gt;1, A99,"")</f>
        <v>0</v>
      </c>
      <c r="C99" s="1429" t="str">
        <f t="shared" si="118"/>
        <v>Löhne, Gehälter mit Nebenkosten (s. Nebenrechnung)</v>
      </c>
      <c r="D99" s="1430"/>
      <c r="E99" s="1430"/>
      <c r="F99" s="1430"/>
      <c r="G99" s="1430"/>
      <c r="H99" s="1430"/>
      <c r="I99" s="1430"/>
      <c r="J99" s="1430"/>
      <c r="K99" s="1430"/>
      <c r="L99" s="1430"/>
      <c r="M99" s="1430"/>
      <c r="N99" s="1430"/>
      <c r="O99" s="1430"/>
      <c r="P99" s="1431">
        <f>SUM(D99:O99)</f>
        <v>0</v>
      </c>
      <c r="Q99" s="1592"/>
      <c r="R99" s="1569"/>
      <c r="S99" s="1556"/>
      <c r="T99" s="68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BA99" s="72">
        <v>0</v>
      </c>
      <c r="BB99" s="73" t="s">
        <v>120</v>
      </c>
      <c r="BC99" s="1230">
        <f t="shared" ref="BC99:BN100" si="123">IF($A99=$Q$2,D99*IF(OR($D$4=0,$D$4=3),$A99,$A99/(1+$A99)),0)</f>
        <v>0</v>
      </c>
      <c r="BD99" s="1230">
        <f t="shared" si="123"/>
        <v>0</v>
      </c>
      <c r="BE99" s="1230">
        <f t="shared" si="123"/>
        <v>0</v>
      </c>
      <c r="BF99" s="1230">
        <f t="shared" si="123"/>
        <v>0</v>
      </c>
      <c r="BG99" s="1230">
        <f t="shared" si="123"/>
        <v>0</v>
      </c>
      <c r="BH99" s="1230">
        <f t="shared" si="123"/>
        <v>0</v>
      </c>
      <c r="BI99" s="1230">
        <f t="shared" si="123"/>
        <v>0</v>
      </c>
      <c r="BJ99" s="1230">
        <f t="shared" si="123"/>
        <v>0</v>
      </c>
      <c r="BK99" s="1230">
        <f t="shared" si="123"/>
        <v>0</v>
      </c>
      <c r="BL99" s="1230">
        <f t="shared" si="123"/>
        <v>0</v>
      </c>
      <c r="BM99" s="1230">
        <f t="shared" si="123"/>
        <v>0</v>
      </c>
      <c r="BN99" s="1230">
        <f t="shared" si="123"/>
        <v>0</v>
      </c>
      <c r="BO99" s="1186">
        <f>SUM(BC99:BN99)</f>
        <v>0</v>
      </c>
      <c r="BP99" s="68"/>
      <c r="BQ99" s="68"/>
      <c r="BR99" s="72">
        <v>0</v>
      </c>
      <c r="BS99" s="73" t="s">
        <v>120</v>
      </c>
      <c r="BT99" s="1230">
        <f t="shared" ref="BT99:CE100" si="124">IF($A99=$Q$3,D99*IF(OR($D$4=0,$D$4=3),$A99,$A99/(1+$A99)),0)</f>
        <v>0</v>
      </c>
      <c r="BU99" s="1230">
        <f t="shared" si="124"/>
        <v>0</v>
      </c>
      <c r="BV99" s="1230">
        <f t="shared" si="124"/>
        <v>0</v>
      </c>
      <c r="BW99" s="1230">
        <f t="shared" si="124"/>
        <v>0</v>
      </c>
      <c r="BX99" s="1230">
        <f t="shared" si="124"/>
        <v>0</v>
      </c>
      <c r="BY99" s="1230">
        <f t="shared" si="124"/>
        <v>0</v>
      </c>
      <c r="BZ99" s="1230">
        <f t="shared" si="124"/>
        <v>0</v>
      </c>
      <c r="CA99" s="1230">
        <f t="shared" si="124"/>
        <v>0</v>
      </c>
      <c r="CB99" s="1230">
        <f t="shared" si="124"/>
        <v>0</v>
      </c>
      <c r="CC99" s="1230">
        <f t="shared" si="124"/>
        <v>0</v>
      </c>
      <c r="CD99" s="1230">
        <f t="shared" si="124"/>
        <v>0</v>
      </c>
      <c r="CE99" s="1230">
        <f t="shared" si="124"/>
        <v>0</v>
      </c>
      <c r="CF99" s="1186">
        <f>SUM(BT99:CE99)</f>
        <v>0</v>
      </c>
      <c r="CU99" s="934"/>
      <c r="CV99" s="934"/>
      <c r="CW99" s="920">
        <v>20</v>
      </c>
      <c r="CX99" s="926">
        <v>0</v>
      </c>
      <c r="CY99" s="876" t="s">
        <v>120</v>
      </c>
      <c r="CZ99" s="874" t="s">
        <v>269</v>
      </c>
      <c r="DA99" s="920">
        <v>20</v>
      </c>
      <c r="DB99" s="930">
        <f t="shared" si="104"/>
        <v>0</v>
      </c>
      <c r="DC99" s="928" t="str">
        <f t="shared" si="105"/>
        <v>Löhne, Gehälter mit Nebenkosten (s. Nebenrechnung)</v>
      </c>
      <c r="DD99" s="928" t="str">
        <f t="shared" si="106"/>
        <v>Wages, saleries with additional costs (s. ancillary account)</v>
      </c>
      <c r="DR99" s="126"/>
    </row>
    <row r="100" spans="1:122" x14ac:dyDescent="0.2">
      <c r="A100" s="1002">
        <f t="shared" si="122"/>
        <v>0</v>
      </c>
      <c r="B100" s="72">
        <f>IF($D$4&lt;&gt;1, A100,"")</f>
        <v>0</v>
      </c>
      <c r="C100" s="1432" t="s">
        <v>470</v>
      </c>
      <c r="D100" s="1433"/>
      <c r="E100" s="1433"/>
      <c r="F100" s="1433"/>
      <c r="G100" s="1433"/>
      <c r="H100" s="1433"/>
      <c r="I100" s="1433"/>
      <c r="J100" s="1433"/>
      <c r="K100" s="1433"/>
      <c r="L100" s="1433"/>
      <c r="M100" s="1433"/>
      <c r="N100" s="1433"/>
      <c r="O100" s="1433"/>
      <c r="P100" s="1434">
        <f>SUM(D100:O100)</f>
        <v>0</v>
      </c>
      <c r="Q100" s="1592"/>
      <c r="R100" s="1569"/>
      <c r="S100" s="1556"/>
      <c r="T100" s="68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BA100" s="72"/>
      <c r="BB100" s="1063" t="s">
        <v>470</v>
      </c>
      <c r="BC100" s="1230">
        <f t="shared" si="123"/>
        <v>0</v>
      </c>
      <c r="BD100" s="1230">
        <f t="shared" si="123"/>
        <v>0</v>
      </c>
      <c r="BE100" s="1230">
        <f t="shared" si="123"/>
        <v>0</v>
      </c>
      <c r="BF100" s="1230">
        <f t="shared" si="123"/>
        <v>0</v>
      </c>
      <c r="BG100" s="1230">
        <f t="shared" si="123"/>
        <v>0</v>
      </c>
      <c r="BH100" s="1230">
        <f t="shared" si="123"/>
        <v>0</v>
      </c>
      <c r="BI100" s="1230">
        <f t="shared" si="123"/>
        <v>0</v>
      </c>
      <c r="BJ100" s="1230">
        <f t="shared" si="123"/>
        <v>0</v>
      </c>
      <c r="BK100" s="1230">
        <f t="shared" si="123"/>
        <v>0</v>
      </c>
      <c r="BL100" s="1230">
        <f t="shared" si="123"/>
        <v>0</v>
      </c>
      <c r="BM100" s="1230">
        <f t="shared" si="123"/>
        <v>0</v>
      </c>
      <c r="BN100" s="1230">
        <f t="shared" si="123"/>
        <v>0</v>
      </c>
      <c r="BO100" s="1187">
        <f>SUM(BC100:BN100)</f>
        <v>0</v>
      </c>
      <c r="BP100" s="68"/>
      <c r="BQ100" s="68"/>
      <c r="BR100" s="72"/>
      <c r="BS100" s="990" t="s">
        <v>470</v>
      </c>
      <c r="BT100" s="1230">
        <f t="shared" si="124"/>
        <v>0</v>
      </c>
      <c r="BU100" s="1230">
        <f t="shared" si="124"/>
        <v>0</v>
      </c>
      <c r="BV100" s="1230">
        <f t="shared" si="124"/>
        <v>0</v>
      </c>
      <c r="BW100" s="1230">
        <f t="shared" si="124"/>
        <v>0</v>
      </c>
      <c r="BX100" s="1230">
        <f t="shared" si="124"/>
        <v>0</v>
      </c>
      <c r="BY100" s="1230">
        <f t="shared" si="124"/>
        <v>0</v>
      </c>
      <c r="BZ100" s="1230">
        <f t="shared" si="124"/>
        <v>0</v>
      </c>
      <c r="CA100" s="1230">
        <f t="shared" si="124"/>
        <v>0</v>
      </c>
      <c r="CB100" s="1230">
        <f t="shared" si="124"/>
        <v>0</v>
      </c>
      <c r="CC100" s="1230">
        <f t="shared" si="124"/>
        <v>0</v>
      </c>
      <c r="CD100" s="1230">
        <f t="shared" si="124"/>
        <v>0</v>
      </c>
      <c r="CE100" s="1230">
        <f t="shared" si="124"/>
        <v>0</v>
      </c>
      <c r="CF100" s="1187">
        <f>SUM(BT100:CE100)</f>
        <v>0</v>
      </c>
      <c r="CU100" s="934"/>
      <c r="CV100" s="934"/>
      <c r="CW100" s="920">
        <v>21</v>
      </c>
      <c r="CX100" s="878">
        <f>$Q$2</f>
        <v>0.19</v>
      </c>
      <c r="CY100" s="873" t="s">
        <v>470</v>
      </c>
      <c r="CZ100" s="873" t="s">
        <v>473</v>
      </c>
      <c r="DA100" s="920">
        <v>21</v>
      </c>
      <c r="DB100" s="930">
        <f t="shared" si="104"/>
        <v>0.19</v>
      </c>
      <c r="DC100" s="928" t="str">
        <f t="shared" si="105"/>
        <v>Sonstiges</v>
      </c>
      <c r="DD100" s="928" t="str">
        <f t="shared" si="106"/>
        <v>Others</v>
      </c>
      <c r="DR100" s="126"/>
    </row>
    <row r="101" spans="1:122" ht="15" thickBot="1" x14ac:dyDescent="0.25">
      <c r="A101" s="1002">
        <f t="shared" si="122"/>
        <v>0</v>
      </c>
      <c r="B101" s="1487"/>
      <c r="C101" s="1488" t="str">
        <f t="shared" si="118"/>
        <v>Summe Personalkosten</v>
      </c>
      <c r="D101" s="1489">
        <f>SUM(D99:D100)</f>
        <v>0</v>
      </c>
      <c r="E101" s="1489">
        <f t="shared" ref="E101:O101" si="125">SUM(E99:E100)</f>
        <v>0</v>
      </c>
      <c r="F101" s="1489">
        <f t="shared" si="125"/>
        <v>0</v>
      </c>
      <c r="G101" s="1489">
        <f t="shared" si="125"/>
        <v>0</v>
      </c>
      <c r="H101" s="1489">
        <f t="shared" si="125"/>
        <v>0</v>
      </c>
      <c r="I101" s="1489">
        <f t="shared" si="125"/>
        <v>0</v>
      </c>
      <c r="J101" s="1489">
        <f t="shared" si="125"/>
        <v>0</v>
      </c>
      <c r="K101" s="1489">
        <f t="shared" si="125"/>
        <v>0</v>
      </c>
      <c r="L101" s="1489">
        <f t="shared" si="125"/>
        <v>0</v>
      </c>
      <c r="M101" s="1489">
        <f t="shared" si="125"/>
        <v>0</v>
      </c>
      <c r="N101" s="1489">
        <f t="shared" si="125"/>
        <v>0</v>
      </c>
      <c r="O101" s="1489">
        <f t="shared" si="125"/>
        <v>0</v>
      </c>
      <c r="P101" s="1490">
        <f>SUM(D101:O101)</f>
        <v>0</v>
      </c>
      <c r="Q101" s="1592"/>
      <c r="R101" s="1569"/>
      <c r="S101" s="82"/>
      <c r="T101" s="68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68"/>
      <c r="AJ101" s="68"/>
      <c r="AK101" s="68"/>
      <c r="AL101" s="68"/>
      <c r="AM101" s="68"/>
      <c r="AN101" s="68"/>
      <c r="AO101" s="68"/>
      <c r="AZ101" s="35" t="b">
        <f>IFERROR(OR(BO101,CF101),-1)</f>
        <v>0</v>
      </c>
      <c r="BA101" s="80"/>
      <c r="BB101" s="96" t="s">
        <v>208</v>
      </c>
      <c r="BC101" s="1188">
        <f>SUM(BC99:BC100)</f>
        <v>0</v>
      </c>
      <c r="BD101" s="1188">
        <f t="shared" ref="BD101:BN101" si="126">SUM(BD99:BD100)</f>
        <v>0</v>
      </c>
      <c r="BE101" s="1188">
        <f t="shared" si="126"/>
        <v>0</v>
      </c>
      <c r="BF101" s="1188">
        <f t="shared" si="126"/>
        <v>0</v>
      </c>
      <c r="BG101" s="1188">
        <f t="shared" si="126"/>
        <v>0</v>
      </c>
      <c r="BH101" s="1188">
        <f t="shared" si="126"/>
        <v>0</v>
      </c>
      <c r="BI101" s="1188">
        <f t="shared" si="126"/>
        <v>0</v>
      </c>
      <c r="BJ101" s="1188">
        <f t="shared" si="126"/>
        <v>0</v>
      </c>
      <c r="BK101" s="1188">
        <f t="shared" si="126"/>
        <v>0</v>
      </c>
      <c r="BL101" s="1188">
        <f t="shared" si="126"/>
        <v>0</v>
      </c>
      <c r="BM101" s="1188">
        <f t="shared" si="126"/>
        <v>0</v>
      </c>
      <c r="BN101" s="1188">
        <f t="shared" si="126"/>
        <v>0</v>
      </c>
      <c r="BO101" s="1192">
        <f>SUM(BC101:BN101)</f>
        <v>0</v>
      </c>
      <c r="BP101" s="68"/>
      <c r="BQ101" s="68"/>
      <c r="BR101" s="80"/>
      <c r="BS101" s="96" t="s">
        <v>208</v>
      </c>
      <c r="BT101" s="1188">
        <f>SUM(BT99:BT100)</f>
        <v>0</v>
      </c>
      <c r="BU101" s="1188">
        <f t="shared" ref="BU101:CE101" si="127">SUM(BU99:BU100)</f>
        <v>0</v>
      </c>
      <c r="BV101" s="1188">
        <f t="shared" si="127"/>
        <v>0</v>
      </c>
      <c r="BW101" s="1188">
        <f t="shared" si="127"/>
        <v>0</v>
      </c>
      <c r="BX101" s="1188">
        <f t="shared" si="127"/>
        <v>0</v>
      </c>
      <c r="BY101" s="1188">
        <f t="shared" si="127"/>
        <v>0</v>
      </c>
      <c r="BZ101" s="1188">
        <f t="shared" si="127"/>
        <v>0</v>
      </c>
      <c r="CA101" s="1188">
        <f t="shared" si="127"/>
        <v>0</v>
      </c>
      <c r="CB101" s="1188">
        <f t="shared" si="127"/>
        <v>0</v>
      </c>
      <c r="CC101" s="1188">
        <f t="shared" si="127"/>
        <v>0</v>
      </c>
      <c r="CD101" s="1188">
        <f t="shared" si="127"/>
        <v>0</v>
      </c>
      <c r="CE101" s="1188">
        <f t="shared" si="127"/>
        <v>0</v>
      </c>
      <c r="CF101" s="1192">
        <f>SUM(BT101:CE101)</f>
        <v>0</v>
      </c>
      <c r="CU101" s="934"/>
      <c r="CV101" s="934"/>
      <c r="CW101" s="920">
        <v>22</v>
      </c>
      <c r="CX101" s="926"/>
      <c r="CY101" s="876" t="s">
        <v>208</v>
      </c>
      <c r="CZ101" s="874" t="s">
        <v>283</v>
      </c>
      <c r="DA101" s="920">
        <v>22</v>
      </c>
      <c r="DB101" s="930">
        <f t="shared" si="104"/>
        <v>0</v>
      </c>
      <c r="DC101" s="928" t="str">
        <f t="shared" si="105"/>
        <v>Summe Personalkosten</v>
      </c>
      <c r="DD101" s="928" t="str">
        <f t="shared" si="106"/>
        <v xml:space="preserve">Sum personal costs </v>
      </c>
      <c r="DR101" s="126"/>
    </row>
    <row r="102" spans="1:122" x14ac:dyDescent="0.2">
      <c r="A102" s="1002">
        <f t="shared" si="122"/>
        <v>0</v>
      </c>
      <c r="B102" s="141">
        <v>4</v>
      </c>
      <c r="C102" s="86" t="str">
        <f t="shared" si="118"/>
        <v>Reisekosten</v>
      </c>
      <c r="D102" s="1190"/>
      <c r="E102" s="1190"/>
      <c r="F102" s="1190"/>
      <c r="G102" s="1190"/>
      <c r="H102" s="1190"/>
      <c r="I102" s="1190"/>
      <c r="J102" s="1190"/>
      <c r="K102" s="1190"/>
      <c r="L102" s="1190"/>
      <c r="M102" s="1190"/>
      <c r="N102" s="1190"/>
      <c r="O102" s="1190"/>
      <c r="P102" s="1191"/>
      <c r="Q102" s="1584"/>
      <c r="R102" s="1569"/>
      <c r="S102" s="93"/>
      <c r="T102" s="68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68"/>
      <c r="AJ102" s="68"/>
      <c r="AK102" s="68"/>
      <c r="AL102" s="68"/>
      <c r="AM102" s="68"/>
      <c r="AN102" s="68"/>
      <c r="AO102" s="68"/>
      <c r="BA102" s="141">
        <v>4</v>
      </c>
      <c r="BB102" s="86" t="s">
        <v>121</v>
      </c>
      <c r="BC102" s="1190"/>
      <c r="BD102" s="1190"/>
      <c r="BE102" s="1190"/>
      <c r="BF102" s="1190"/>
      <c r="BG102" s="1190"/>
      <c r="BH102" s="1190"/>
      <c r="BI102" s="1190"/>
      <c r="BJ102" s="1190"/>
      <c r="BK102" s="1190"/>
      <c r="BL102" s="1190"/>
      <c r="BM102" s="1190"/>
      <c r="BN102" s="1190"/>
      <c r="BO102" s="1191"/>
      <c r="BP102" s="68"/>
      <c r="BQ102" s="68"/>
      <c r="BR102" s="141">
        <v>4</v>
      </c>
      <c r="BS102" s="86" t="s">
        <v>121</v>
      </c>
      <c r="BT102" s="1190"/>
      <c r="BU102" s="1190"/>
      <c r="BV102" s="1190"/>
      <c r="BW102" s="1190"/>
      <c r="BX102" s="1190"/>
      <c r="BY102" s="1190"/>
      <c r="BZ102" s="1190"/>
      <c r="CA102" s="1190"/>
      <c r="CB102" s="1190"/>
      <c r="CC102" s="1190"/>
      <c r="CD102" s="1190"/>
      <c r="CE102" s="1190"/>
      <c r="CF102" s="1191"/>
      <c r="CU102" s="934"/>
      <c r="CV102" s="934"/>
      <c r="CW102" s="920">
        <v>23</v>
      </c>
      <c r="CX102" s="926"/>
      <c r="CY102" s="876" t="s">
        <v>121</v>
      </c>
      <c r="CZ102" s="874" t="s">
        <v>261</v>
      </c>
      <c r="DA102" s="920">
        <v>23</v>
      </c>
      <c r="DB102" s="930">
        <f t="shared" si="104"/>
        <v>0</v>
      </c>
      <c r="DC102" s="928" t="str">
        <f t="shared" si="105"/>
        <v>Reisekosten</v>
      </c>
      <c r="DD102" s="928" t="str">
        <f t="shared" si="106"/>
        <v>Travel expenses</v>
      </c>
      <c r="DR102" s="126"/>
    </row>
    <row r="103" spans="1:122" x14ac:dyDescent="0.2">
      <c r="A103" s="1002">
        <f t="shared" si="122"/>
        <v>0.19</v>
      </c>
      <c r="B103" s="72">
        <f>IF($D$4&lt;&gt;1, A103,"")</f>
        <v>0.19</v>
      </c>
      <c r="C103" s="1429" t="str">
        <f t="shared" si="118"/>
        <v>Fahrtkosten</v>
      </c>
      <c r="D103" s="1430"/>
      <c r="E103" s="1430"/>
      <c r="F103" s="1430"/>
      <c r="G103" s="1430"/>
      <c r="H103" s="1430"/>
      <c r="I103" s="1430"/>
      <c r="J103" s="1430"/>
      <c r="K103" s="1430"/>
      <c r="L103" s="1430"/>
      <c r="M103" s="1430"/>
      <c r="N103" s="1430"/>
      <c r="O103" s="1430"/>
      <c r="P103" s="1431">
        <f>SUM(D103:O103)</f>
        <v>0</v>
      </c>
      <c r="Q103" s="1676" t="s">
        <v>796</v>
      </c>
      <c r="S103" s="1556"/>
      <c r="T103" s="68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68"/>
      <c r="AJ103" s="68"/>
      <c r="AK103" s="68"/>
      <c r="AL103" s="68"/>
      <c r="AM103" s="68"/>
      <c r="AN103" s="68"/>
      <c r="AO103" s="68"/>
      <c r="BA103" s="72">
        <v>0.19</v>
      </c>
      <c r="BB103" s="73" t="s">
        <v>124</v>
      </c>
      <c r="BC103" s="1230">
        <f t="shared" ref="BC103:BN106" si="128">IF($A103=$Q$2,D103*IF(OR($D$4=0,$D$4=3),$A103,$A103/(1+$A103)),0)</f>
        <v>0</v>
      </c>
      <c r="BD103" s="1230">
        <f t="shared" si="128"/>
        <v>0</v>
      </c>
      <c r="BE103" s="1230">
        <f t="shared" si="128"/>
        <v>0</v>
      </c>
      <c r="BF103" s="1230">
        <f t="shared" si="128"/>
        <v>0</v>
      </c>
      <c r="BG103" s="1230">
        <f t="shared" si="128"/>
        <v>0</v>
      </c>
      <c r="BH103" s="1230">
        <f t="shared" si="128"/>
        <v>0</v>
      </c>
      <c r="BI103" s="1230">
        <f t="shared" si="128"/>
        <v>0</v>
      </c>
      <c r="BJ103" s="1230">
        <f t="shared" si="128"/>
        <v>0</v>
      </c>
      <c r="BK103" s="1230">
        <f t="shared" si="128"/>
        <v>0</v>
      </c>
      <c r="BL103" s="1230">
        <f t="shared" si="128"/>
        <v>0</v>
      </c>
      <c r="BM103" s="1230">
        <f t="shared" si="128"/>
        <v>0</v>
      </c>
      <c r="BN103" s="1230">
        <f t="shared" si="128"/>
        <v>0</v>
      </c>
      <c r="BO103" s="1186">
        <f>SUM(BC103:BN103)</f>
        <v>0</v>
      </c>
      <c r="BP103" s="68"/>
      <c r="BQ103" s="68"/>
      <c r="BR103" s="72">
        <v>0.19</v>
      </c>
      <c r="BS103" s="73" t="s">
        <v>124</v>
      </c>
      <c r="BT103" s="1230">
        <f>IF($A103=$Q$3,#REF!*IF(OR($D$4=0,$D$4=3),$A103,$A103/(1+$A103)),0)</f>
        <v>0</v>
      </c>
      <c r="BU103" s="1230">
        <f t="shared" ref="BT103:CE106" si="129">IF($A103=$Q$3,E103*IF(OR($D$4=0,$D$4=3),$A103,$A103/(1+$A103)),0)</f>
        <v>0</v>
      </c>
      <c r="BV103" s="1230">
        <f t="shared" si="129"/>
        <v>0</v>
      </c>
      <c r="BW103" s="1230">
        <f t="shared" si="129"/>
        <v>0</v>
      </c>
      <c r="BX103" s="1230">
        <f t="shared" si="129"/>
        <v>0</v>
      </c>
      <c r="BY103" s="1230">
        <f t="shared" si="129"/>
        <v>0</v>
      </c>
      <c r="BZ103" s="1230">
        <f t="shared" si="129"/>
        <v>0</v>
      </c>
      <c r="CA103" s="1230">
        <f t="shared" si="129"/>
        <v>0</v>
      </c>
      <c r="CB103" s="1230">
        <f t="shared" si="129"/>
        <v>0</v>
      </c>
      <c r="CC103" s="1230">
        <f t="shared" si="129"/>
        <v>0</v>
      </c>
      <c r="CD103" s="1230">
        <f t="shared" si="129"/>
        <v>0</v>
      </c>
      <c r="CE103" s="1230">
        <f t="shared" si="129"/>
        <v>0</v>
      </c>
      <c r="CF103" s="1186">
        <f>SUM(BT103:CE103)</f>
        <v>0</v>
      </c>
      <c r="CW103" s="920">
        <v>24</v>
      </c>
      <c r="CX103" s="926">
        <f>$Q$2</f>
        <v>0.19</v>
      </c>
      <c r="CY103" s="872" t="s">
        <v>124</v>
      </c>
      <c r="CZ103" s="874" t="s">
        <v>261</v>
      </c>
      <c r="DA103" s="920">
        <v>24</v>
      </c>
      <c r="DB103" s="930">
        <f t="shared" si="104"/>
        <v>0.19</v>
      </c>
      <c r="DC103" s="928" t="str">
        <f t="shared" si="105"/>
        <v>Fahrtkosten</v>
      </c>
      <c r="DD103" s="928" t="str">
        <f t="shared" si="106"/>
        <v>Travel expenses</v>
      </c>
      <c r="DR103" s="126"/>
    </row>
    <row r="104" spans="1:122" x14ac:dyDescent="0.2">
      <c r="A104" s="1002">
        <f t="shared" si="122"/>
        <v>0.19</v>
      </c>
      <c r="B104" s="72">
        <f>IF($D$4&lt;&gt;1, A104,"")</f>
        <v>0.19</v>
      </c>
      <c r="C104" s="1429" t="str">
        <f t="shared" si="118"/>
        <v>Reisekostenpauschalen</v>
      </c>
      <c r="D104" s="1430"/>
      <c r="E104" s="1430"/>
      <c r="F104" s="1430"/>
      <c r="G104" s="1430"/>
      <c r="H104" s="1430"/>
      <c r="I104" s="1430"/>
      <c r="J104" s="1430"/>
      <c r="K104" s="1430"/>
      <c r="L104" s="1430"/>
      <c r="M104" s="1430"/>
      <c r="N104" s="1430"/>
      <c r="O104" s="1430"/>
      <c r="P104" s="1431">
        <f>SUM(D104:O104)</f>
        <v>0</v>
      </c>
      <c r="Q104" s="1676"/>
      <c r="S104" s="1556"/>
      <c r="T104" s="68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BA104" s="72">
        <v>0.19</v>
      </c>
      <c r="BB104" s="73" t="s">
        <v>118</v>
      </c>
      <c r="BC104" s="1230">
        <f>IF($A104=$Q$2,D103*IF(OR($D$4=0,$D$4=3),$A104,$A104/(1+$A104)),0)</f>
        <v>0</v>
      </c>
      <c r="BD104" s="1230">
        <f t="shared" si="128"/>
        <v>0</v>
      </c>
      <c r="BE104" s="1230">
        <f t="shared" si="128"/>
        <v>0</v>
      </c>
      <c r="BF104" s="1230">
        <f t="shared" si="128"/>
        <v>0</v>
      </c>
      <c r="BG104" s="1230">
        <f t="shared" si="128"/>
        <v>0</v>
      </c>
      <c r="BH104" s="1230">
        <f t="shared" si="128"/>
        <v>0</v>
      </c>
      <c r="BI104" s="1230">
        <f t="shared" si="128"/>
        <v>0</v>
      </c>
      <c r="BJ104" s="1230">
        <f t="shared" si="128"/>
        <v>0</v>
      </c>
      <c r="BK104" s="1230">
        <f t="shared" si="128"/>
        <v>0</v>
      </c>
      <c r="BL104" s="1230">
        <f t="shared" si="128"/>
        <v>0</v>
      </c>
      <c r="BM104" s="1230">
        <f t="shared" si="128"/>
        <v>0</v>
      </c>
      <c r="BN104" s="1230">
        <f t="shared" si="128"/>
        <v>0</v>
      </c>
      <c r="BO104" s="1186">
        <f>SUM(BC104:BN104)</f>
        <v>0</v>
      </c>
      <c r="BP104" s="68"/>
      <c r="BQ104" s="68"/>
      <c r="BR104" s="72">
        <v>0.19</v>
      </c>
      <c r="BS104" s="73" t="s">
        <v>118</v>
      </c>
      <c r="BT104" s="1230">
        <f>IF($A104=$Q$3,D103*IF(OR($D$4=0,$D$4=3),$A104,$A104/(1+$A104)),0)</f>
        <v>0</v>
      </c>
      <c r="BU104" s="1230">
        <f t="shared" si="129"/>
        <v>0</v>
      </c>
      <c r="BV104" s="1230">
        <f t="shared" si="129"/>
        <v>0</v>
      </c>
      <c r="BW104" s="1230">
        <f t="shared" si="129"/>
        <v>0</v>
      </c>
      <c r="BX104" s="1230">
        <f t="shared" si="129"/>
        <v>0</v>
      </c>
      <c r="BY104" s="1230">
        <f t="shared" si="129"/>
        <v>0</v>
      </c>
      <c r="BZ104" s="1230">
        <f t="shared" si="129"/>
        <v>0</v>
      </c>
      <c r="CA104" s="1230">
        <f t="shared" si="129"/>
        <v>0</v>
      </c>
      <c r="CB104" s="1230">
        <f t="shared" si="129"/>
        <v>0</v>
      </c>
      <c r="CC104" s="1230">
        <f t="shared" si="129"/>
        <v>0</v>
      </c>
      <c r="CD104" s="1230">
        <f t="shared" si="129"/>
        <v>0</v>
      </c>
      <c r="CE104" s="1230">
        <f t="shared" si="129"/>
        <v>0</v>
      </c>
      <c r="CF104" s="1186">
        <f>SUM(BT104:CE104)</f>
        <v>0</v>
      </c>
      <c r="CW104" s="920">
        <v>25</v>
      </c>
      <c r="CX104" s="926">
        <f>$Q$2</f>
        <v>0.19</v>
      </c>
      <c r="CY104" s="872" t="s">
        <v>118</v>
      </c>
      <c r="CZ104" s="874" t="s">
        <v>276</v>
      </c>
      <c r="DA104" s="920">
        <v>25</v>
      </c>
      <c r="DB104" s="930">
        <f t="shared" si="104"/>
        <v>0.19</v>
      </c>
      <c r="DC104" s="928" t="str">
        <f t="shared" si="105"/>
        <v>Reisekostenpauschalen</v>
      </c>
      <c r="DD104" s="928" t="str">
        <f t="shared" si="106"/>
        <v xml:space="preserve">Travelling allowances </v>
      </c>
      <c r="DR104" s="126"/>
    </row>
    <row r="105" spans="1:122" x14ac:dyDescent="0.2">
      <c r="A105" s="1002">
        <f t="shared" si="122"/>
        <v>7.0000000000000007E-2</v>
      </c>
      <c r="B105" s="72">
        <f>IF($D$4&lt;&gt;1, A105,"")</f>
        <v>7.0000000000000007E-2</v>
      </c>
      <c r="C105" s="1429" t="str">
        <f t="shared" si="118"/>
        <v>Übernachtungen</v>
      </c>
      <c r="D105" s="1430"/>
      <c r="E105" s="1430"/>
      <c r="F105" s="1430"/>
      <c r="G105" s="1430"/>
      <c r="H105" s="1430"/>
      <c r="I105" s="1430"/>
      <c r="J105" s="1430"/>
      <c r="K105" s="1430"/>
      <c r="L105" s="1430"/>
      <c r="M105" s="1430"/>
      <c r="N105" s="1430"/>
      <c r="O105" s="1430"/>
      <c r="P105" s="1431">
        <f>SUM(D105:O105)</f>
        <v>0</v>
      </c>
      <c r="Q105" s="1676"/>
      <c r="S105" s="1556"/>
      <c r="T105" s="68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BA105" s="72">
        <v>7.0000000000000007E-2</v>
      </c>
      <c r="BB105" s="73" t="s">
        <v>122</v>
      </c>
      <c r="BC105" s="1230">
        <f t="shared" si="128"/>
        <v>0</v>
      </c>
      <c r="BD105" s="1230">
        <f t="shared" si="128"/>
        <v>0</v>
      </c>
      <c r="BE105" s="1230">
        <f t="shared" si="128"/>
        <v>0</v>
      </c>
      <c r="BF105" s="1230">
        <f t="shared" si="128"/>
        <v>0</v>
      </c>
      <c r="BG105" s="1230">
        <f t="shared" si="128"/>
        <v>0</v>
      </c>
      <c r="BH105" s="1230">
        <f t="shared" si="128"/>
        <v>0</v>
      </c>
      <c r="BI105" s="1230">
        <f t="shared" si="128"/>
        <v>0</v>
      </c>
      <c r="BJ105" s="1230">
        <f t="shared" si="128"/>
        <v>0</v>
      </c>
      <c r="BK105" s="1230">
        <f t="shared" si="128"/>
        <v>0</v>
      </c>
      <c r="BL105" s="1230">
        <f t="shared" si="128"/>
        <v>0</v>
      </c>
      <c r="BM105" s="1230">
        <f t="shared" si="128"/>
        <v>0</v>
      </c>
      <c r="BN105" s="1230">
        <f t="shared" si="128"/>
        <v>0</v>
      </c>
      <c r="BO105" s="1186">
        <f>SUM(BC105:BN105)</f>
        <v>0</v>
      </c>
      <c r="BP105" s="68"/>
      <c r="BQ105" s="68"/>
      <c r="BR105" s="72">
        <v>7.0000000000000007E-2</v>
      </c>
      <c r="BS105" s="73" t="s">
        <v>122</v>
      </c>
      <c r="BT105" s="1230">
        <f t="shared" si="129"/>
        <v>0</v>
      </c>
      <c r="BU105" s="1230">
        <f t="shared" si="129"/>
        <v>0</v>
      </c>
      <c r="BV105" s="1230">
        <f t="shared" si="129"/>
        <v>0</v>
      </c>
      <c r="BW105" s="1230">
        <f t="shared" si="129"/>
        <v>0</v>
      </c>
      <c r="BX105" s="1230">
        <f t="shared" si="129"/>
        <v>0</v>
      </c>
      <c r="BY105" s="1230">
        <f t="shared" si="129"/>
        <v>0</v>
      </c>
      <c r="BZ105" s="1230">
        <f t="shared" si="129"/>
        <v>0</v>
      </c>
      <c r="CA105" s="1230">
        <f t="shared" si="129"/>
        <v>0</v>
      </c>
      <c r="CB105" s="1230">
        <f t="shared" si="129"/>
        <v>0</v>
      </c>
      <c r="CC105" s="1230">
        <f t="shared" si="129"/>
        <v>0</v>
      </c>
      <c r="CD105" s="1230">
        <f t="shared" si="129"/>
        <v>0</v>
      </c>
      <c r="CE105" s="1230">
        <f t="shared" si="129"/>
        <v>0</v>
      </c>
      <c r="CF105" s="1186">
        <f>SUM(BT105:CE105)</f>
        <v>0</v>
      </c>
      <c r="CU105" s="90"/>
      <c r="CV105" s="90"/>
      <c r="CW105" s="920">
        <v>26</v>
      </c>
      <c r="CX105" s="926">
        <f>$Q$3</f>
        <v>7.0000000000000007E-2</v>
      </c>
      <c r="CY105" s="872" t="s">
        <v>122</v>
      </c>
      <c r="CZ105" s="874" t="s">
        <v>289</v>
      </c>
      <c r="DA105" s="920">
        <v>26</v>
      </c>
      <c r="DB105" s="930">
        <f t="shared" si="104"/>
        <v>7.0000000000000007E-2</v>
      </c>
      <c r="DC105" s="928" t="str">
        <f t="shared" si="105"/>
        <v>Übernachtungen</v>
      </c>
      <c r="DD105" s="928" t="str">
        <f t="shared" si="106"/>
        <v>Accomodations</v>
      </c>
      <c r="DR105" s="126"/>
    </row>
    <row r="106" spans="1:122" x14ac:dyDescent="0.2">
      <c r="A106" s="1002">
        <f t="shared" si="122"/>
        <v>0.19</v>
      </c>
      <c r="B106" s="72">
        <f>IF($D$4&lt;&gt;1, A106,"")</f>
        <v>0.19</v>
      </c>
      <c r="C106" s="1432" t="s">
        <v>470</v>
      </c>
      <c r="D106" s="1433"/>
      <c r="E106" s="1433"/>
      <c r="F106" s="1433"/>
      <c r="G106" s="1433"/>
      <c r="H106" s="1433"/>
      <c r="I106" s="1433"/>
      <c r="J106" s="1433"/>
      <c r="K106" s="1433"/>
      <c r="L106" s="1433"/>
      <c r="M106" s="1433"/>
      <c r="N106" s="1433"/>
      <c r="O106" s="1433"/>
      <c r="P106" s="1434">
        <f>SUM(D106:O106)</f>
        <v>0</v>
      </c>
      <c r="Q106" s="1676"/>
      <c r="S106" s="1556"/>
      <c r="T106" s="68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BA106" s="72"/>
      <c r="BB106" s="1063" t="s">
        <v>470</v>
      </c>
      <c r="BC106" s="1230">
        <f t="shared" si="128"/>
        <v>0</v>
      </c>
      <c r="BD106" s="1230">
        <f t="shared" si="128"/>
        <v>0</v>
      </c>
      <c r="BE106" s="1230">
        <f t="shared" si="128"/>
        <v>0</v>
      </c>
      <c r="BF106" s="1230">
        <f t="shared" si="128"/>
        <v>0</v>
      </c>
      <c r="BG106" s="1230">
        <f t="shared" si="128"/>
        <v>0</v>
      </c>
      <c r="BH106" s="1230">
        <f t="shared" si="128"/>
        <v>0</v>
      </c>
      <c r="BI106" s="1230">
        <f t="shared" si="128"/>
        <v>0</v>
      </c>
      <c r="BJ106" s="1230">
        <f t="shared" si="128"/>
        <v>0</v>
      </c>
      <c r="BK106" s="1230">
        <f t="shared" si="128"/>
        <v>0</v>
      </c>
      <c r="BL106" s="1230">
        <f t="shared" si="128"/>
        <v>0</v>
      </c>
      <c r="BM106" s="1230">
        <f t="shared" si="128"/>
        <v>0</v>
      </c>
      <c r="BN106" s="1230">
        <f t="shared" si="128"/>
        <v>0</v>
      </c>
      <c r="BO106" s="1187">
        <f>SUM(BC106:BN106)</f>
        <v>0</v>
      </c>
      <c r="BP106" s="68"/>
      <c r="BQ106" s="68"/>
      <c r="BR106" s="72"/>
      <c r="BS106" s="990" t="s">
        <v>470</v>
      </c>
      <c r="BT106" s="1230">
        <f t="shared" si="129"/>
        <v>0</v>
      </c>
      <c r="BU106" s="1230">
        <f t="shared" si="129"/>
        <v>0</v>
      </c>
      <c r="BV106" s="1230">
        <f t="shared" si="129"/>
        <v>0</v>
      </c>
      <c r="BW106" s="1230">
        <f t="shared" si="129"/>
        <v>0</v>
      </c>
      <c r="BX106" s="1230">
        <f t="shared" si="129"/>
        <v>0</v>
      </c>
      <c r="BY106" s="1230">
        <f t="shared" si="129"/>
        <v>0</v>
      </c>
      <c r="BZ106" s="1230">
        <f t="shared" si="129"/>
        <v>0</v>
      </c>
      <c r="CA106" s="1230">
        <f t="shared" si="129"/>
        <v>0</v>
      </c>
      <c r="CB106" s="1230">
        <f t="shared" si="129"/>
        <v>0</v>
      </c>
      <c r="CC106" s="1230">
        <f t="shared" si="129"/>
        <v>0</v>
      </c>
      <c r="CD106" s="1230">
        <f t="shared" si="129"/>
        <v>0</v>
      </c>
      <c r="CE106" s="1230">
        <f t="shared" si="129"/>
        <v>0</v>
      </c>
      <c r="CF106" s="1187">
        <f>SUM(BT106:CE106)</f>
        <v>0</v>
      </c>
      <c r="CU106" s="934"/>
      <c r="CV106" s="934"/>
      <c r="CW106" s="920">
        <v>27</v>
      </c>
      <c r="CX106" s="878">
        <f>$Q$2</f>
        <v>0.19</v>
      </c>
      <c r="CY106" s="873" t="s">
        <v>470</v>
      </c>
      <c r="CZ106" s="873" t="s">
        <v>473</v>
      </c>
      <c r="DA106" s="920">
        <v>27</v>
      </c>
      <c r="DB106" s="930">
        <f t="shared" si="104"/>
        <v>0.19</v>
      </c>
      <c r="DC106" s="928" t="str">
        <f t="shared" si="105"/>
        <v>Sonstiges</v>
      </c>
      <c r="DD106" s="928" t="str">
        <f t="shared" si="106"/>
        <v>Others</v>
      </c>
      <c r="DR106" s="126"/>
    </row>
    <row r="107" spans="1:122" ht="15" thickBot="1" x14ac:dyDescent="0.25">
      <c r="A107" s="1002"/>
      <c r="B107" s="1487"/>
      <c r="C107" s="1488" t="str">
        <f t="shared" si="118"/>
        <v>Summe Reisekosten</v>
      </c>
      <c r="D107" s="1489">
        <f>SUM(D103:D106)</f>
        <v>0</v>
      </c>
      <c r="E107" s="1489">
        <f t="shared" ref="E107:O107" si="130">SUM(E103:E106)</f>
        <v>0</v>
      </c>
      <c r="F107" s="1489">
        <f t="shared" si="130"/>
        <v>0</v>
      </c>
      <c r="G107" s="1489">
        <f t="shared" si="130"/>
        <v>0</v>
      </c>
      <c r="H107" s="1489">
        <f t="shared" si="130"/>
        <v>0</v>
      </c>
      <c r="I107" s="1489">
        <f t="shared" si="130"/>
        <v>0</v>
      </c>
      <c r="J107" s="1489">
        <f t="shared" si="130"/>
        <v>0</v>
      </c>
      <c r="K107" s="1489">
        <f t="shared" si="130"/>
        <v>0</v>
      </c>
      <c r="L107" s="1489">
        <f t="shared" si="130"/>
        <v>0</v>
      </c>
      <c r="M107" s="1489">
        <f t="shared" si="130"/>
        <v>0</v>
      </c>
      <c r="N107" s="1489">
        <f t="shared" si="130"/>
        <v>0</v>
      </c>
      <c r="O107" s="1489">
        <f t="shared" si="130"/>
        <v>0</v>
      </c>
      <c r="P107" s="1490">
        <f>SUM(D107:O107)</f>
        <v>0</v>
      </c>
      <c r="Q107" s="1585"/>
      <c r="S107" s="82"/>
      <c r="T107" s="68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Z107" s="35" t="b">
        <f>IFERROR(OR(BO107,CF107),-1)</f>
        <v>0</v>
      </c>
      <c r="BA107" s="80"/>
      <c r="BB107" s="96" t="s">
        <v>621</v>
      </c>
      <c r="BC107" s="1188">
        <f>SUM(BC103:BC106)</f>
        <v>0</v>
      </c>
      <c r="BD107" s="1188">
        <f t="shared" ref="BD107:BN107" si="131">SUM(BD103:BD106)</f>
        <v>0</v>
      </c>
      <c r="BE107" s="1188">
        <f t="shared" si="131"/>
        <v>0</v>
      </c>
      <c r="BF107" s="1188">
        <f t="shared" si="131"/>
        <v>0</v>
      </c>
      <c r="BG107" s="1188">
        <f t="shared" si="131"/>
        <v>0</v>
      </c>
      <c r="BH107" s="1188">
        <f t="shared" si="131"/>
        <v>0</v>
      </c>
      <c r="BI107" s="1188">
        <f t="shared" si="131"/>
        <v>0</v>
      </c>
      <c r="BJ107" s="1188">
        <f t="shared" si="131"/>
        <v>0</v>
      </c>
      <c r="BK107" s="1188">
        <f t="shared" si="131"/>
        <v>0</v>
      </c>
      <c r="BL107" s="1188">
        <f t="shared" si="131"/>
        <v>0</v>
      </c>
      <c r="BM107" s="1188">
        <f t="shared" si="131"/>
        <v>0</v>
      </c>
      <c r="BN107" s="1188">
        <f t="shared" si="131"/>
        <v>0</v>
      </c>
      <c r="BO107" s="1192">
        <f>SUM(BC107:BN107)</f>
        <v>0</v>
      </c>
      <c r="BP107" s="68"/>
      <c r="BQ107" s="68"/>
      <c r="BR107" s="80"/>
      <c r="BS107" s="96" t="s">
        <v>621</v>
      </c>
      <c r="BT107" s="1188">
        <f>SUM(BT103:BT106)</f>
        <v>0</v>
      </c>
      <c r="BU107" s="1188">
        <f t="shared" ref="BU107:CE107" si="132">SUM(BU103:BU106)</f>
        <v>0</v>
      </c>
      <c r="BV107" s="1188">
        <f t="shared" si="132"/>
        <v>0</v>
      </c>
      <c r="BW107" s="1188">
        <f t="shared" si="132"/>
        <v>0</v>
      </c>
      <c r="BX107" s="1188">
        <f t="shared" si="132"/>
        <v>0</v>
      </c>
      <c r="BY107" s="1188">
        <f t="shared" si="132"/>
        <v>0</v>
      </c>
      <c r="BZ107" s="1188">
        <f t="shared" si="132"/>
        <v>0</v>
      </c>
      <c r="CA107" s="1188">
        <f t="shared" si="132"/>
        <v>0</v>
      </c>
      <c r="CB107" s="1188">
        <f t="shared" si="132"/>
        <v>0</v>
      </c>
      <c r="CC107" s="1188">
        <f t="shared" si="132"/>
        <v>0</v>
      </c>
      <c r="CD107" s="1188">
        <f t="shared" si="132"/>
        <v>0</v>
      </c>
      <c r="CE107" s="1188">
        <f t="shared" si="132"/>
        <v>0</v>
      </c>
      <c r="CF107" s="1192">
        <f>SUM(BT107:CE107)</f>
        <v>0</v>
      </c>
      <c r="CU107" s="934"/>
      <c r="CV107" s="934"/>
      <c r="CW107" s="920">
        <v>28</v>
      </c>
      <c r="CX107" s="926"/>
      <c r="CY107" s="876" t="str">
        <f>"Summe " &amp;CY102</f>
        <v>Summe Reisekosten</v>
      </c>
      <c r="CZ107" s="874" t="s">
        <v>285</v>
      </c>
      <c r="DA107" s="920">
        <v>28</v>
      </c>
      <c r="DB107" s="930">
        <f t="shared" si="104"/>
        <v>0</v>
      </c>
      <c r="DC107" s="928" t="str">
        <f t="shared" si="105"/>
        <v>Summe Reisekosten</v>
      </c>
      <c r="DD107" s="928" t="str">
        <f t="shared" si="106"/>
        <v>Sum travel expenses</v>
      </c>
      <c r="DR107" s="126"/>
    </row>
    <row r="108" spans="1:122" x14ac:dyDescent="0.2">
      <c r="A108" s="1002"/>
      <c r="B108" s="141">
        <v>5</v>
      </c>
      <c r="C108" s="86" t="str">
        <f t="shared" si="118"/>
        <v>Versicherungen und Beiträge (betrieblich!)</v>
      </c>
      <c r="D108" s="1190"/>
      <c r="E108" s="1190"/>
      <c r="F108" s="1190"/>
      <c r="G108" s="1190"/>
      <c r="H108" s="1190"/>
      <c r="I108" s="1190"/>
      <c r="J108" s="1190"/>
      <c r="K108" s="1190"/>
      <c r="L108" s="1190"/>
      <c r="M108" s="1190"/>
      <c r="N108" s="1190"/>
      <c r="O108" s="1190"/>
      <c r="P108" s="1191"/>
      <c r="Q108" s="47"/>
      <c r="S108" s="93"/>
      <c r="T108" s="68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BA108" s="141">
        <v>5</v>
      </c>
      <c r="BB108" s="86" t="s">
        <v>499</v>
      </c>
      <c r="BC108" s="1190"/>
      <c r="BD108" s="1190"/>
      <c r="BE108" s="1190"/>
      <c r="BF108" s="1190"/>
      <c r="BG108" s="1190"/>
      <c r="BH108" s="1190"/>
      <c r="BI108" s="1190"/>
      <c r="BJ108" s="1190"/>
      <c r="BK108" s="1190"/>
      <c r="BL108" s="1190"/>
      <c r="BM108" s="1190"/>
      <c r="BN108" s="1190"/>
      <c r="BO108" s="1191"/>
      <c r="BP108" s="68"/>
      <c r="BQ108" s="68"/>
      <c r="BR108" s="141">
        <v>5</v>
      </c>
      <c r="BS108" s="86" t="s">
        <v>499</v>
      </c>
      <c r="BT108" s="1190"/>
      <c r="BU108" s="1190"/>
      <c r="BV108" s="1190"/>
      <c r="BW108" s="1190"/>
      <c r="BX108" s="1190"/>
      <c r="BY108" s="1190"/>
      <c r="BZ108" s="1190"/>
      <c r="CA108" s="1190"/>
      <c r="CB108" s="1190"/>
      <c r="CC108" s="1190"/>
      <c r="CD108" s="1190"/>
      <c r="CE108" s="1190"/>
      <c r="CF108" s="1191"/>
      <c r="CU108" s="934"/>
      <c r="CV108" s="934"/>
      <c r="CW108" s="920">
        <v>29</v>
      </c>
      <c r="CX108" s="926"/>
      <c r="CY108" s="876" t="s">
        <v>499</v>
      </c>
      <c r="CZ108" s="874" t="s">
        <v>500</v>
      </c>
      <c r="DA108" s="920">
        <v>29</v>
      </c>
      <c r="DB108" s="930">
        <f t="shared" si="104"/>
        <v>0</v>
      </c>
      <c r="DC108" s="928" t="str">
        <f t="shared" si="105"/>
        <v>Versicherungen und Beiträge (betrieblich!)</v>
      </c>
      <c r="DD108" s="928" t="str">
        <f t="shared" si="106"/>
        <v>Insurances and Contributions</v>
      </c>
      <c r="DR108" s="126"/>
    </row>
    <row r="109" spans="1:122" x14ac:dyDescent="0.2">
      <c r="A109" s="1002">
        <f>A35</f>
        <v>0.19</v>
      </c>
      <c r="B109" s="72">
        <f>IF($D$4&lt;&gt;1, A109,"")</f>
        <v>0.19</v>
      </c>
      <c r="C109" s="1429" t="str">
        <f t="shared" si="118"/>
        <v>Haftpflicht</v>
      </c>
      <c r="D109" s="1430"/>
      <c r="E109" s="1430"/>
      <c r="F109" s="1430"/>
      <c r="G109" s="1430"/>
      <c r="H109" s="1430"/>
      <c r="I109" s="1430"/>
      <c r="J109" s="1430"/>
      <c r="K109" s="1430"/>
      <c r="L109" s="1430"/>
      <c r="M109" s="1430"/>
      <c r="N109" s="1430"/>
      <c r="O109" s="1430"/>
      <c r="P109" s="1431">
        <f>SUM(D109:O109)</f>
        <v>0</v>
      </c>
      <c r="Q109" s="1676" t="s">
        <v>796</v>
      </c>
      <c r="S109" s="1556"/>
      <c r="T109" s="68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BA109" s="72">
        <v>0.19</v>
      </c>
      <c r="BB109" s="73" t="s">
        <v>49</v>
      </c>
      <c r="BC109" s="1230">
        <f t="shared" ref="BC109:BN112" si="133">IF($A109=$Q$2,D109*IF(OR($D$4=0,$D$4=3),$A109,$A109/(1+$A109)),0)</f>
        <v>0</v>
      </c>
      <c r="BD109" s="1230">
        <f t="shared" si="133"/>
        <v>0</v>
      </c>
      <c r="BE109" s="1230">
        <f t="shared" si="133"/>
        <v>0</v>
      </c>
      <c r="BF109" s="1230">
        <f t="shared" si="133"/>
        <v>0</v>
      </c>
      <c r="BG109" s="1230">
        <f t="shared" si="133"/>
        <v>0</v>
      </c>
      <c r="BH109" s="1230">
        <f t="shared" si="133"/>
        <v>0</v>
      </c>
      <c r="BI109" s="1230">
        <f t="shared" si="133"/>
        <v>0</v>
      </c>
      <c r="BJ109" s="1230">
        <f t="shared" si="133"/>
        <v>0</v>
      </c>
      <c r="BK109" s="1230">
        <f t="shared" si="133"/>
        <v>0</v>
      </c>
      <c r="BL109" s="1230">
        <f t="shared" si="133"/>
        <v>0</v>
      </c>
      <c r="BM109" s="1230">
        <f t="shared" si="133"/>
        <v>0</v>
      </c>
      <c r="BN109" s="1230">
        <f t="shared" si="133"/>
        <v>0</v>
      </c>
      <c r="BO109" s="1186">
        <f>SUM(BC109:BN109)</f>
        <v>0</v>
      </c>
      <c r="BP109" s="68"/>
      <c r="BQ109" s="68"/>
      <c r="BR109" s="72">
        <v>0.19</v>
      </c>
      <c r="BS109" s="73" t="s">
        <v>49</v>
      </c>
      <c r="BT109" s="1230">
        <f t="shared" ref="BT109:CE112" si="134">IF($A109=$Q$3,D109*IF(OR($D$4=0,$D$4=3),$A109,$A109/(1+$A109)),0)</f>
        <v>0</v>
      </c>
      <c r="BU109" s="1230">
        <f t="shared" si="134"/>
        <v>0</v>
      </c>
      <c r="BV109" s="1230">
        <f t="shared" si="134"/>
        <v>0</v>
      </c>
      <c r="BW109" s="1230">
        <f t="shared" si="134"/>
        <v>0</v>
      </c>
      <c r="BX109" s="1230">
        <f t="shared" si="134"/>
        <v>0</v>
      </c>
      <c r="BY109" s="1230">
        <f t="shared" si="134"/>
        <v>0</v>
      </c>
      <c r="BZ109" s="1230">
        <f t="shared" si="134"/>
        <v>0</v>
      </c>
      <c r="CA109" s="1230">
        <f t="shared" si="134"/>
        <v>0</v>
      </c>
      <c r="CB109" s="1230">
        <f t="shared" si="134"/>
        <v>0</v>
      </c>
      <c r="CC109" s="1230">
        <f t="shared" si="134"/>
        <v>0</v>
      </c>
      <c r="CD109" s="1230">
        <f t="shared" si="134"/>
        <v>0</v>
      </c>
      <c r="CE109" s="1230">
        <f t="shared" si="134"/>
        <v>0</v>
      </c>
      <c r="CF109" s="1186">
        <f>SUM(BT109:CE109)</f>
        <v>0</v>
      </c>
      <c r="CU109" s="934"/>
      <c r="CV109" s="934"/>
      <c r="CW109" s="920">
        <v>30</v>
      </c>
      <c r="CX109" s="927">
        <f>$Q$2</f>
        <v>0.19</v>
      </c>
      <c r="CY109" s="876" t="s">
        <v>49</v>
      </c>
      <c r="CZ109" s="874" t="s">
        <v>264</v>
      </c>
      <c r="DA109" s="920">
        <v>30</v>
      </c>
      <c r="DB109" s="930">
        <f t="shared" si="104"/>
        <v>0.19</v>
      </c>
      <c r="DC109" s="928" t="str">
        <f t="shared" si="105"/>
        <v>Haftpflicht</v>
      </c>
      <c r="DD109" s="928" t="str">
        <f t="shared" si="106"/>
        <v xml:space="preserve">Insurance </v>
      </c>
      <c r="DR109" s="126"/>
    </row>
    <row r="110" spans="1:122" x14ac:dyDescent="0.2">
      <c r="A110" s="1002">
        <f>A36</f>
        <v>0.19</v>
      </c>
      <c r="B110" s="72">
        <f>IF($D$4&lt;&gt;1, A110,"")</f>
        <v>0.19</v>
      </c>
      <c r="C110" s="1429" t="str">
        <f t="shared" si="118"/>
        <v>Rechtschutzversicherung</v>
      </c>
      <c r="D110" s="1430"/>
      <c r="E110" s="1430"/>
      <c r="F110" s="1430"/>
      <c r="G110" s="1430"/>
      <c r="H110" s="1430"/>
      <c r="I110" s="1430"/>
      <c r="J110" s="1430"/>
      <c r="K110" s="1430"/>
      <c r="L110" s="1430"/>
      <c r="M110" s="1430"/>
      <c r="N110" s="1430"/>
      <c r="O110" s="1430"/>
      <c r="P110" s="1431">
        <f>SUM(D110:O110)</f>
        <v>0</v>
      </c>
      <c r="Q110" s="1676"/>
      <c r="S110" s="1556"/>
      <c r="T110" s="68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BA110" s="72">
        <v>0.19</v>
      </c>
      <c r="BB110" s="73" t="s">
        <v>50</v>
      </c>
      <c r="BC110" s="1230">
        <f t="shared" si="133"/>
        <v>0</v>
      </c>
      <c r="BD110" s="1230">
        <f t="shared" si="133"/>
        <v>0</v>
      </c>
      <c r="BE110" s="1230">
        <f t="shared" si="133"/>
        <v>0</v>
      </c>
      <c r="BF110" s="1230">
        <f t="shared" si="133"/>
        <v>0</v>
      </c>
      <c r="BG110" s="1230">
        <f t="shared" si="133"/>
        <v>0</v>
      </c>
      <c r="BH110" s="1230">
        <f t="shared" si="133"/>
        <v>0</v>
      </c>
      <c r="BI110" s="1230">
        <f t="shared" si="133"/>
        <v>0</v>
      </c>
      <c r="BJ110" s="1230">
        <f t="shared" si="133"/>
        <v>0</v>
      </c>
      <c r="BK110" s="1230">
        <f t="shared" si="133"/>
        <v>0</v>
      </c>
      <c r="BL110" s="1230">
        <f t="shared" si="133"/>
        <v>0</v>
      </c>
      <c r="BM110" s="1230">
        <f t="shared" si="133"/>
        <v>0</v>
      </c>
      <c r="BN110" s="1230">
        <f t="shared" si="133"/>
        <v>0</v>
      </c>
      <c r="BO110" s="1186">
        <f>SUM(BC110:BN110)</f>
        <v>0</v>
      </c>
      <c r="BP110" s="68"/>
      <c r="BQ110" s="68"/>
      <c r="BR110" s="72">
        <v>0.19</v>
      </c>
      <c r="BS110" s="73" t="s">
        <v>50</v>
      </c>
      <c r="BT110" s="1230">
        <f t="shared" si="134"/>
        <v>0</v>
      </c>
      <c r="BU110" s="1230">
        <f t="shared" si="134"/>
        <v>0</v>
      </c>
      <c r="BV110" s="1230">
        <f t="shared" si="134"/>
        <v>0</v>
      </c>
      <c r="BW110" s="1230">
        <f t="shared" si="134"/>
        <v>0</v>
      </c>
      <c r="BX110" s="1230">
        <f t="shared" si="134"/>
        <v>0</v>
      </c>
      <c r="BY110" s="1230">
        <f t="shared" si="134"/>
        <v>0</v>
      </c>
      <c r="BZ110" s="1230">
        <f t="shared" si="134"/>
        <v>0</v>
      </c>
      <c r="CA110" s="1230">
        <f t="shared" si="134"/>
        <v>0</v>
      </c>
      <c r="CB110" s="1230">
        <f t="shared" si="134"/>
        <v>0</v>
      </c>
      <c r="CC110" s="1230">
        <f t="shared" si="134"/>
        <v>0</v>
      </c>
      <c r="CD110" s="1230">
        <f t="shared" si="134"/>
        <v>0</v>
      </c>
      <c r="CE110" s="1230">
        <f t="shared" si="134"/>
        <v>0</v>
      </c>
      <c r="CF110" s="1186">
        <f>SUM(BT110:CE110)</f>
        <v>0</v>
      </c>
      <c r="CU110" s="934"/>
      <c r="CV110" s="934"/>
      <c r="CW110" s="920">
        <v>31</v>
      </c>
      <c r="CX110" s="927">
        <f>$Q$2</f>
        <v>0.19</v>
      </c>
      <c r="CY110" s="876" t="s">
        <v>50</v>
      </c>
      <c r="CZ110" s="874" t="s">
        <v>275</v>
      </c>
      <c r="DA110" s="920">
        <v>31</v>
      </c>
      <c r="DB110" s="930">
        <f t="shared" si="104"/>
        <v>0.19</v>
      </c>
      <c r="DC110" s="928" t="str">
        <f t="shared" si="105"/>
        <v>Rechtschutzversicherung</v>
      </c>
      <c r="DD110" s="928" t="str">
        <f t="shared" si="106"/>
        <v>Legal costs insurance</v>
      </c>
      <c r="DR110" s="126"/>
    </row>
    <row r="111" spans="1:122" x14ac:dyDescent="0.2">
      <c r="A111" s="1002">
        <f>A37</f>
        <v>0.19</v>
      </c>
      <c r="B111" s="72">
        <f>IF($D$4&lt;&gt;1, A111,"")</f>
        <v>0.19</v>
      </c>
      <c r="C111" s="1429" t="str">
        <f t="shared" si="118"/>
        <v>Beiträge (IHK, Berufsverbände, ...)</v>
      </c>
      <c r="D111" s="1430"/>
      <c r="E111" s="1430"/>
      <c r="F111" s="1430"/>
      <c r="G111" s="1430"/>
      <c r="H111" s="1430"/>
      <c r="I111" s="1430"/>
      <c r="J111" s="1430"/>
      <c r="K111" s="1430"/>
      <c r="L111" s="1430"/>
      <c r="M111" s="1430"/>
      <c r="N111" s="1430"/>
      <c r="O111" s="1430"/>
      <c r="P111" s="1431">
        <f>SUM(D111:O111)</f>
        <v>0</v>
      </c>
      <c r="Q111" s="1676"/>
      <c r="S111" s="1556"/>
      <c r="T111" s="68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BA111" s="72">
        <v>0.19</v>
      </c>
      <c r="BB111" s="73" t="s">
        <v>479</v>
      </c>
      <c r="BC111" s="1230">
        <f t="shared" si="133"/>
        <v>0</v>
      </c>
      <c r="BD111" s="1230">
        <f t="shared" si="133"/>
        <v>0</v>
      </c>
      <c r="BE111" s="1230">
        <f t="shared" si="133"/>
        <v>0</v>
      </c>
      <c r="BF111" s="1230">
        <f t="shared" si="133"/>
        <v>0</v>
      </c>
      <c r="BG111" s="1230">
        <f t="shared" si="133"/>
        <v>0</v>
      </c>
      <c r="BH111" s="1230">
        <f t="shared" si="133"/>
        <v>0</v>
      </c>
      <c r="BI111" s="1230">
        <f t="shared" si="133"/>
        <v>0</v>
      </c>
      <c r="BJ111" s="1230">
        <f t="shared" si="133"/>
        <v>0</v>
      </c>
      <c r="BK111" s="1230">
        <f>IF($A111=$Q$2,L111*IF(OR($D$4=0,$D$4=3),$A111,$A111/(1+$A111)),0)</f>
        <v>0</v>
      </c>
      <c r="BL111" s="1230">
        <f t="shared" si="133"/>
        <v>0</v>
      </c>
      <c r="BM111" s="1230">
        <f t="shared" si="133"/>
        <v>0</v>
      </c>
      <c r="BN111" s="1230">
        <f t="shared" si="133"/>
        <v>0</v>
      </c>
      <c r="BO111" s="1186">
        <f>SUM(BC111:BN111)</f>
        <v>0</v>
      </c>
      <c r="BP111" s="68"/>
      <c r="BQ111" s="68"/>
      <c r="BR111" s="72">
        <v>0.19</v>
      </c>
      <c r="BS111" s="73" t="s">
        <v>479</v>
      </c>
      <c r="BT111" s="1230">
        <f t="shared" si="134"/>
        <v>0</v>
      </c>
      <c r="BU111" s="1230">
        <f t="shared" si="134"/>
        <v>0</v>
      </c>
      <c r="BV111" s="1230">
        <f t="shared" si="134"/>
        <v>0</v>
      </c>
      <c r="BW111" s="1230">
        <f t="shared" si="134"/>
        <v>0</v>
      </c>
      <c r="BX111" s="1230">
        <f t="shared" si="134"/>
        <v>0</v>
      </c>
      <c r="BY111" s="1230">
        <f t="shared" si="134"/>
        <v>0</v>
      </c>
      <c r="BZ111" s="1230">
        <f t="shared" si="134"/>
        <v>0</v>
      </c>
      <c r="CA111" s="1230">
        <f t="shared" si="134"/>
        <v>0</v>
      </c>
      <c r="CB111" s="1230">
        <f>IF($A111=$Q$3,L111*IF(OR($D$4=0,$D$4=3),$A111,$A111/(1+$A111)),0)</f>
        <v>0</v>
      </c>
      <c r="CC111" s="1230">
        <f t="shared" si="134"/>
        <v>0</v>
      </c>
      <c r="CD111" s="1230">
        <f t="shared" si="134"/>
        <v>0</v>
      </c>
      <c r="CE111" s="1230">
        <f t="shared" si="134"/>
        <v>0</v>
      </c>
      <c r="CF111" s="1186">
        <f>SUM(BT111:CE111)</f>
        <v>0</v>
      </c>
      <c r="CU111" s="934"/>
      <c r="CV111" s="934"/>
      <c r="CW111" s="920">
        <v>32</v>
      </c>
      <c r="CX111" s="927">
        <f>$Q$2</f>
        <v>0.19</v>
      </c>
      <c r="CY111" s="872" t="s">
        <v>479</v>
      </c>
      <c r="CZ111" s="874" t="s">
        <v>480</v>
      </c>
      <c r="DA111" s="920">
        <v>32</v>
      </c>
      <c r="DB111" s="930">
        <f t="shared" si="104"/>
        <v>0.19</v>
      </c>
      <c r="DC111" s="928" t="str">
        <f t="shared" si="105"/>
        <v>Beiträge (IHK, Berufsverbände, ...)</v>
      </c>
      <c r="DD111" s="928" t="str">
        <f t="shared" si="106"/>
        <v>Conributions (IHK,  trade organizations, ...)</v>
      </c>
      <c r="DR111" s="126"/>
    </row>
    <row r="112" spans="1:122" x14ac:dyDescent="0.2">
      <c r="A112" s="1002">
        <f>A38</f>
        <v>0.19</v>
      </c>
      <c r="B112" s="72">
        <f>IF($D$4&lt;&gt;1, A112,"")</f>
        <v>0.19</v>
      </c>
      <c r="C112" s="1432" t="s">
        <v>470</v>
      </c>
      <c r="D112" s="1433"/>
      <c r="E112" s="1433"/>
      <c r="F112" s="1433"/>
      <c r="G112" s="1433"/>
      <c r="H112" s="1433"/>
      <c r="I112" s="1433"/>
      <c r="J112" s="1433"/>
      <c r="K112" s="1433"/>
      <c r="L112" s="1433"/>
      <c r="M112" s="1433"/>
      <c r="N112" s="1433"/>
      <c r="O112" s="1433"/>
      <c r="P112" s="1434">
        <f>SUM(D112:O112)</f>
        <v>0</v>
      </c>
      <c r="Q112" s="1676"/>
      <c r="S112" s="1556"/>
      <c r="T112" s="68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BA112" s="72" t="s">
        <v>622</v>
      </c>
      <c r="BB112" s="1063" t="s">
        <v>470</v>
      </c>
      <c r="BC112" s="1230">
        <f t="shared" si="133"/>
        <v>0</v>
      </c>
      <c r="BD112" s="1230">
        <f t="shared" si="133"/>
        <v>0</v>
      </c>
      <c r="BE112" s="1230">
        <f t="shared" si="133"/>
        <v>0</v>
      </c>
      <c r="BF112" s="1230">
        <f t="shared" si="133"/>
        <v>0</v>
      </c>
      <c r="BG112" s="1230">
        <f t="shared" si="133"/>
        <v>0</v>
      </c>
      <c r="BH112" s="1230">
        <f t="shared" si="133"/>
        <v>0</v>
      </c>
      <c r="BI112" s="1230">
        <f t="shared" si="133"/>
        <v>0</v>
      </c>
      <c r="BJ112" s="1230">
        <f t="shared" si="133"/>
        <v>0</v>
      </c>
      <c r="BK112" s="1230">
        <f>IF($A112=$Q$2,L112*IF(OR($D$4=0,$D$4=3),$A112,$A112/(1+$A112)),0)</f>
        <v>0</v>
      </c>
      <c r="BL112" s="1230">
        <f t="shared" si="133"/>
        <v>0</v>
      </c>
      <c r="BM112" s="1230">
        <f t="shared" si="133"/>
        <v>0</v>
      </c>
      <c r="BN112" s="1230">
        <f t="shared" si="133"/>
        <v>0</v>
      </c>
      <c r="BO112" s="1186">
        <f>SUM(BC112:BN112)</f>
        <v>0</v>
      </c>
      <c r="BP112" s="68"/>
      <c r="BQ112" s="68"/>
      <c r="BR112" s="72" t="s">
        <v>622</v>
      </c>
      <c r="BS112" s="990" t="s">
        <v>470</v>
      </c>
      <c r="BT112" s="1230">
        <f t="shared" si="134"/>
        <v>0</v>
      </c>
      <c r="BU112" s="1230">
        <f t="shared" si="134"/>
        <v>0</v>
      </c>
      <c r="BV112" s="1230">
        <f t="shared" si="134"/>
        <v>0</v>
      </c>
      <c r="BW112" s="1230">
        <f t="shared" si="134"/>
        <v>0</v>
      </c>
      <c r="BX112" s="1230">
        <f t="shared" si="134"/>
        <v>0</v>
      </c>
      <c r="BY112" s="1230">
        <f t="shared" si="134"/>
        <v>0</v>
      </c>
      <c r="BZ112" s="1230">
        <f t="shared" si="134"/>
        <v>0</v>
      </c>
      <c r="CA112" s="1230">
        <f t="shared" si="134"/>
        <v>0</v>
      </c>
      <c r="CB112" s="1230">
        <f>IF($A112=$Q$3,L112*IF(OR($D$4=0,$D$4=3),$A112,$A112/(1+$A112)),0)</f>
        <v>0</v>
      </c>
      <c r="CC112" s="1230">
        <f t="shared" si="134"/>
        <v>0</v>
      </c>
      <c r="CD112" s="1230">
        <f t="shared" si="134"/>
        <v>0</v>
      </c>
      <c r="CE112" s="1230">
        <f t="shared" si="134"/>
        <v>0</v>
      </c>
      <c r="CF112" s="1186">
        <f>SUM(BT112:CE112)</f>
        <v>0</v>
      </c>
      <c r="CU112" s="934"/>
      <c r="CV112" s="934"/>
      <c r="CW112" s="920">
        <v>33</v>
      </c>
      <c r="CX112" s="878">
        <f>$Q$2</f>
        <v>0.19</v>
      </c>
      <c r="CY112" s="873" t="s">
        <v>470</v>
      </c>
      <c r="CZ112" s="873" t="s">
        <v>473</v>
      </c>
      <c r="DA112" s="920">
        <v>33</v>
      </c>
      <c r="DB112" s="930">
        <f t="shared" si="104"/>
        <v>0.19</v>
      </c>
      <c r="DC112" s="928" t="str">
        <f t="shared" si="105"/>
        <v>Sonstiges</v>
      </c>
      <c r="DD112" s="928" t="str">
        <f t="shared" si="106"/>
        <v>Others</v>
      </c>
      <c r="DR112" s="126"/>
    </row>
    <row r="113" spans="1:122" ht="15" thickBot="1" x14ac:dyDescent="0.25">
      <c r="A113" s="1002"/>
      <c r="B113" s="1487"/>
      <c r="C113" s="1488" t="str">
        <f t="shared" si="118"/>
        <v>Summe Versicherungen und Beiträge (betrieblich!)</v>
      </c>
      <c r="D113" s="1489">
        <f>SUM(D109:D112)</f>
        <v>0</v>
      </c>
      <c r="E113" s="1489">
        <f t="shared" ref="E113:O113" si="135">SUM(E109:E112)</f>
        <v>0</v>
      </c>
      <c r="F113" s="1489">
        <f t="shared" si="135"/>
        <v>0</v>
      </c>
      <c r="G113" s="1489">
        <f t="shared" si="135"/>
        <v>0</v>
      </c>
      <c r="H113" s="1489">
        <f t="shared" si="135"/>
        <v>0</v>
      </c>
      <c r="I113" s="1489">
        <f t="shared" si="135"/>
        <v>0</v>
      </c>
      <c r="J113" s="1489">
        <f t="shared" si="135"/>
        <v>0</v>
      </c>
      <c r="K113" s="1489">
        <f t="shared" si="135"/>
        <v>0</v>
      </c>
      <c r="L113" s="1489">
        <f>SUM(L109:L112)</f>
        <v>0</v>
      </c>
      <c r="M113" s="1489">
        <f t="shared" si="135"/>
        <v>0</v>
      </c>
      <c r="N113" s="1489">
        <f t="shared" si="135"/>
        <v>0</v>
      </c>
      <c r="O113" s="1489">
        <f t="shared" si="135"/>
        <v>0</v>
      </c>
      <c r="P113" s="1490">
        <f>SUM(D113:O113)</f>
        <v>0</v>
      </c>
      <c r="Q113" s="1585"/>
      <c r="S113" s="1556"/>
      <c r="T113" s="68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Z113" s="35" t="b">
        <f>IFERROR(OR(BO113,CF113),-1)</f>
        <v>0</v>
      </c>
      <c r="BA113" s="132"/>
      <c r="BB113" s="96" t="s">
        <v>623</v>
      </c>
      <c r="BC113" s="1188">
        <f>SUM(BC109:BC112)</f>
        <v>0</v>
      </c>
      <c r="BD113" s="1188">
        <f t="shared" ref="BD113:BN113" si="136">SUM(BD109:BD112)</f>
        <v>0</v>
      </c>
      <c r="BE113" s="1188">
        <f t="shared" si="136"/>
        <v>0</v>
      </c>
      <c r="BF113" s="1188">
        <f t="shared" si="136"/>
        <v>0</v>
      </c>
      <c r="BG113" s="1188">
        <f t="shared" si="136"/>
        <v>0</v>
      </c>
      <c r="BH113" s="1188">
        <f t="shared" si="136"/>
        <v>0</v>
      </c>
      <c r="BI113" s="1188">
        <f t="shared" si="136"/>
        <v>0</v>
      </c>
      <c r="BJ113" s="1188">
        <f t="shared" si="136"/>
        <v>0</v>
      </c>
      <c r="BK113" s="1188">
        <f t="shared" si="136"/>
        <v>0</v>
      </c>
      <c r="BL113" s="1188">
        <f t="shared" si="136"/>
        <v>0</v>
      </c>
      <c r="BM113" s="1188">
        <f t="shared" si="136"/>
        <v>0</v>
      </c>
      <c r="BN113" s="1188">
        <f t="shared" si="136"/>
        <v>0</v>
      </c>
      <c r="BO113" s="1192">
        <f>SUM(BC113:BN113)</f>
        <v>0</v>
      </c>
      <c r="BP113" s="68"/>
      <c r="BQ113" s="68"/>
      <c r="BR113" s="132"/>
      <c r="BS113" s="96" t="s">
        <v>623</v>
      </c>
      <c r="BT113" s="1188">
        <f>SUM(BT109:BT112)</f>
        <v>0</v>
      </c>
      <c r="BU113" s="1188">
        <f t="shared" ref="BU113:CE113" si="137">SUM(BU109:BU112)</f>
        <v>0</v>
      </c>
      <c r="BV113" s="1188">
        <f t="shared" si="137"/>
        <v>0</v>
      </c>
      <c r="BW113" s="1188">
        <f t="shared" si="137"/>
        <v>0</v>
      </c>
      <c r="BX113" s="1188">
        <f t="shared" si="137"/>
        <v>0</v>
      </c>
      <c r="BY113" s="1188">
        <f t="shared" si="137"/>
        <v>0</v>
      </c>
      <c r="BZ113" s="1188">
        <f t="shared" si="137"/>
        <v>0</v>
      </c>
      <c r="CA113" s="1188">
        <f t="shared" si="137"/>
        <v>0</v>
      </c>
      <c r="CB113" s="1188">
        <f t="shared" si="137"/>
        <v>0</v>
      </c>
      <c r="CC113" s="1188">
        <f t="shared" si="137"/>
        <v>0</v>
      </c>
      <c r="CD113" s="1188">
        <f t="shared" si="137"/>
        <v>0</v>
      </c>
      <c r="CE113" s="1188">
        <f t="shared" si="137"/>
        <v>0</v>
      </c>
      <c r="CF113" s="1192">
        <f>SUM(BT113:CE113)</f>
        <v>0</v>
      </c>
      <c r="CU113" s="934"/>
      <c r="CV113" s="934"/>
      <c r="CW113" s="920">
        <v>34</v>
      </c>
      <c r="CX113" s="926"/>
      <c r="CY113" s="876" t="str">
        <f>"Summe "&amp;CY108</f>
        <v>Summe Versicherungen und Beiträge (betrieblich!)</v>
      </c>
      <c r="CZ113" s="874" t="s">
        <v>287</v>
      </c>
      <c r="DA113" s="920">
        <v>34</v>
      </c>
      <c r="DB113" s="930">
        <f t="shared" si="104"/>
        <v>0</v>
      </c>
      <c r="DC113" s="928" t="str">
        <f t="shared" si="105"/>
        <v>Summe Versicherungen und Beiträge (betrieblich!)</v>
      </c>
      <c r="DD113" s="928" t="str">
        <f t="shared" si="106"/>
        <v>Sum insurances (operational)</v>
      </c>
      <c r="DR113" s="126"/>
    </row>
    <row r="114" spans="1:122" x14ac:dyDescent="0.2">
      <c r="A114" s="1002"/>
      <c r="B114" s="140">
        <v>6</v>
      </c>
      <c r="C114" s="63" t="str">
        <f t="shared" si="118"/>
        <v>KFZ Kosten / Betriebliche Nutzung</v>
      </c>
      <c r="D114" s="1190"/>
      <c r="E114" s="1190"/>
      <c r="F114" s="1190"/>
      <c r="G114" s="1190"/>
      <c r="H114" s="1190"/>
      <c r="I114" s="1190"/>
      <c r="J114" s="1190"/>
      <c r="K114" s="1190"/>
      <c r="L114" s="1190"/>
      <c r="M114" s="1190"/>
      <c r="N114" s="1190"/>
      <c r="O114" s="1190"/>
      <c r="P114" s="1191"/>
      <c r="Q114" s="47"/>
      <c r="S114" s="82"/>
      <c r="T114" s="68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BA114" s="140">
        <v>6</v>
      </c>
      <c r="BB114" s="63" t="s">
        <v>140</v>
      </c>
      <c r="BC114" s="1190"/>
      <c r="BD114" s="1190"/>
      <c r="BE114" s="1190"/>
      <c r="BF114" s="1190"/>
      <c r="BG114" s="1190"/>
      <c r="BH114" s="1190"/>
      <c r="BI114" s="1190"/>
      <c r="BJ114" s="1190"/>
      <c r="BK114" s="1190"/>
      <c r="BL114" s="1190"/>
      <c r="BM114" s="1190"/>
      <c r="BN114" s="1190"/>
      <c r="BO114" s="1191"/>
      <c r="BP114" s="68"/>
      <c r="BQ114" s="68"/>
      <c r="BR114" s="140">
        <v>6</v>
      </c>
      <c r="BS114" s="63" t="s">
        <v>140</v>
      </c>
      <c r="BT114" s="1190"/>
      <c r="BU114" s="1190"/>
      <c r="BV114" s="1190"/>
      <c r="BW114" s="1190"/>
      <c r="BX114" s="1190"/>
      <c r="BY114" s="1190"/>
      <c r="BZ114" s="1190"/>
      <c r="CA114" s="1190"/>
      <c r="CB114" s="1190"/>
      <c r="CC114" s="1190"/>
      <c r="CD114" s="1190"/>
      <c r="CE114" s="1190"/>
      <c r="CF114" s="1191"/>
      <c r="CU114" s="934"/>
      <c r="CV114" s="934"/>
      <c r="CW114" s="920">
        <v>35</v>
      </c>
      <c r="CX114" s="926"/>
      <c r="CY114" s="876" t="s">
        <v>140</v>
      </c>
      <c r="CZ114" s="874" t="s">
        <v>265</v>
      </c>
      <c r="DA114" s="920">
        <v>35</v>
      </c>
      <c r="DB114" s="930">
        <f t="shared" si="104"/>
        <v>0</v>
      </c>
      <c r="DC114" s="928" t="str">
        <f t="shared" si="105"/>
        <v>KFZ Kosten / Betriebliche Nutzung</v>
      </c>
      <c r="DD114" s="928" t="str">
        <f t="shared" si="106"/>
        <v>Vehicle expenses for operational use</v>
      </c>
      <c r="DR114" s="126"/>
    </row>
    <row r="115" spans="1:122" x14ac:dyDescent="0.2">
      <c r="A115" s="1002">
        <f>A41</f>
        <v>0.19</v>
      </c>
      <c r="B115" s="72">
        <f>IF($D$4&lt;&gt;1, A115,"")</f>
        <v>0.19</v>
      </c>
      <c r="C115" s="1429" t="str">
        <f t="shared" si="118"/>
        <v>Leasingraten Kfz</v>
      </c>
      <c r="D115" s="1430"/>
      <c r="E115" s="1430"/>
      <c r="F115" s="1430"/>
      <c r="G115" s="1430"/>
      <c r="H115" s="1430"/>
      <c r="I115" s="1430"/>
      <c r="J115" s="1430"/>
      <c r="K115" s="1430"/>
      <c r="L115" s="1430"/>
      <c r="M115" s="1430"/>
      <c r="N115" s="1430"/>
      <c r="O115" s="1430"/>
      <c r="P115" s="1431">
        <f t="shared" ref="P115:P120" si="138">SUM(D115:O115)</f>
        <v>0</v>
      </c>
      <c r="Q115" s="1675" t="s">
        <v>796</v>
      </c>
      <c r="S115" s="1556"/>
      <c r="T115" s="68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BA115" s="72">
        <v>0.19</v>
      </c>
      <c r="BB115" s="73" t="s">
        <v>139</v>
      </c>
      <c r="BC115" s="1230">
        <f t="shared" ref="BC115:BN119" si="139">IF($A115=$Q$2,D115*IF(OR($D$4=0,$D$4=3),$A115,$A115/(1+$A115)),0)</f>
        <v>0</v>
      </c>
      <c r="BD115" s="1230">
        <f t="shared" si="139"/>
        <v>0</v>
      </c>
      <c r="BE115" s="1230">
        <f t="shared" si="139"/>
        <v>0</v>
      </c>
      <c r="BF115" s="1230">
        <f t="shared" si="139"/>
        <v>0</v>
      </c>
      <c r="BG115" s="1230">
        <f t="shared" si="139"/>
        <v>0</v>
      </c>
      <c r="BH115" s="1230">
        <f t="shared" si="139"/>
        <v>0</v>
      </c>
      <c r="BI115" s="1230">
        <f t="shared" si="139"/>
        <v>0</v>
      </c>
      <c r="BJ115" s="1230">
        <f t="shared" si="139"/>
        <v>0</v>
      </c>
      <c r="BK115" s="1230">
        <f t="shared" si="139"/>
        <v>0</v>
      </c>
      <c r="BL115" s="1230">
        <f t="shared" si="139"/>
        <v>0</v>
      </c>
      <c r="BM115" s="1230">
        <f t="shared" si="139"/>
        <v>0</v>
      </c>
      <c r="BN115" s="1230">
        <f t="shared" si="139"/>
        <v>0</v>
      </c>
      <c r="BO115" s="1186">
        <f>SUM(BC115:BN115)</f>
        <v>0</v>
      </c>
      <c r="BP115" s="68"/>
      <c r="BQ115" s="68"/>
      <c r="BR115" s="72">
        <v>0.19</v>
      </c>
      <c r="BS115" s="73" t="s">
        <v>139</v>
      </c>
      <c r="BT115" s="1230">
        <f t="shared" ref="BT115:CE119" si="140">IF($A115=$Q$3,D115*IF(OR($D$4=0,$D$4=3),$A115,$A115/(1+$A115)),0)</f>
        <v>0</v>
      </c>
      <c r="BU115" s="1230">
        <f t="shared" si="140"/>
        <v>0</v>
      </c>
      <c r="BV115" s="1230">
        <f t="shared" si="140"/>
        <v>0</v>
      </c>
      <c r="BW115" s="1230">
        <f t="shared" si="140"/>
        <v>0</v>
      </c>
      <c r="BX115" s="1230">
        <f t="shared" si="140"/>
        <v>0</v>
      </c>
      <c r="BY115" s="1230">
        <f t="shared" si="140"/>
        <v>0</v>
      </c>
      <c r="BZ115" s="1230">
        <f t="shared" si="140"/>
        <v>0</v>
      </c>
      <c r="CA115" s="1230">
        <f t="shared" si="140"/>
        <v>0</v>
      </c>
      <c r="CB115" s="1230">
        <f t="shared" si="140"/>
        <v>0</v>
      </c>
      <c r="CC115" s="1230">
        <f t="shared" si="140"/>
        <v>0</v>
      </c>
      <c r="CD115" s="1230">
        <f t="shared" si="140"/>
        <v>0</v>
      </c>
      <c r="CE115" s="1230">
        <f t="shared" si="140"/>
        <v>0</v>
      </c>
      <c r="CF115" s="1186">
        <f>SUM(BT115:CE115)</f>
        <v>0</v>
      </c>
      <c r="CW115" s="920">
        <v>36</v>
      </c>
      <c r="CX115" s="926">
        <f>$Q$2</f>
        <v>0.19</v>
      </c>
      <c r="CY115" s="876" t="s">
        <v>139</v>
      </c>
      <c r="CZ115" s="874" t="s">
        <v>268</v>
      </c>
      <c r="DA115" s="920">
        <v>36</v>
      </c>
      <c r="DB115" s="930">
        <f t="shared" si="104"/>
        <v>0.19</v>
      </c>
      <c r="DC115" s="928" t="str">
        <f t="shared" si="105"/>
        <v>Leasingraten Kfz</v>
      </c>
      <c r="DD115" s="928" t="str">
        <f t="shared" si="106"/>
        <v>Vehicle leasing rates</v>
      </c>
      <c r="DR115" s="126"/>
    </row>
    <row r="116" spans="1:122" x14ac:dyDescent="0.2">
      <c r="A116" s="1002">
        <f>A42</f>
        <v>0.19</v>
      </c>
      <c r="B116" s="72">
        <f>IF($D$4&lt;&gt;1, A116,"")</f>
        <v>0.19</v>
      </c>
      <c r="C116" s="1429" t="str">
        <f t="shared" si="118"/>
        <v>Versicherungen/Kfz-Steuer</v>
      </c>
      <c r="D116" s="1430"/>
      <c r="E116" s="1430"/>
      <c r="F116" s="1430"/>
      <c r="G116" s="1430"/>
      <c r="H116" s="1430"/>
      <c r="I116" s="1430"/>
      <c r="J116" s="1430"/>
      <c r="K116" s="1430"/>
      <c r="L116" s="1430"/>
      <c r="M116" s="1430"/>
      <c r="N116" s="1430"/>
      <c r="O116" s="1430"/>
      <c r="P116" s="1431">
        <f t="shared" si="138"/>
        <v>0</v>
      </c>
      <c r="Q116" s="1675"/>
      <c r="S116" s="1556"/>
      <c r="T116" s="68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BA116" s="72">
        <v>0.19</v>
      </c>
      <c r="BB116" s="73" t="s">
        <v>481</v>
      </c>
      <c r="BC116" s="1230">
        <f t="shared" si="139"/>
        <v>0</v>
      </c>
      <c r="BD116" s="1230">
        <f t="shared" si="139"/>
        <v>0</v>
      </c>
      <c r="BE116" s="1230">
        <f t="shared" si="139"/>
        <v>0</v>
      </c>
      <c r="BF116" s="1230">
        <f t="shared" si="139"/>
        <v>0</v>
      </c>
      <c r="BG116" s="1230">
        <f t="shared" si="139"/>
        <v>0</v>
      </c>
      <c r="BH116" s="1230">
        <f t="shared" si="139"/>
        <v>0</v>
      </c>
      <c r="BI116" s="1230">
        <f t="shared" si="139"/>
        <v>0</v>
      </c>
      <c r="BJ116" s="1230">
        <f t="shared" si="139"/>
        <v>0</v>
      </c>
      <c r="BK116" s="1230">
        <f t="shared" si="139"/>
        <v>0</v>
      </c>
      <c r="BL116" s="1230">
        <f t="shared" si="139"/>
        <v>0</v>
      </c>
      <c r="BM116" s="1230">
        <f t="shared" si="139"/>
        <v>0</v>
      </c>
      <c r="BN116" s="1230">
        <f t="shared" si="139"/>
        <v>0</v>
      </c>
      <c r="BO116" s="1186">
        <f>SUM(BC116:BN116)</f>
        <v>0</v>
      </c>
      <c r="BP116" s="68"/>
      <c r="BQ116" s="68"/>
      <c r="BR116" s="72">
        <v>0.19</v>
      </c>
      <c r="BS116" s="73" t="s">
        <v>481</v>
      </c>
      <c r="BT116" s="1230">
        <f t="shared" si="140"/>
        <v>0</v>
      </c>
      <c r="BU116" s="1230">
        <f t="shared" si="140"/>
        <v>0</v>
      </c>
      <c r="BV116" s="1230">
        <f t="shared" si="140"/>
        <v>0</v>
      </c>
      <c r="BW116" s="1230">
        <f t="shared" si="140"/>
        <v>0</v>
      </c>
      <c r="BX116" s="1230">
        <f t="shared" si="140"/>
        <v>0</v>
      </c>
      <c r="BY116" s="1230">
        <f t="shared" si="140"/>
        <v>0</v>
      </c>
      <c r="BZ116" s="1230">
        <f t="shared" si="140"/>
        <v>0</v>
      </c>
      <c r="CA116" s="1230">
        <f t="shared" si="140"/>
        <v>0</v>
      </c>
      <c r="CB116" s="1230">
        <f t="shared" si="140"/>
        <v>0</v>
      </c>
      <c r="CC116" s="1230">
        <f t="shared" si="140"/>
        <v>0</v>
      </c>
      <c r="CD116" s="1230">
        <f t="shared" si="140"/>
        <v>0</v>
      </c>
      <c r="CE116" s="1230">
        <f t="shared" si="140"/>
        <v>0</v>
      </c>
      <c r="CF116" s="1186">
        <f>SUM(BT116:CE116)</f>
        <v>0</v>
      </c>
      <c r="CW116" s="920">
        <v>37</v>
      </c>
      <c r="CX116" s="926">
        <v>0.19</v>
      </c>
      <c r="CY116" s="872" t="s">
        <v>481</v>
      </c>
      <c r="CZ116" s="874" t="s">
        <v>483</v>
      </c>
      <c r="DA116" s="920">
        <v>37</v>
      </c>
      <c r="DB116" s="930">
        <f t="shared" si="104"/>
        <v>0.19</v>
      </c>
      <c r="DC116" s="928" t="str">
        <f t="shared" si="105"/>
        <v>Versicherungen/Kfz-Steuer</v>
      </c>
      <c r="DD116" s="928" t="str">
        <f t="shared" si="106"/>
        <v>Insurances / tax on cars</v>
      </c>
      <c r="DR116" s="126"/>
    </row>
    <row r="117" spans="1:122" x14ac:dyDescent="0.2">
      <c r="A117" s="1002">
        <f>A43</f>
        <v>0.19</v>
      </c>
      <c r="B117" s="72">
        <f>IF($D$4&lt;&gt;1, A117,"")</f>
        <v>0.19</v>
      </c>
      <c r="C117" s="1429" t="str">
        <f t="shared" si="118"/>
        <v>Fahrzeugkosten (Tanken und Reparatur)</v>
      </c>
      <c r="D117" s="1430"/>
      <c r="E117" s="1430"/>
      <c r="F117" s="1430"/>
      <c r="G117" s="1430"/>
      <c r="H117" s="1430"/>
      <c r="I117" s="1430"/>
      <c r="J117" s="1430"/>
      <c r="K117" s="1430"/>
      <c r="L117" s="1430"/>
      <c r="M117" s="1430"/>
      <c r="N117" s="1430"/>
      <c r="O117" s="1430"/>
      <c r="P117" s="1431">
        <f t="shared" si="138"/>
        <v>0</v>
      </c>
      <c r="Q117" s="1675"/>
      <c r="S117" s="1556"/>
      <c r="T117" s="68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BA117" s="72">
        <v>0.19</v>
      </c>
      <c r="BB117" s="73" t="s">
        <v>482</v>
      </c>
      <c r="BC117" s="1230">
        <f t="shared" si="139"/>
        <v>0</v>
      </c>
      <c r="BD117" s="1230">
        <f t="shared" si="139"/>
        <v>0</v>
      </c>
      <c r="BE117" s="1230">
        <f t="shared" si="139"/>
        <v>0</v>
      </c>
      <c r="BF117" s="1230">
        <f t="shared" si="139"/>
        <v>0</v>
      </c>
      <c r="BG117" s="1230">
        <f t="shared" si="139"/>
        <v>0</v>
      </c>
      <c r="BH117" s="1230">
        <f t="shared" si="139"/>
        <v>0</v>
      </c>
      <c r="BI117" s="1230">
        <f t="shared" si="139"/>
        <v>0</v>
      </c>
      <c r="BJ117" s="1230">
        <f t="shared" si="139"/>
        <v>0</v>
      </c>
      <c r="BK117" s="1230">
        <f t="shared" si="139"/>
        <v>0</v>
      </c>
      <c r="BL117" s="1230">
        <f t="shared" si="139"/>
        <v>0</v>
      </c>
      <c r="BM117" s="1230">
        <f t="shared" si="139"/>
        <v>0</v>
      </c>
      <c r="BN117" s="1230">
        <f t="shared" si="139"/>
        <v>0</v>
      </c>
      <c r="BO117" s="1186">
        <f>SUM(BC117:BN117)</f>
        <v>0</v>
      </c>
      <c r="BP117" s="68"/>
      <c r="BQ117" s="68"/>
      <c r="BR117" s="72">
        <v>0.19</v>
      </c>
      <c r="BS117" s="73" t="s">
        <v>482</v>
      </c>
      <c r="BT117" s="1230">
        <f t="shared" si="140"/>
        <v>0</v>
      </c>
      <c r="BU117" s="1230">
        <f t="shared" si="140"/>
        <v>0</v>
      </c>
      <c r="BV117" s="1230">
        <f t="shared" si="140"/>
        <v>0</v>
      </c>
      <c r="BW117" s="1230">
        <f t="shared" si="140"/>
        <v>0</v>
      </c>
      <c r="BX117" s="1230">
        <f t="shared" si="140"/>
        <v>0</v>
      </c>
      <c r="BY117" s="1230">
        <f t="shared" si="140"/>
        <v>0</v>
      </c>
      <c r="BZ117" s="1230">
        <f t="shared" si="140"/>
        <v>0</v>
      </c>
      <c r="CA117" s="1230">
        <f t="shared" si="140"/>
        <v>0</v>
      </c>
      <c r="CB117" s="1230">
        <f t="shared" si="140"/>
        <v>0</v>
      </c>
      <c r="CC117" s="1230">
        <f t="shared" si="140"/>
        <v>0</v>
      </c>
      <c r="CD117" s="1230">
        <f t="shared" si="140"/>
        <v>0</v>
      </c>
      <c r="CE117" s="1230">
        <f t="shared" si="140"/>
        <v>0</v>
      </c>
      <c r="CF117" s="1186">
        <f>SUM(BT117:CE117)</f>
        <v>0</v>
      </c>
      <c r="CW117" s="920">
        <v>38</v>
      </c>
      <c r="CX117" s="926">
        <v>0.19</v>
      </c>
      <c r="CY117" s="872" t="s">
        <v>482</v>
      </c>
      <c r="CZ117" s="874" t="s">
        <v>484</v>
      </c>
      <c r="DA117" s="920">
        <v>38</v>
      </c>
      <c r="DB117" s="930">
        <f t="shared" si="104"/>
        <v>0.19</v>
      </c>
      <c r="DC117" s="928" t="str">
        <f t="shared" si="105"/>
        <v>Fahrzeugkosten (Tanken und Reparatur)</v>
      </c>
      <c r="DD117" s="928" t="str">
        <f t="shared" si="106"/>
        <v xml:space="preserve">vehicle's cost (fuel and repairs) </v>
      </c>
      <c r="DR117" s="126"/>
    </row>
    <row r="118" spans="1:122" x14ac:dyDescent="0.2">
      <c r="A118" s="1002">
        <f>A44</f>
        <v>0</v>
      </c>
      <c r="B118" s="72">
        <f>IF($D$4&lt;&gt;1, A118,"")</f>
        <v>0</v>
      </c>
      <c r="C118" s="1429" t="str">
        <f t="shared" si="118"/>
        <v>Abrechenbare Kilometerkosten</v>
      </c>
      <c r="D118" s="1430"/>
      <c r="E118" s="1430"/>
      <c r="F118" s="1430"/>
      <c r="G118" s="1430"/>
      <c r="H118" s="1430"/>
      <c r="I118" s="1430"/>
      <c r="J118" s="1430"/>
      <c r="K118" s="1430"/>
      <c r="L118" s="1430"/>
      <c r="M118" s="1430"/>
      <c r="N118" s="1430"/>
      <c r="O118" s="1430"/>
      <c r="P118" s="1431">
        <f t="shared" si="138"/>
        <v>0</v>
      </c>
      <c r="Q118" s="1675"/>
      <c r="S118" s="1556"/>
      <c r="T118" s="68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BA118" s="72">
        <v>0</v>
      </c>
      <c r="BB118" s="73" t="s">
        <v>137</v>
      </c>
      <c r="BC118" s="1230">
        <f t="shared" si="139"/>
        <v>0</v>
      </c>
      <c r="BD118" s="1230">
        <f t="shared" si="139"/>
        <v>0</v>
      </c>
      <c r="BE118" s="1230">
        <f t="shared" si="139"/>
        <v>0</v>
      </c>
      <c r="BF118" s="1230">
        <f t="shared" si="139"/>
        <v>0</v>
      </c>
      <c r="BG118" s="1230">
        <f t="shared" si="139"/>
        <v>0</v>
      </c>
      <c r="BH118" s="1230">
        <f t="shared" si="139"/>
        <v>0</v>
      </c>
      <c r="BI118" s="1230">
        <f t="shared" si="139"/>
        <v>0</v>
      </c>
      <c r="BJ118" s="1230">
        <f t="shared" si="139"/>
        <v>0</v>
      </c>
      <c r="BK118" s="1230">
        <f t="shared" si="139"/>
        <v>0</v>
      </c>
      <c r="BL118" s="1230">
        <f t="shared" si="139"/>
        <v>0</v>
      </c>
      <c r="BM118" s="1230">
        <f t="shared" si="139"/>
        <v>0</v>
      </c>
      <c r="BN118" s="1230">
        <f t="shared" si="139"/>
        <v>0</v>
      </c>
      <c r="BO118" s="1186">
        <f>SUM(BC118:BN118)</f>
        <v>0</v>
      </c>
      <c r="BP118" s="68"/>
      <c r="BQ118" s="68"/>
      <c r="BR118" s="72">
        <v>0</v>
      </c>
      <c r="BS118" s="73" t="s">
        <v>137</v>
      </c>
      <c r="BT118" s="1230">
        <f t="shared" si="140"/>
        <v>0</v>
      </c>
      <c r="BU118" s="1230">
        <f t="shared" si="140"/>
        <v>0</v>
      </c>
      <c r="BV118" s="1230">
        <f t="shared" si="140"/>
        <v>0</v>
      </c>
      <c r="BW118" s="1230">
        <f t="shared" si="140"/>
        <v>0</v>
      </c>
      <c r="BX118" s="1230">
        <f t="shared" si="140"/>
        <v>0</v>
      </c>
      <c r="BY118" s="1230">
        <f t="shared" si="140"/>
        <v>0</v>
      </c>
      <c r="BZ118" s="1230">
        <f t="shared" si="140"/>
        <v>0</v>
      </c>
      <c r="CA118" s="1230">
        <f t="shared" si="140"/>
        <v>0</v>
      </c>
      <c r="CB118" s="1230">
        <f t="shared" si="140"/>
        <v>0</v>
      </c>
      <c r="CC118" s="1230">
        <f t="shared" si="140"/>
        <v>0</v>
      </c>
      <c r="CD118" s="1230">
        <f t="shared" si="140"/>
        <v>0</v>
      </c>
      <c r="CE118" s="1230">
        <f t="shared" si="140"/>
        <v>0</v>
      </c>
      <c r="CF118" s="1186">
        <f>SUM(BT118:CE118)</f>
        <v>0</v>
      </c>
      <c r="CW118" s="920">
        <v>39</v>
      </c>
      <c r="CX118" s="926">
        <v>0</v>
      </c>
      <c r="CY118" s="876" t="s">
        <v>137</v>
      </c>
      <c r="CZ118" s="874" t="s">
        <v>298</v>
      </c>
      <c r="DA118" s="920">
        <v>39</v>
      </c>
      <c r="DB118" s="930">
        <f t="shared" si="104"/>
        <v>0</v>
      </c>
      <c r="DC118" s="928" t="str">
        <f t="shared" si="105"/>
        <v>Abrechenbare Kilometerkosten</v>
      </c>
      <c r="DD118" s="928" t="str">
        <f t="shared" si="106"/>
        <v>Deductible cost per kilometre</v>
      </c>
      <c r="DR118" s="126"/>
    </row>
    <row r="119" spans="1:122" x14ac:dyDescent="0.2">
      <c r="A119" s="1002">
        <f>A45</f>
        <v>0.19</v>
      </c>
      <c r="B119" s="72">
        <f>IF($D$4&lt;&gt;1, A119,"")</f>
        <v>0.19</v>
      </c>
      <c r="C119" s="1432" t="s">
        <v>470</v>
      </c>
      <c r="D119" s="1433"/>
      <c r="E119" s="1433"/>
      <c r="F119" s="1433"/>
      <c r="G119" s="1433"/>
      <c r="H119" s="1433"/>
      <c r="I119" s="1433"/>
      <c r="J119" s="1433"/>
      <c r="K119" s="1433"/>
      <c r="L119" s="1433"/>
      <c r="M119" s="1433"/>
      <c r="N119" s="1433"/>
      <c r="O119" s="1433"/>
      <c r="P119" s="1434">
        <f t="shared" si="138"/>
        <v>0</v>
      </c>
      <c r="Q119" s="1675"/>
      <c r="S119" s="1556"/>
      <c r="T119" s="68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BA119" s="72"/>
      <c r="BB119" s="1063" t="s">
        <v>470</v>
      </c>
      <c r="BC119" s="1230">
        <f t="shared" si="139"/>
        <v>0</v>
      </c>
      <c r="BD119" s="1230">
        <f t="shared" si="139"/>
        <v>0</v>
      </c>
      <c r="BE119" s="1230">
        <f t="shared" si="139"/>
        <v>0</v>
      </c>
      <c r="BF119" s="1230">
        <f t="shared" si="139"/>
        <v>0</v>
      </c>
      <c r="BG119" s="1230">
        <f t="shared" si="139"/>
        <v>0</v>
      </c>
      <c r="BH119" s="1230">
        <f t="shared" si="139"/>
        <v>0</v>
      </c>
      <c r="BI119" s="1230">
        <f t="shared" si="139"/>
        <v>0</v>
      </c>
      <c r="BJ119" s="1230">
        <f t="shared" si="139"/>
        <v>0</v>
      </c>
      <c r="BK119" s="1230">
        <f t="shared" si="139"/>
        <v>0</v>
      </c>
      <c r="BL119" s="1230">
        <f t="shared" si="139"/>
        <v>0</v>
      </c>
      <c r="BM119" s="1230">
        <f t="shared" si="139"/>
        <v>0</v>
      </c>
      <c r="BN119" s="1230">
        <f t="shared" si="139"/>
        <v>0</v>
      </c>
      <c r="BO119" s="1186"/>
      <c r="BP119" s="68"/>
      <c r="BQ119" s="68"/>
      <c r="BR119" s="72"/>
      <c r="BS119" s="990" t="s">
        <v>470</v>
      </c>
      <c r="BT119" s="1230">
        <f t="shared" si="140"/>
        <v>0</v>
      </c>
      <c r="BU119" s="1230">
        <f t="shared" si="140"/>
        <v>0</v>
      </c>
      <c r="BV119" s="1230">
        <f t="shared" si="140"/>
        <v>0</v>
      </c>
      <c r="BW119" s="1230">
        <f t="shared" si="140"/>
        <v>0</v>
      </c>
      <c r="BX119" s="1230">
        <f t="shared" si="140"/>
        <v>0</v>
      </c>
      <c r="BY119" s="1230">
        <f t="shared" si="140"/>
        <v>0</v>
      </c>
      <c r="BZ119" s="1230">
        <f t="shared" si="140"/>
        <v>0</v>
      </c>
      <c r="CA119" s="1230">
        <f t="shared" si="140"/>
        <v>0</v>
      </c>
      <c r="CB119" s="1230">
        <f t="shared" si="140"/>
        <v>0</v>
      </c>
      <c r="CC119" s="1230">
        <f t="shared" si="140"/>
        <v>0</v>
      </c>
      <c r="CD119" s="1230">
        <f t="shared" si="140"/>
        <v>0</v>
      </c>
      <c r="CE119" s="1230">
        <f t="shared" si="140"/>
        <v>0</v>
      </c>
      <c r="CF119" s="1186"/>
      <c r="CW119" s="920">
        <v>40</v>
      </c>
      <c r="CX119" s="878">
        <f>$Q$2</f>
        <v>0.19</v>
      </c>
      <c r="CY119" s="873" t="s">
        <v>470</v>
      </c>
      <c r="CZ119" s="873" t="s">
        <v>473</v>
      </c>
      <c r="DA119" s="920">
        <v>40</v>
      </c>
      <c r="DB119" s="930">
        <f t="shared" si="104"/>
        <v>0.19</v>
      </c>
      <c r="DC119" s="928" t="str">
        <f t="shared" si="105"/>
        <v>Sonstiges</v>
      </c>
      <c r="DD119" s="928" t="str">
        <f t="shared" si="106"/>
        <v>Others</v>
      </c>
      <c r="DR119" s="126"/>
    </row>
    <row r="120" spans="1:122" ht="15" thickBot="1" x14ac:dyDescent="0.25">
      <c r="A120" s="1002"/>
      <c r="B120" s="1487"/>
      <c r="C120" s="1488" t="str">
        <f t="shared" si="118"/>
        <v>Summe KFZ Kosten / Betriebliche Nutzung</v>
      </c>
      <c r="D120" s="1489">
        <f>SUM(D115:D119)</f>
        <v>0</v>
      </c>
      <c r="E120" s="1489">
        <f t="shared" ref="E120:I120" si="141">SUM(E115:E119)</f>
        <v>0</v>
      </c>
      <c r="F120" s="1489">
        <f t="shared" si="141"/>
        <v>0</v>
      </c>
      <c r="G120" s="1489">
        <f t="shared" si="141"/>
        <v>0</v>
      </c>
      <c r="H120" s="1489">
        <f t="shared" si="141"/>
        <v>0</v>
      </c>
      <c r="I120" s="1489">
        <f t="shared" si="141"/>
        <v>0</v>
      </c>
      <c r="J120" s="1489">
        <f t="shared" ref="J120:O120" si="142">SUM(J115:J119)</f>
        <v>0</v>
      </c>
      <c r="K120" s="1489">
        <f t="shared" si="142"/>
        <v>0</v>
      </c>
      <c r="L120" s="1489">
        <f t="shared" si="142"/>
        <v>0</v>
      </c>
      <c r="M120" s="1489">
        <f t="shared" si="142"/>
        <v>0</v>
      </c>
      <c r="N120" s="1489">
        <f t="shared" si="142"/>
        <v>0</v>
      </c>
      <c r="O120" s="1489">
        <f t="shared" si="142"/>
        <v>0</v>
      </c>
      <c r="P120" s="1490">
        <f t="shared" si="138"/>
        <v>0</v>
      </c>
      <c r="Q120" s="47"/>
      <c r="R120" s="1570"/>
      <c r="S120" s="82"/>
      <c r="T120" s="68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Z120" s="35" t="b">
        <f>IFERROR(OR(BO120,CF120),-1)</f>
        <v>0</v>
      </c>
      <c r="BA120" s="80"/>
      <c r="BB120" s="96" t="s">
        <v>624</v>
      </c>
      <c r="BC120" s="1188">
        <f>SUM(BC115:BC119)</f>
        <v>0</v>
      </c>
      <c r="BD120" s="1188">
        <f t="shared" ref="BD120:BN120" si="143">SUM(BD115:BD119)</f>
        <v>0</v>
      </c>
      <c r="BE120" s="1188">
        <f t="shared" si="143"/>
        <v>0</v>
      </c>
      <c r="BF120" s="1188">
        <f t="shared" si="143"/>
        <v>0</v>
      </c>
      <c r="BG120" s="1188">
        <f t="shared" si="143"/>
        <v>0</v>
      </c>
      <c r="BH120" s="1188">
        <f t="shared" si="143"/>
        <v>0</v>
      </c>
      <c r="BI120" s="1188">
        <f t="shared" si="143"/>
        <v>0</v>
      </c>
      <c r="BJ120" s="1188">
        <f t="shared" si="143"/>
        <v>0</v>
      </c>
      <c r="BK120" s="1188">
        <f t="shared" si="143"/>
        <v>0</v>
      </c>
      <c r="BL120" s="1188">
        <f t="shared" si="143"/>
        <v>0</v>
      </c>
      <c r="BM120" s="1188">
        <f t="shared" si="143"/>
        <v>0</v>
      </c>
      <c r="BN120" s="1188">
        <f t="shared" si="143"/>
        <v>0</v>
      </c>
      <c r="BO120" s="1192">
        <f>SUM(BC120:BN120)</f>
        <v>0</v>
      </c>
      <c r="BP120" s="68"/>
      <c r="BQ120" s="68"/>
      <c r="BR120" s="80"/>
      <c r="BS120" s="96" t="s">
        <v>624</v>
      </c>
      <c r="BT120" s="1188">
        <f>SUM(BT115:BT119)</f>
        <v>0</v>
      </c>
      <c r="BU120" s="1188">
        <f t="shared" ref="BU120:CE120" si="144">SUM(BU115:BU119)</f>
        <v>0</v>
      </c>
      <c r="BV120" s="1188">
        <f t="shared" si="144"/>
        <v>0</v>
      </c>
      <c r="BW120" s="1188">
        <f t="shared" si="144"/>
        <v>0</v>
      </c>
      <c r="BX120" s="1188">
        <f t="shared" si="144"/>
        <v>0</v>
      </c>
      <c r="BY120" s="1188">
        <f t="shared" si="144"/>
        <v>0</v>
      </c>
      <c r="BZ120" s="1188">
        <f t="shared" si="144"/>
        <v>0</v>
      </c>
      <c r="CA120" s="1188">
        <f t="shared" si="144"/>
        <v>0</v>
      </c>
      <c r="CB120" s="1188">
        <f t="shared" si="144"/>
        <v>0</v>
      </c>
      <c r="CC120" s="1188">
        <f t="shared" si="144"/>
        <v>0</v>
      </c>
      <c r="CD120" s="1188">
        <f t="shared" si="144"/>
        <v>0</v>
      </c>
      <c r="CE120" s="1188">
        <f t="shared" si="144"/>
        <v>0</v>
      </c>
      <c r="CF120" s="1192">
        <f>SUM(BT120:CE120)</f>
        <v>0</v>
      </c>
      <c r="CU120" s="90"/>
      <c r="CV120" s="90"/>
      <c r="CW120" s="920">
        <v>41</v>
      </c>
      <c r="CX120" s="926"/>
      <c r="CY120" s="876" t="str">
        <f>"Summe "&amp;CY114</f>
        <v>Summe KFZ Kosten / Betriebliche Nutzung</v>
      </c>
      <c r="CZ120" s="874" t="s">
        <v>299</v>
      </c>
      <c r="DA120" s="920">
        <v>41</v>
      </c>
      <c r="DB120" s="930">
        <f t="shared" si="104"/>
        <v>0</v>
      </c>
      <c r="DC120" s="928" t="str">
        <f t="shared" si="105"/>
        <v>Summe KFZ Kosten / Betriebliche Nutzung</v>
      </c>
      <c r="DD120" s="928" t="str">
        <f t="shared" si="106"/>
        <v>Sum vehical costs / operational use)</v>
      </c>
      <c r="DR120" s="126"/>
    </row>
    <row r="121" spans="1:122" x14ac:dyDescent="0.2">
      <c r="A121" s="1002"/>
      <c r="B121" s="141">
        <v>7</v>
      </c>
      <c r="C121" s="86" t="str">
        <f t="shared" si="118"/>
        <v>Marketing  u. Werbung</v>
      </c>
      <c r="D121" s="1190"/>
      <c r="E121" s="1190"/>
      <c r="F121" s="1190"/>
      <c r="G121" s="1190"/>
      <c r="H121" s="1190"/>
      <c r="I121" s="1190"/>
      <c r="J121" s="1190"/>
      <c r="K121" s="1190"/>
      <c r="L121" s="1190"/>
      <c r="M121" s="1190"/>
      <c r="N121" s="1190"/>
      <c r="O121" s="1190"/>
      <c r="P121" s="1191"/>
      <c r="Q121" s="47"/>
      <c r="S121" s="93"/>
      <c r="T121" s="68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BA121" s="141">
        <v>7</v>
      </c>
      <c r="BB121" s="86" t="s">
        <v>125</v>
      </c>
      <c r="BC121" s="1190"/>
      <c r="BD121" s="1190"/>
      <c r="BE121" s="1190"/>
      <c r="BF121" s="1190"/>
      <c r="BG121" s="1190"/>
      <c r="BH121" s="1190"/>
      <c r="BI121" s="1190"/>
      <c r="BJ121" s="1190"/>
      <c r="BK121" s="1190"/>
      <c r="BL121" s="1190"/>
      <c r="BM121" s="1190"/>
      <c r="BN121" s="1190"/>
      <c r="BO121" s="1191"/>
      <c r="BP121" s="68"/>
      <c r="BQ121" s="68"/>
      <c r="BR121" s="141">
        <v>7</v>
      </c>
      <c r="BS121" s="86" t="s">
        <v>125</v>
      </c>
      <c r="BT121" s="1190"/>
      <c r="BU121" s="1190"/>
      <c r="BV121" s="1190"/>
      <c r="BW121" s="1190"/>
      <c r="BX121" s="1190"/>
      <c r="BY121" s="1190"/>
      <c r="BZ121" s="1190"/>
      <c r="CA121" s="1190"/>
      <c r="CB121" s="1190"/>
      <c r="CC121" s="1190"/>
      <c r="CD121" s="1190"/>
      <c r="CE121" s="1190"/>
      <c r="CF121" s="1191"/>
      <c r="CU121" s="934"/>
      <c r="CV121" s="934"/>
      <c r="CW121" s="920">
        <v>42</v>
      </c>
      <c r="CX121" s="926"/>
      <c r="CY121" s="876" t="s">
        <v>125</v>
      </c>
      <c r="CZ121" s="874" t="s">
        <v>270</v>
      </c>
      <c r="DA121" s="920">
        <v>42</v>
      </c>
      <c r="DB121" s="930">
        <f t="shared" si="104"/>
        <v>0</v>
      </c>
      <c r="DC121" s="928" t="str">
        <f t="shared" si="105"/>
        <v>Marketing  u. Werbung</v>
      </c>
      <c r="DD121" s="928" t="str">
        <f t="shared" si="106"/>
        <v xml:space="preserve">Marketing &amp; advertising </v>
      </c>
      <c r="DR121" s="126"/>
    </row>
    <row r="122" spans="1:122" x14ac:dyDescent="0.2">
      <c r="A122" s="1002">
        <f t="shared" ref="A122:A127" si="145">A48</f>
        <v>0.19</v>
      </c>
      <c r="B122" s="72">
        <f t="shared" ref="B122:B127" si="146">IF($D$4&lt;&gt;1, A122,"")</f>
        <v>0.19</v>
      </c>
      <c r="C122" s="1429" t="str">
        <f t="shared" si="118"/>
        <v>Marktforschung</v>
      </c>
      <c r="D122" s="1430"/>
      <c r="E122" s="1430"/>
      <c r="F122" s="1430"/>
      <c r="G122" s="1430"/>
      <c r="H122" s="1430"/>
      <c r="I122" s="1430"/>
      <c r="J122" s="1430"/>
      <c r="K122" s="1430"/>
      <c r="L122" s="1430"/>
      <c r="M122" s="1430"/>
      <c r="N122" s="1430"/>
      <c r="O122" s="1430"/>
      <c r="P122" s="1431">
        <f t="shared" ref="P122:P128" si="147">SUM(D122:O122)</f>
        <v>0</v>
      </c>
      <c r="Q122" s="1675" t="s">
        <v>796</v>
      </c>
      <c r="S122" s="1556"/>
      <c r="T122" s="68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BA122" s="72">
        <v>0.19</v>
      </c>
      <c r="BB122" s="73" t="s">
        <v>44</v>
      </c>
      <c r="BC122" s="1230">
        <f t="shared" ref="BC122:BN127" si="148">IF($A122=$Q$2,D122*IF(OR($D$4=0,$D$4=3),$A122,$A122/(1+$A122)),0)</f>
        <v>0</v>
      </c>
      <c r="BD122" s="1230">
        <f t="shared" si="148"/>
        <v>0</v>
      </c>
      <c r="BE122" s="1230">
        <f t="shared" si="148"/>
        <v>0</v>
      </c>
      <c r="BF122" s="1230">
        <f t="shared" si="148"/>
        <v>0</v>
      </c>
      <c r="BG122" s="1230">
        <f t="shared" si="148"/>
        <v>0</v>
      </c>
      <c r="BH122" s="1230">
        <f t="shared" si="148"/>
        <v>0</v>
      </c>
      <c r="BI122" s="1230">
        <f t="shared" si="148"/>
        <v>0</v>
      </c>
      <c r="BJ122" s="1230">
        <f t="shared" si="148"/>
        <v>0</v>
      </c>
      <c r="BK122" s="1230">
        <f t="shared" si="148"/>
        <v>0</v>
      </c>
      <c r="BL122" s="1230">
        <f t="shared" si="148"/>
        <v>0</v>
      </c>
      <c r="BM122" s="1230">
        <f t="shared" si="148"/>
        <v>0</v>
      </c>
      <c r="BN122" s="1230">
        <f t="shared" si="148"/>
        <v>0</v>
      </c>
      <c r="BO122" s="1186">
        <f t="shared" ref="BO122:BO133" si="149">SUM(BC122:BN122)</f>
        <v>0</v>
      </c>
      <c r="BP122" s="68"/>
      <c r="BQ122" s="68"/>
      <c r="BR122" s="72">
        <v>0.19</v>
      </c>
      <c r="BS122" s="73" t="s">
        <v>44</v>
      </c>
      <c r="BT122" s="1230">
        <f t="shared" ref="BT122:CE127" si="150">IF($A122=$Q$3,D122*IF(OR($D$4=0,$D$4=3),$A122,$A122/(1+$A122)),0)</f>
        <v>0</v>
      </c>
      <c r="BU122" s="1230">
        <f t="shared" si="150"/>
        <v>0</v>
      </c>
      <c r="BV122" s="1230">
        <f t="shared" si="150"/>
        <v>0</v>
      </c>
      <c r="BW122" s="1230">
        <f t="shared" si="150"/>
        <v>0</v>
      </c>
      <c r="BX122" s="1230">
        <f t="shared" si="150"/>
        <v>0</v>
      </c>
      <c r="BY122" s="1230">
        <f t="shared" si="150"/>
        <v>0</v>
      </c>
      <c r="BZ122" s="1230">
        <f t="shared" si="150"/>
        <v>0</v>
      </c>
      <c r="CA122" s="1230">
        <f t="shared" si="150"/>
        <v>0</v>
      </c>
      <c r="CB122" s="1230">
        <f t="shared" si="150"/>
        <v>0</v>
      </c>
      <c r="CC122" s="1230">
        <f t="shared" si="150"/>
        <v>0</v>
      </c>
      <c r="CD122" s="1230">
        <f t="shared" si="150"/>
        <v>0</v>
      </c>
      <c r="CE122" s="1230">
        <f t="shared" si="150"/>
        <v>0</v>
      </c>
      <c r="CF122" s="1186">
        <f t="shared" ref="CF122:CF128" si="151">SUM(BT122:CE122)</f>
        <v>0</v>
      </c>
      <c r="CU122" s="934"/>
      <c r="CV122" s="934"/>
      <c r="CW122" s="920">
        <v>43</v>
      </c>
      <c r="CX122" s="926">
        <f>$Q$2</f>
        <v>0.19</v>
      </c>
      <c r="CY122" s="876" t="s">
        <v>44</v>
      </c>
      <c r="CZ122" s="874" t="s">
        <v>271</v>
      </c>
      <c r="DA122" s="920">
        <v>43</v>
      </c>
      <c r="DB122" s="930">
        <f t="shared" si="104"/>
        <v>0.19</v>
      </c>
      <c r="DC122" s="928" t="str">
        <f t="shared" si="105"/>
        <v>Marktforschung</v>
      </c>
      <c r="DD122" s="928" t="str">
        <f t="shared" si="106"/>
        <v>Market research</v>
      </c>
      <c r="DR122" s="126"/>
    </row>
    <row r="123" spans="1:122" x14ac:dyDescent="0.2">
      <c r="A123" s="1002">
        <f t="shared" si="145"/>
        <v>0.19</v>
      </c>
      <c r="B123" s="72">
        <f t="shared" si="146"/>
        <v>0.19</v>
      </c>
      <c r="C123" s="1429" t="str">
        <f t="shared" si="118"/>
        <v>Briefpapier, Visitenkarte, Stempel</v>
      </c>
      <c r="D123" s="1430"/>
      <c r="E123" s="1430"/>
      <c r="F123" s="1430"/>
      <c r="G123" s="1430"/>
      <c r="H123" s="1430"/>
      <c r="I123" s="1430"/>
      <c r="J123" s="1430"/>
      <c r="K123" s="1430"/>
      <c r="L123" s="1430"/>
      <c r="M123" s="1430"/>
      <c r="N123" s="1430"/>
      <c r="O123" s="1430"/>
      <c r="P123" s="1431">
        <f t="shared" si="147"/>
        <v>0</v>
      </c>
      <c r="Q123" s="1675"/>
      <c r="S123" s="1556"/>
      <c r="T123" s="68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BA123" s="72">
        <v>0.19</v>
      </c>
      <c r="BB123" s="73" t="s">
        <v>47</v>
      </c>
      <c r="BC123" s="1230">
        <f t="shared" si="148"/>
        <v>0</v>
      </c>
      <c r="BD123" s="1230">
        <f t="shared" si="148"/>
        <v>0</v>
      </c>
      <c r="BE123" s="1230">
        <f t="shared" si="148"/>
        <v>0</v>
      </c>
      <c r="BF123" s="1230">
        <f t="shared" si="148"/>
        <v>0</v>
      </c>
      <c r="BG123" s="1230">
        <f t="shared" si="148"/>
        <v>0</v>
      </c>
      <c r="BH123" s="1230">
        <f t="shared" si="148"/>
        <v>0</v>
      </c>
      <c r="BI123" s="1230">
        <f t="shared" si="148"/>
        <v>0</v>
      </c>
      <c r="BJ123" s="1230">
        <f t="shared" si="148"/>
        <v>0</v>
      </c>
      <c r="BK123" s="1230">
        <f t="shared" si="148"/>
        <v>0</v>
      </c>
      <c r="BL123" s="1230">
        <f t="shared" si="148"/>
        <v>0</v>
      </c>
      <c r="BM123" s="1230">
        <f t="shared" si="148"/>
        <v>0</v>
      </c>
      <c r="BN123" s="1230">
        <f t="shared" si="148"/>
        <v>0</v>
      </c>
      <c r="BO123" s="1186">
        <f t="shared" si="149"/>
        <v>0</v>
      </c>
      <c r="BP123" s="68"/>
      <c r="BQ123" s="68"/>
      <c r="BR123" s="72">
        <v>0.19</v>
      </c>
      <c r="BS123" s="73" t="s">
        <v>47</v>
      </c>
      <c r="BT123" s="1230">
        <f t="shared" si="150"/>
        <v>0</v>
      </c>
      <c r="BU123" s="1230">
        <f t="shared" si="150"/>
        <v>0</v>
      </c>
      <c r="BV123" s="1230">
        <f t="shared" si="150"/>
        <v>0</v>
      </c>
      <c r="BW123" s="1230">
        <f t="shared" si="150"/>
        <v>0</v>
      </c>
      <c r="BX123" s="1230">
        <f t="shared" si="150"/>
        <v>0</v>
      </c>
      <c r="BY123" s="1230">
        <f t="shared" si="150"/>
        <v>0</v>
      </c>
      <c r="BZ123" s="1230">
        <f t="shared" si="150"/>
        <v>0</v>
      </c>
      <c r="CA123" s="1230">
        <f t="shared" si="150"/>
        <v>0</v>
      </c>
      <c r="CB123" s="1230">
        <f t="shared" si="150"/>
        <v>0</v>
      </c>
      <c r="CC123" s="1230">
        <f t="shared" si="150"/>
        <v>0</v>
      </c>
      <c r="CD123" s="1230">
        <f t="shared" si="150"/>
        <v>0</v>
      </c>
      <c r="CE123" s="1230">
        <f t="shared" si="150"/>
        <v>0</v>
      </c>
      <c r="CF123" s="1186">
        <f t="shared" si="151"/>
        <v>0</v>
      </c>
      <c r="CU123" s="934"/>
      <c r="CV123" s="934"/>
      <c r="CW123" s="920">
        <v>44</v>
      </c>
      <c r="CX123" s="926">
        <f>$Q$2</f>
        <v>0.19</v>
      </c>
      <c r="CY123" s="876" t="s">
        <v>47</v>
      </c>
      <c r="CZ123" s="874" t="s">
        <v>259</v>
      </c>
      <c r="DA123" s="920">
        <v>44</v>
      </c>
      <c r="DB123" s="930">
        <f t="shared" si="104"/>
        <v>0.19</v>
      </c>
      <c r="DC123" s="928" t="str">
        <f t="shared" si="105"/>
        <v>Briefpapier, Visitenkarte, Stempel</v>
      </c>
      <c r="DD123" s="928" t="str">
        <f t="shared" si="106"/>
        <v>Office supply, paper, business cards, stamps</v>
      </c>
      <c r="DR123" s="126"/>
    </row>
    <row r="124" spans="1:122" x14ac:dyDescent="0.2">
      <c r="A124" s="1002">
        <f t="shared" si="145"/>
        <v>0.19</v>
      </c>
      <c r="B124" s="72">
        <f t="shared" si="146"/>
        <v>0.19</v>
      </c>
      <c r="C124" s="1429" t="str">
        <f t="shared" si="118"/>
        <v>Webseite, lfd. Webseitenpflege</v>
      </c>
      <c r="D124" s="1430"/>
      <c r="E124" s="1430"/>
      <c r="F124" s="1430"/>
      <c r="G124" s="1430"/>
      <c r="H124" s="1430"/>
      <c r="I124" s="1430"/>
      <c r="J124" s="1430"/>
      <c r="K124" s="1430"/>
      <c r="L124" s="1430"/>
      <c r="M124" s="1430"/>
      <c r="N124" s="1430"/>
      <c r="O124" s="1430"/>
      <c r="P124" s="1431">
        <f t="shared" si="147"/>
        <v>0</v>
      </c>
      <c r="Q124" s="1675"/>
      <c r="S124" s="1556"/>
      <c r="T124" s="68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BA124" s="72">
        <v>0.19</v>
      </c>
      <c r="BB124" s="73" t="s">
        <v>226</v>
      </c>
      <c r="BC124" s="1230">
        <f t="shared" si="148"/>
        <v>0</v>
      </c>
      <c r="BD124" s="1230">
        <f t="shared" si="148"/>
        <v>0</v>
      </c>
      <c r="BE124" s="1230">
        <f t="shared" si="148"/>
        <v>0</v>
      </c>
      <c r="BF124" s="1230">
        <f t="shared" si="148"/>
        <v>0</v>
      </c>
      <c r="BG124" s="1230">
        <f t="shared" si="148"/>
        <v>0</v>
      </c>
      <c r="BH124" s="1230">
        <f t="shared" si="148"/>
        <v>0</v>
      </c>
      <c r="BI124" s="1230">
        <f t="shared" si="148"/>
        <v>0</v>
      </c>
      <c r="BJ124" s="1230">
        <f t="shared" si="148"/>
        <v>0</v>
      </c>
      <c r="BK124" s="1230">
        <f t="shared" si="148"/>
        <v>0</v>
      </c>
      <c r="BL124" s="1230">
        <f>IF($A124=$Q$2,M124*IF(OR($D$4=0,$D$4=3),$A124,$A124/(1+$A124)),0)</f>
        <v>0</v>
      </c>
      <c r="BM124" s="1230">
        <f t="shared" si="148"/>
        <v>0</v>
      </c>
      <c r="BN124" s="1230">
        <f t="shared" si="148"/>
        <v>0</v>
      </c>
      <c r="BO124" s="1186">
        <f t="shared" si="149"/>
        <v>0</v>
      </c>
      <c r="BP124" s="68"/>
      <c r="BQ124" s="68"/>
      <c r="BR124" s="72">
        <v>0.19</v>
      </c>
      <c r="BS124" s="73" t="s">
        <v>226</v>
      </c>
      <c r="BT124" s="1230">
        <f t="shared" si="150"/>
        <v>0</v>
      </c>
      <c r="BU124" s="1230">
        <f t="shared" si="150"/>
        <v>0</v>
      </c>
      <c r="BV124" s="1230">
        <f t="shared" si="150"/>
        <v>0</v>
      </c>
      <c r="BW124" s="1230">
        <f t="shared" si="150"/>
        <v>0</v>
      </c>
      <c r="BX124" s="1230">
        <f t="shared" si="150"/>
        <v>0</v>
      </c>
      <c r="BY124" s="1230">
        <f t="shared" si="150"/>
        <v>0</v>
      </c>
      <c r="BZ124" s="1230">
        <f t="shared" si="150"/>
        <v>0</v>
      </c>
      <c r="CA124" s="1230">
        <f t="shared" si="150"/>
        <v>0</v>
      </c>
      <c r="CB124" s="1230">
        <f t="shared" si="150"/>
        <v>0</v>
      </c>
      <c r="CC124" s="1230">
        <f>IF($A124=$Q$3,M124*IF(OR($D$4=0,$D$4=3),$A124,$A124/(1+$A124)),0)</f>
        <v>0</v>
      </c>
      <c r="CD124" s="1230">
        <f t="shared" si="150"/>
        <v>0</v>
      </c>
      <c r="CE124" s="1230">
        <f t="shared" si="150"/>
        <v>0</v>
      </c>
      <c r="CF124" s="1186">
        <f t="shared" si="151"/>
        <v>0</v>
      </c>
      <c r="CU124" s="934"/>
      <c r="CV124" s="934"/>
      <c r="CW124" s="920">
        <v>45</v>
      </c>
      <c r="CX124" s="926">
        <f>$Q$2</f>
        <v>0.19</v>
      </c>
      <c r="CY124" s="876" t="s">
        <v>226</v>
      </c>
      <c r="CZ124" s="874" t="s">
        <v>295</v>
      </c>
      <c r="DA124" s="920">
        <v>45</v>
      </c>
      <c r="DB124" s="930">
        <f t="shared" si="104"/>
        <v>0.19</v>
      </c>
      <c r="DC124" s="928" t="str">
        <f t="shared" si="105"/>
        <v>Webseite, lfd. Webseitenpflege</v>
      </c>
      <c r="DD124" s="928" t="str">
        <f t="shared" si="106"/>
        <v>Homepage, current website maintenance</v>
      </c>
      <c r="DR124" s="126"/>
    </row>
    <row r="125" spans="1:122" x14ac:dyDescent="0.2">
      <c r="A125" s="1002">
        <f t="shared" si="145"/>
        <v>0.19</v>
      </c>
      <c r="B125" s="72">
        <f t="shared" si="146"/>
        <v>0.19</v>
      </c>
      <c r="C125" s="1429" t="str">
        <f t="shared" si="118"/>
        <v>Flyer, Prospekte, Broschüren, Anzeigen</v>
      </c>
      <c r="D125" s="1430"/>
      <c r="E125" s="1430"/>
      <c r="F125" s="1430"/>
      <c r="G125" s="1430"/>
      <c r="H125" s="1430"/>
      <c r="I125" s="1430"/>
      <c r="J125" s="1430"/>
      <c r="K125" s="1430"/>
      <c r="L125" s="1430"/>
      <c r="M125" s="1430"/>
      <c r="N125" s="1430"/>
      <c r="O125" s="1430"/>
      <c r="P125" s="1431">
        <f t="shared" si="147"/>
        <v>0</v>
      </c>
      <c r="Q125" s="1675"/>
      <c r="S125" s="1556"/>
      <c r="T125" s="68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BA125" s="72">
        <v>0.19</v>
      </c>
      <c r="BB125" s="73" t="s">
        <v>126</v>
      </c>
      <c r="BC125" s="1230">
        <f t="shared" si="148"/>
        <v>0</v>
      </c>
      <c r="BD125" s="1230">
        <f t="shared" si="148"/>
        <v>0</v>
      </c>
      <c r="BE125" s="1230">
        <f t="shared" si="148"/>
        <v>0</v>
      </c>
      <c r="BF125" s="1230">
        <f t="shared" si="148"/>
        <v>0</v>
      </c>
      <c r="BG125" s="1230">
        <f t="shared" si="148"/>
        <v>0</v>
      </c>
      <c r="BH125" s="1230">
        <f t="shared" si="148"/>
        <v>0</v>
      </c>
      <c r="BI125" s="1230">
        <f t="shared" si="148"/>
        <v>0</v>
      </c>
      <c r="BJ125" s="1230">
        <f t="shared" si="148"/>
        <v>0</v>
      </c>
      <c r="BK125" s="1230">
        <f t="shared" si="148"/>
        <v>0</v>
      </c>
      <c r="BL125" s="1230">
        <f>IF($A125=$Q$2,M125*IF(OR($D$4=0,$D$4=3),$A125,$A125/(1+$A125)),0)</f>
        <v>0</v>
      </c>
      <c r="BM125" s="1230">
        <f t="shared" si="148"/>
        <v>0</v>
      </c>
      <c r="BN125" s="1230">
        <f t="shared" si="148"/>
        <v>0</v>
      </c>
      <c r="BO125" s="1186">
        <f t="shared" si="149"/>
        <v>0</v>
      </c>
      <c r="BP125" s="68"/>
      <c r="BQ125" s="68"/>
      <c r="BR125" s="72">
        <v>0.19</v>
      </c>
      <c r="BS125" s="73" t="s">
        <v>126</v>
      </c>
      <c r="BT125" s="1230">
        <f t="shared" si="150"/>
        <v>0</v>
      </c>
      <c r="BU125" s="1230">
        <f t="shared" si="150"/>
        <v>0</v>
      </c>
      <c r="BV125" s="1230">
        <f t="shared" si="150"/>
        <v>0</v>
      </c>
      <c r="BW125" s="1230">
        <f t="shared" si="150"/>
        <v>0</v>
      </c>
      <c r="BX125" s="1230">
        <f t="shared" si="150"/>
        <v>0</v>
      </c>
      <c r="BY125" s="1230">
        <f t="shared" si="150"/>
        <v>0</v>
      </c>
      <c r="BZ125" s="1230">
        <f t="shared" si="150"/>
        <v>0</v>
      </c>
      <c r="CA125" s="1230">
        <f t="shared" si="150"/>
        <v>0</v>
      </c>
      <c r="CB125" s="1230">
        <f t="shared" si="150"/>
        <v>0</v>
      </c>
      <c r="CC125" s="1230">
        <f>IF($A125=$Q$3,M125*IF(OR($D$4=0,$D$4=3),$A125,$A125/(1+$A125)),0)</f>
        <v>0</v>
      </c>
      <c r="CD125" s="1230">
        <f t="shared" si="150"/>
        <v>0</v>
      </c>
      <c r="CE125" s="1230">
        <f t="shared" si="150"/>
        <v>0</v>
      </c>
      <c r="CF125" s="1186">
        <f t="shared" si="151"/>
        <v>0</v>
      </c>
      <c r="CU125" s="934"/>
      <c r="CV125" s="934"/>
      <c r="CW125" s="920">
        <v>46</v>
      </c>
      <c r="CX125" s="926">
        <f>$Q$2</f>
        <v>0.19</v>
      </c>
      <c r="CY125" s="876" t="s">
        <v>126</v>
      </c>
      <c r="CZ125" s="874" t="s">
        <v>301</v>
      </c>
      <c r="DA125" s="920">
        <v>46</v>
      </c>
      <c r="DB125" s="930">
        <f t="shared" si="104"/>
        <v>0.19</v>
      </c>
      <c r="DC125" s="928" t="str">
        <f t="shared" si="105"/>
        <v>Flyer, Prospekte, Broschüren, Anzeigen</v>
      </c>
      <c r="DD125" s="928" t="str">
        <f t="shared" si="106"/>
        <v>Flyers, leaflets, booklets, ads</v>
      </c>
      <c r="DR125" s="126"/>
    </row>
    <row r="126" spans="1:122" x14ac:dyDescent="0.2">
      <c r="A126" s="1002">
        <f t="shared" si="145"/>
        <v>0.19</v>
      </c>
      <c r="B126" s="72">
        <f t="shared" si="146"/>
        <v>0.19</v>
      </c>
      <c r="C126" s="1429" t="str">
        <f t="shared" si="118"/>
        <v>Bewirtungskosten</v>
      </c>
      <c r="D126" s="1430"/>
      <c r="E126" s="1430"/>
      <c r="F126" s="1430"/>
      <c r="G126" s="1430"/>
      <c r="H126" s="1430"/>
      <c r="I126" s="1430"/>
      <c r="J126" s="1430"/>
      <c r="K126" s="1430"/>
      <c r="L126" s="1430"/>
      <c r="M126" s="1430"/>
      <c r="N126" s="1430"/>
      <c r="O126" s="1430"/>
      <c r="P126" s="1431">
        <f t="shared" si="147"/>
        <v>0</v>
      </c>
      <c r="Q126" s="1675"/>
      <c r="S126" s="1556"/>
      <c r="T126" s="68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BA126" s="72">
        <v>0.19</v>
      </c>
      <c r="BB126" s="73" t="s">
        <v>485</v>
      </c>
      <c r="BC126" s="1230">
        <f t="shared" si="148"/>
        <v>0</v>
      </c>
      <c r="BD126" s="1230">
        <f t="shared" si="148"/>
        <v>0</v>
      </c>
      <c r="BE126" s="1230">
        <f t="shared" si="148"/>
        <v>0</v>
      </c>
      <c r="BF126" s="1230">
        <f t="shared" si="148"/>
        <v>0</v>
      </c>
      <c r="BG126" s="1230">
        <f t="shared" si="148"/>
        <v>0</v>
      </c>
      <c r="BH126" s="1230">
        <f t="shared" si="148"/>
        <v>0</v>
      </c>
      <c r="BI126" s="1230">
        <f t="shared" si="148"/>
        <v>0</v>
      </c>
      <c r="BJ126" s="1230">
        <f t="shared" si="148"/>
        <v>0</v>
      </c>
      <c r="BK126" s="1230">
        <f t="shared" si="148"/>
        <v>0</v>
      </c>
      <c r="BL126" s="1230">
        <f t="shared" si="148"/>
        <v>0</v>
      </c>
      <c r="BM126" s="1230">
        <f t="shared" si="148"/>
        <v>0</v>
      </c>
      <c r="BN126" s="1230">
        <f t="shared" si="148"/>
        <v>0</v>
      </c>
      <c r="BO126" s="1186">
        <f t="shared" si="149"/>
        <v>0</v>
      </c>
      <c r="BP126" s="68"/>
      <c r="BQ126" s="68"/>
      <c r="BR126" s="72">
        <v>0.19</v>
      </c>
      <c r="BS126" s="73" t="s">
        <v>485</v>
      </c>
      <c r="BT126" s="1230">
        <f t="shared" si="150"/>
        <v>0</v>
      </c>
      <c r="BU126" s="1230">
        <f t="shared" si="150"/>
        <v>0</v>
      </c>
      <c r="BV126" s="1230">
        <f t="shared" si="150"/>
        <v>0</v>
      </c>
      <c r="BW126" s="1230">
        <f t="shared" si="150"/>
        <v>0</v>
      </c>
      <c r="BX126" s="1230">
        <f t="shared" si="150"/>
        <v>0</v>
      </c>
      <c r="BY126" s="1230">
        <f t="shared" si="150"/>
        <v>0</v>
      </c>
      <c r="BZ126" s="1230">
        <f t="shared" si="150"/>
        <v>0</v>
      </c>
      <c r="CA126" s="1230">
        <f t="shared" si="150"/>
        <v>0</v>
      </c>
      <c r="CB126" s="1230">
        <f t="shared" si="150"/>
        <v>0</v>
      </c>
      <c r="CC126" s="1230">
        <f t="shared" si="150"/>
        <v>0</v>
      </c>
      <c r="CD126" s="1230">
        <f t="shared" si="150"/>
        <v>0</v>
      </c>
      <c r="CE126" s="1230">
        <f t="shared" si="150"/>
        <v>0</v>
      </c>
      <c r="CF126" s="1186">
        <f t="shared" si="151"/>
        <v>0</v>
      </c>
      <c r="CU126" s="934"/>
      <c r="CV126" s="934"/>
      <c r="CW126" s="920">
        <v>47</v>
      </c>
      <c r="CX126" s="926">
        <v>0.19</v>
      </c>
      <c r="CY126" s="872" t="s">
        <v>485</v>
      </c>
      <c r="CZ126" s="874" t="s">
        <v>486</v>
      </c>
      <c r="DA126" s="920">
        <v>47</v>
      </c>
      <c r="DB126" s="930">
        <f t="shared" si="104"/>
        <v>0.19</v>
      </c>
      <c r="DC126" s="928" t="str">
        <f t="shared" si="105"/>
        <v>Bewirtungskosten</v>
      </c>
      <c r="DD126" s="928" t="str">
        <f t="shared" si="106"/>
        <v>Entertainment expenses</v>
      </c>
      <c r="DR126" s="126"/>
    </row>
    <row r="127" spans="1:122" x14ac:dyDescent="0.2">
      <c r="A127" s="1002">
        <f t="shared" si="145"/>
        <v>7.0000000000000007E-2</v>
      </c>
      <c r="B127" s="72">
        <f t="shared" si="146"/>
        <v>7.0000000000000007E-2</v>
      </c>
      <c r="C127" s="1432" t="s">
        <v>127</v>
      </c>
      <c r="D127" s="1433"/>
      <c r="E127" s="1433"/>
      <c r="F127" s="1433"/>
      <c r="G127" s="1433"/>
      <c r="H127" s="1433"/>
      <c r="I127" s="1433"/>
      <c r="J127" s="1433"/>
      <c r="K127" s="1433"/>
      <c r="L127" s="1433"/>
      <c r="M127" s="1433"/>
      <c r="N127" s="1433"/>
      <c r="O127" s="1433"/>
      <c r="P127" s="1434">
        <f t="shared" si="147"/>
        <v>0</v>
      </c>
      <c r="Q127" s="1675"/>
      <c r="S127" s="1556"/>
      <c r="T127" s="68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BA127" s="72"/>
      <c r="BB127" s="1063" t="s">
        <v>127</v>
      </c>
      <c r="BC127" s="1230">
        <f t="shared" si="148"/>
        <v>0</v>
      </c>
      <c r="BD127" s="1230">
        <f t="shared" si="148"/>
        <v>0</v>
      </c>
      <c r="BE127" s="1230">
        <f t="shared" si="148"/>
        <v>0</v>
      </c>
      <c r="BF127" s="1230">
        <f t="shared" si="148"/>
        <v>0</v>
      </c>
      <c r="BG127" s="1230">
        <f t="shared" si="148"/>
        <v>0</v>
      </c>
      <c r="BH127" s="1230">
        <f t="shared" si="148"/>
        <v>0</v>
      </c>
      <c r="BI127" s="1230">
        <f t="shared" si="148"/>
        <v>0</v>
      </c>
      <c r="BJ127" s="1230">
        <f t="shared" si="148"/>
        <v>0</v>
      </c>
      <c r="BK127" s="1230">
        <f t="shared" si="148"/>
        <v>0</v>
      </c>
      <c r="BL127" s="1230">
        <f t="shared" si="148"/>
        <v>0</v>
      </c>
      <c r="BM127" s="1230">
        <f t="shared" si="148"/>
        <v>0</v>
      </c>
      <c r="BN127" s="1230">
        <f t="shared" si="148"/>
        <v>0</v>
      </c>
      <c r="BO127" s="1186">
        <f t="shared" si="149"/>
        <v>0</v>
      </c>
      <c r="BP127" s="68"/>
      <c r="BQ127" s="68"/>
      <c r="BR127" s="72"/>
      <c r="BS127" s="990" t="s">
        <v>127</v>
      </c>
      <c r="BT127" s="1230">
        <f t="shared" si="150"/>
        <v>0</v>
      </c>
      <c r="BU127" s="1230">
        <f t="shared" si="150"/>
        <v>0</v>
      </c>
      <c r="BV127" s="1230">
        <f t="shared" si="150"/>
        <v>0</v>
      </c>
      <c r="BW127" s="1230">
        <f t="shared" si="150"/>
        <v>0</v>
      </c>
      <c r="BX127" s="1230">
        <f t="shared" si="150"/>
        <v>0</v>
      </c>
      <c r="BY127" s="1230">
        <f t="shared" si="150"/>
        <v>0</v>
      </c>
      <c r="BZ127" s="1230">
        <f t="shared" si="150"/>
        <v>0</v>
      </c>
      <c r="CA127" s="1230">
        <f t="shared" si="150"/>
        <v>0</v>
      </c>
      <c r="CB127" s="1230">
        <f t="shared" si="150"/>
        <v>0</v>
      </c>
      <c r="CC127" s="1230">
        <f t="shared" si="150"/>
        <v>0</v>
      </c>
      <c r="CD127" s="1230">
        <f t="shared" si="150"/>
        <v>0</v>
      </c>
      <c r="CE127" s="1230">
        <f t="shared" si="150"/>
        <v>0</v>
      </c>
      <c r="CF127" s="1186">
        <f t="shared" si="151"/>
        <v>0</v>
      </c>
      <c r="CU127" s="934"/>
      <c r="CV127" s="934"/>
      <c r="CW127" s="920">
        <v>48</v>
      </c>
      <c r="CX127" s="878">
        <f>$Q$2</f>
        <v>0.19</v>
      </c>
      <c r="CY127" s="873" t="s">
        <v>127</v>
      </c>
      <c r="CZ127" s="873" t="s">
        <v>303</v>
      </c>
      <c r="DA127" s="920">
        <v>48</v>
      </c>
      <c r="DB127" s="930">
        <f t="shared" si="104"/>
        <v>0.19</v>
      </c>
      <c r="DC127" s="928" t="str">
        <f t="shared" si="105"/>
        <v>Sonstiges, Messen, ...</v>
      </c>
      <c r="DD127" s="928" t="str">
        <f t="shared" si="106"/>
        <v>Others, exhibitions, ...</v>
      </c>
      <c r="DR127" s="126"/>
    </row>
    <row r="128" spans="1:122" ht="15" thickBot="1" x14ac:dyDescent="0.25">
      <c r="A128" s="1002"/>
      <c r="B128" s="1487"/>
      <c r="C128" s="1488" t="str">
        <f t="shared" si="118"/>
        <v>Summe Marketing  u. Werbung</v>
      </c>
      <c r="D128" s="1489">
        <f>SUM(D122:D127)</f>
        <v>0</v>
      </c>
      <c r="E128" s="1489">
        <f t="shared" ref="E128:O128" si="152">SUM(E122:E127)</f>
        <v>0</v>
      </c>
      <c r="F128" s="1489">
        <f t="shared" si="152"/>
        <v>0</v>
      </c>
      <c r="G128" s="1489">
        <f t="shared" si="152"/>
        <v>0</v>
      </c>
      <c r="H128" s="1489">
        <f t="shared" si="152"/>
        <v>0</v>
      </c>
      <c r="I128" s="1489">
        <f t="shared" si="152"/>
        <v>0</v>
      </c>
      <c r="J128" s="1489">
        <f t="shared" si="152"/>
        <v>0</v>
      </c>
      <c r="K128" s="1489">
        <f t="shared" si="152"/>
        <v>0</v>
      </c>
      <c r="L128" s="1489">
        <f t="shared" si="152"/>
        <v>0</v>
      </c>
      <c r="M128" s="1489">
        <f t="shared" si="152"/>
        <v>0</v>
      </c>
      <c r="N128" s="1489">
        <f t="shared" si="152"/>
        <v>0</v>
      </c>
      <c r="O128" s="1489">
        <f t="shared" si="152"/>
        <v>0</v>
      </c>
      <c r="P128" s="1490">
        <f t="shared" si="147"/>
        <v>0</v>
      </c>
      <c r="Q128" s="47"/>
      <c r="S128" s="82"/>
      <c r="T128" s="68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Z128" s="35" t="b">
        <f>IFERROR(OR(BO128,CF128),-1)</f>
        <v>0</v>
      </c>
      <c r="BA128" s="80"/>
      <c r="BB128" s="96" t="s">
        <v>625</v>
      </c>
      <c r="BC128" s="1188">
        <f>SUM(BC122:BC127)</f>
        <v>0</v>
      </c>
      <c r="BD128" s="1188">
        <f t="shared" ref="BD128:BN128" si="153">SUM(BD122:BD127)</f>
        <v>0</v>
      </c>
      <c r="BE128" s="1188">
        <f t="shared" si="153"/>
        <v>0</v>
      </c>
      <c r="BF128" s="1188">
        <f t="shared" si="153"/>
        <v>0</v>
      </c>
      <c r="BG128" s="1188">
        <f t="shared" si="153"/>
        <v>0</v>
      </c>
      <c r="BH128" s="1188">
        <f t="shared" si="153"/>
        <v>0</v>
      </c>
      <c r="BI128" s="1188">
        <f t="shared" si="153"/>
        <v>0</v>
      </c>
      <c r="BJ128" s="1188">
        <f t="shared" si="153"/>
        <v>0</v>
      </c>
      <c r="BK128" s="1188">
        <f t="shared" si="153"/>
        <v>0</v>
      </c>
      <c r="BL128" s="1188">
        <f t="shared" si="153"/>
        <v>0</v>
      </c>
      <c r="BM128" s="1188">
        <f t="shared" si="153"/>
        <v>0</v>
      </c>
      <c r="BN128" s="1188">
        <f t="shared" si="153"/>
        <v>0</v>
      </c>
      <c r="BO128" s="1192">
        <f t="shared" si="149"/>
        <v>0</v>
      </c>
      <c r="BP128" s="68"/>
      <c r="BQ128" s="68"/>
      <c r="BR128" s="80"/>
      <c r="BS128" s="96" t="s">
        <v>625</v>
      </c>
      <c r="BT128" s="1188">
        <f>SUM(BT122:BT127)</f>
        <v>0</v>
      </c>
      <c r="BU128" s="1188">
        <f t="shared" ref="BU128:CE128" si="154">SUM(BU122:BU127)</f>
        <v>0</v>
      </c>
      <c r="BV128" s="1188">
        <f t="shared" si="154"/>
        <v>0</v>
      </c>
      <c r="BW128" s="1188">
        <f t="shared" si="154"/>
        <v>0</v>
      </c>
      <c r="BX128" s="1188">
        <f t="shared" si="154"/>
        <v>0</v>
      </c>
      <c r="BY128" s="1188">
        <f t="shared" si="154"/>
        <v>0</v>
      </c>
      <c r="BZ128" s="1188">
        <f t="shared" si="154"/>
        <v>0</v>
      </c>
      <c r="CA128" s="1188">
        <f t="shared" si="154"/>
        <v>0</v>
      </c>
      <c r="CB128" s="1188">
        <f t="shared" si="154"/>
        <v>0</v>
      </c>
      <c r="CC128" s="1188">
        <f t="shared" si="154"/>
        <v>0</v>
      </c>
      <c r="CD128" s="1188">
        <f t="shared" si="154"/>
        <v>0</v>
      </c>
      <c r="CE128" s="1188">
        <f t="shared" si="154"/>
        <v>0</v>
      </c>
      <c r="CF128" s="1192">
        <f t="shared" si="151"/>
        <v>0</v>
      </c>
      <c r="CU128" s="934"/>
      <c r="CV128" s="934"/>
      <c r="CW128" s="920">
        <v>49</v>
      </c>
      <c r="CX128" s="926"/>
      <c r="CY128" s="876" t="str">
        <f>"Summe "&amp;CY121</f>
        <v>Summe Marketing  u. Werbung</v>
      </c>
      <c r="CZ128" s="874" t="s">
        <v>300</v>
      </c>
      <c r="DA128" s="920">
        <v>49</v>
      </c>
      <c r="DB128" s="930">
        <f t="shared" si="104"/>
        <v>0</v>
      </c>
      <c r="DC128" s="928" t="str">
        <f t="shared" si="105"/>
        <v>Summe Marketing  u. Werbung</v>
      </c>
      <c r="DD128" s="928" t="str">
        <f t="shared" si="106"/>
        <v xml:space="preserve">Sum marketing &amp; advertising </v>
      </c>
      <c r="DR128" s="126"/>
    </row>
    <row r="129" spans="1:122" x14ac:dyDescent="0.2">
      <c r="A129" s="1002"/>
      <c r="B129" s="141">
        <v>8</v>
      </c>
      <c r="C129" s="86" t="str">
        <f t="shared" si="118"/>
        <v>Rechts- und Beratungskosten</v>
      </c>
      <c r="D129" s="1190"/>
      <c r="E129" s="1190"/>
      <c r="F129" s="1190"/>
      <c r="G129" s="1190"/>
      <c r="H129" s="1190"/>
      <c r="I129" s="1190"/>
      <c r="J129" s="1190"/>
      <c r="K129" s="1190"/>
      <c r="L129" s="1190"/>
      <c r="M129" s="1190"/>
      <c r="N129" s="1190"/>
      <c r="O129" s="1190"/>
      <c r="P129" s="1191"/>
      <c r="Q129" s="1675" t="s">
        <v>796</v>
      </c>
      <c r="S129" s="93"/>
      <c r="T129" s="68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BA129" s="141">
        <v>8</v>
      </c>
      <c r="BB129" s="86" t="s">
        <v>487</v>
      </c>
      <c r="BC129" s="1190"/>
      <c r="BD129" s="1190"/>
      <c r="BE129" s="1190"/>
      <c r="BF129" s="1190"/>
      <c r="BG129" s="1190"/>
      <c r="BH129" s="1190"/>
      <c r="BI129" s="1190"/>
      <c r="BJ129" s="1190"/>
      <c r="BK129" s="1190"/>
      <c r="BL129" s="1190"/>
      <c r="BM129" s="1190"/>
      <c r="BN129" s="1190"/>
      <c r="BO129" s="1191"/>
      <c r="BP129" s="68"/>
      <c r="BQ129" s="68"/>
      <c r="BR129" s="141">
        <v>8</v>
      </c>
      <c r="BS129" s="86" t="s">
        <v>487</v>
      </c>
      <c r="BT129" s="1190"/>
      <c r="BU129" s="1190"/>
      <c r="BV129" s="1190"/>
      <c r="BW129" s="1190"/>
      <c r="BX129" s="1190"/>
      <c r="BY129" s="1190"/>
      <c r="BZ129" s="1190"/>
      <c r="CA129" s="1190"/>
      <c r="CB129" s="1190"/>
      <c r="CC129" s="1190"/>
      <c r="CD129" s="1190"/>
      <c r="CE129" s="1190"/>
      <c r="CF129" s="1191"/>
      <c r="CU129" s="934"/>
      <c r="CV129" s="934"/>
      <c r="CW129" s="920">
        <v>50</v>
      </c>
      <c r="CX129" s="926"/>
      <c r="CY129" s="142" t="s">
        <v>487</v>
      </c>
      <c r="CZ129" s="874" t="s">
        <v>493</v>
      </c>
      <c r="DA129" s="920">
        <v>50</v>
      </c>
      <c r="DB129" s="930">
        <f t="shared" si="104"/>
        <v>0</v>
      </c>
      <c r="DC129" s="928" t="str">
        <f t="shared" si="105"/>
        <v>Rechts- und Beratungskosten</v>
      </c>
      <c r="DD129" s="928" t="str">
        <f t="shared" si="106"/>
        <v>Legal and accountancy fees</v>
      </c>
      <c r="DR129" s="126"/>
    </row>
    <row r="130" spans="1:122" x14ac:dyDescent="0.2">
      <c r="A130" s="1002">
        <f>A56</f>
        <v>0.19</v>
      </c>
      <c r="B130" s="72">
        <f>IF($D$4&lt;&gt;1, A130,"")</f>
        <v>0.19</v>
      </c>
      <c r="C130" s="1429" t="str">
        <f t="shared" si="118"/>
        <v>Buchhaltung</v>
      </c>
      <c r="D130" s="1430"/>
      <c r="E130" s="1430"/>
      <c r="F130" s="1430"/>
      <c r="G130" s="1430"/>
      <c r="H130" s="1430"/>
      <c r="I130" s="1430"/>
      <c r="J130" s="1430"/>
      <c r="K130" s="1430"/>
      <c r="L130" s="1430"/>
      <c r="M130" s="1430"/>
      <c r="N130" s="1430"/>
      <c r="O130" s="1430"/>
      <c r="P130" s="1431">
        <f>SUM(D130:O130)</f>
        <v>0</v>
      </c>
      <c r="Q130" s="1675"/>
      <c r="S130" s="1556"/>
      <c r="T130" s="68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BA130" s="72">
        <v>0.19</v>
      </c>
      <c r="BB130" s="73" t="s">
        <v>488</v>
      </c>
      <c r="BC130" s="1230">
        <f t="shared" ref="BC130:BN132" si="155">IF($A130=$Q$2,D130*IF(OR($D$4=0,$D$4=3),$A130,$A130/(1+$A130)),0)</f>
        <v>0</v>
      </c>
      <c r="BD130" s="1230">
        <f t="shared" si="155"/>
        <v>0</v>
      </c>
      <c r="BE130" s="1230">
        <f t="shared" si="155"/>
        <v>0</v>
      </c>
      <c r="BF130" s="1230">
        <f t="shared" si="155"/>
        <v>0</v>
      </c>
      <c r="BG130" s="1230">
        <f t="shared" si="155"/>
        <v>0</v>
      </c>
      <c r="BH130" s="1230">
        <f t="shared" si="155"/>
        <v>0</v>
      </c>
      <c r="BI130" s="1230">
        <f t="shared" si="155"/>
        <v>0</v>
      </c>
      <c r="BJ130" s="1230">
        <f t="shared" si="155"/>
        <v>0</v>
      </c>
      <c r="BK130" s="1230">
        <f t="shared" si="155"/>
        <v>0</v>
      </c>
      <c r="BL130" s="1230">
        <f t="shared" si="155"/>
        <v>0</v>
      </c>
      <c r="BM130" s="1230">
        <f t="shared" si="155"/>
        <v>0</v>
      </c>
      <c r="BN130" s="1230">
        <f t="shared" si="155"/>
        <v>0</v>
      </c>
      <c r="BO130" s="1186">
        <f t="shared" si="149"/>
        <v>0</v>
      </c>
      <c r="BP130" s="68"/>
      <c r="BQ130" s="68"/>
      <c r="BR130" s="72">
        <v>0.19</v>
      </c>
      <c r="BS130" s="73" t="s">
        <v>488</v>
      </c>
      <c r="BT130" s="1230">
        <f t="shared" ref="BT130:CE132" si="156">IF($A130=$Q$3,D130*IF(OR($D$4=0,$D$4=3),$A130,$A130/(1+$A130)),0)</f>
        <v>0</v>
      </c>
      <c r="BU130" s="1230">
        <f t="shared" si="156"/>
        <v>0</v>
      </c>
      <c r="BV130" s="1230">
        <f t="shared" si="156"/>
        <v>0</v>
      </c>
      <c r="BW130" s="1230">
        <f t="shared" si="156"/>
        <v>0</v>
      </c>
      <c r="BX130" s="1230">
        <f t="shared" si="156"/>
        <v>0</v>
      </c>
      <c r="BY130" s="1230">
        <f t="shared" si="156"/>
        <v>0</v>
      </c>
      <c r="BZ130" s="1230">
        <f t="shared" si="156"/>
        <v>0</v>
      </c>
      <c r="CA130" s="1230">
        <f t="shared" si="156"/>
        <v>0</v>
      </c>
      <c r="CB130" s="1230">
        <f t="shared" si="156"/>
        <v>0</v>
      </c>
      <c r="CC130" s="1230">
        <f t="shared" si="156"/>
        <v>0</v>
      </c>
      <c r="CD130" s="1230">
        <f t="shared" si="156"/>
        <v>0</v>
      </c>
      <c r="CE130" s="1230">
        <f t="shared" si="156"/>
        <v>0</v>
      </c>
      <c r="CF130" s="1186">
        <f>SUM(BT130:CE130)</f>
        <v>0</v>
      </c>
      <c r="CU130" s="934"/>
      <c r="CV130" s="934"/>
      <c r="CW130" s="920">
        <v>51</v>
      </c>
      <c r="CX130" s="926">
        <v>0.19</v>
      </c>
      <c r="CY130" s="872" t="s">
        <v>488</v>
      </c>
      <c r="CZ130" s="874" t="s">
        <v>491</v>
      </c>
      <c r="DA130" s="920">
        <v>51</v>
      </c>
      <c r="DB130" s="930">
        <f t="shared" si="104"/>
        <v>0.19</v>
      </c>
      <c r="DC130" s="928" t="str">
        <f t="shared" si="105"/>
        <v>Buchhaltung</v>
      </c>
      <c r="DD130" s="928" t="str">
        <f t="shared" si="106"/>
        <v xml:space="preserve">Bookkeeping </v>
      </c>
      <c r="DR130" s="126"/>
    </row>
    <row r="131" spans="1:122" x14ac:dyDescent="0.2">
      <c r="A131" s="1002">
        <f>A57</f>
        <v>0.19</v>
      </c>
      <c r="B131" s="72">
        <f>IF($D$4&lt;&gt;1, A131,"")</f>
        <v>0.19</v>
      </c>
      <c r="C131" s="1429" t="str">
        <f t="shared" si="118"/>
        <v>Steuerberatung, Abschluss, Prüfung</v>
      </c>
      <c r="D131" s="1430"/>
      <c r="E131" s="1430"/>
      <c r="F131" s="1430"/>
      <c r="G131" s="1430"/>
      <c r="H131" s="1430"/>
      <c r="I131" s="1430"/>
      <c r="J131" s="1430"/>
      <c r="K131" s="1430"/>
      <c r="L131" s="1430"/>
      <c r="M131" s="1430"/>
      <c r="N131" s="1430"/>
      <c r="O131" s="1430"/>
      <c r="P131" s="1431">
        <f>SUM(D131:O131)</f>
        <v>0</v>
      </c>
      <c r="Q131" s="1675"/>
      <c r="S131" s="1556"/>
      <c r="T131" s="68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BA131" s="72">
        <v>0.19</v>
      </c>
      <c r="BB131" s="73" t="s">
        <v>489</v>
      </c>
      <c r="BC131" s="1230">
        <f t="shared" si="155"/>
        <v>0</v>
      </c>
      <c r="BD131" s="1230">
        <f t="shared" si="155"/>
        <v>0</v>
      </c>
      <c r="BE131" s="1230">
        <f t="shared" si="155"/>
        <v>0</v>
      </c>
      <c r="BF131" s="1230">
        <f t="shared" si="155"/>
        <v>0</v>
      </c>
      <c r="BG131" s="1230">
        <f t="shared" si="155"/>
        <v>0</v>
      </c>
      <c r="BH131" s="1230">
        <f t="shared" si="155"/>
        <v>0</v>
      </c>
      <c r="BI131" s="1230">
        <f t="shared" si="155"/>
        <v>0</v>
      </c>
      <c r="BJ131" s="1230">
        <f t="shared" si="155"/>
        <v>0</v>
      </c>
      <c r="BK131" s="1230">
        <f t="shared" si="155"/>
        <v>0</v>
      </c>
      <c r="BL131" s="1230">
        <f t="shared" si="155"/>
        <v>0</v>
      </c>
      <c r="BM131" s="1230">
        <f t="shared" si="155"/>
        <v>0</v>
      </c>
      <c r="BN131" s="1230">
        <f t="shared" si="155"/>
        <v>0</v>
      </c>
      <c r="BO131" s="1186">
        <f t="shared" si="149"/>
        <v>0</v>
      </c>
      <c r="BP131" s="68"/>
      <c r="BQ131" s="68"/>
      <c r="BR131" s="72">
        <v>0.19</v>
      </c>
      <c r="BS131" s="73" t="s">
        <v>489</v>
      </c>
      <c r="BT131" s="1230">
        <f t="shared" si="156"/>
        <v>0</v>
      </c>
      <c r="BU131" s="1230">
        <f t="shared" si="156"/>
        <v>0</v>
      </c>
      <c r="BV131" s="1230">
        <f t="shared" si="156"/>
        <v>0</v>
      </c>
      <c r="BW131" s="1230">
        <f t="shared" si="156"/>
        <v>0</v>
      </c>
      <c r="BX131" s="1230">
        <f t="shared" si="156"/>
        <v>0</v>
      </c>
      <c r="BY131" s="1230">
        <f t="shared" si="156"/>
        <v>0</v>
      </c>
      <c r="BZ131" s="1230">
        <f t="shared" si="156"/>
        <v>0</v>
      </c>
      <c r="CA131" s="1230">
        <f t="shared" si="156"/>
        <v>0</v>
      </c>
      <c r="CB131" s="1230">
        <f t="shared" si="156"/>
        <v>0</v>
      </c>
      <c r="CC131" s="1230">
        <f t="shared" si="156"/>
        <v>0</v>
      </c>
      <c r="CD131" s="1230">
        <f t="shared" si="156"/>
        <v>0</v>
      </c>
      <c r="CE131" s="1230">
        <f t="shared" si="156"/>
        <v>0</v>
      </c>
      <c r="CF131" s="1186">
        <f>SUM(BT131:CE131)</f>
        <v>0</v>
      </c>
      <c r="CU131" s="934"/>
      <c r="CV131" s="934"/>
      <c r="CW131" s="920">
        <v>52</v>
      </c>
      <c r="CX131" s="926">
        <v>0.19</v>
      </c>
      <c r="CY131" s="872" t="s">
        <v>489</v>
      </c>
      <c r="CZ131" s="874" t="s">
        <v>492</v>
      </c>
      <c r="DA131" s="920">
        <v>52</v>
      </c>
      <c r="DB131" s="930">
        <f t="shared" si="104"/>
        <v>0.19</v>
      </c>
      <c r="DC131" s="928" t="str">
        <f t="shared" si="105"/>
        <v>Steuerberatung, Abschluss, Prüfung</v>
      </c>
      <c r="DD131" s="928" t="str">
        <f t="shared" si="106"/>
        <v>Tax advice, annual accounts, accounts audit</v>
      </c>
      <c r="DR131" s="126"/>
    </row>
    <row r="132" spans="1:122" x14ac:dyDescent="0.2">
      <c r="A132" s="1002">
        <f>A58</f>
        <v>0.19</v>
      </c>
      <c r="B132" s="72">
        <f>IF($D$4&lt;&gt;1, A132,"")</f>
        <v>0.19</v>
      </c>
      <c r="C132" s="1432" t="s">
        <v>470</v>
      </c>
      <c r="D132" s="1433"/>
      <c r="E132" s="1433"/>
      <c r="F132" s="1433"/>
      <c r="G132" s="1433"/>
      <c r="H132" s="1433"/>
      <c r="I132" s="1433"/>
      <c r="J132" s="1433"/>
      <c r="K132" s="1433"/>
      <c r="L132" s="1433"/>
      <c r="M132" s="1433"/>
      <c r="N132" s="1433"/>
      <c r="O132" s="1433"/>
      <c r="P132" s="1434">
        <f>SUM(D132:O132)</f>
        <v>0</v>
      </c>
      <c r="Q132" s="1675"/>
      <c r="S132" s="1556"/>
      <c r="T132" s="68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BA132" s="72"/>
      <c r="BB132" s="1063" t="s">
        <v>470</v>
      </c>
      <c r="BC132" s="1230">
        <f t="shared" si="155"/>
        <v>0</v>
      </c>
      <c r="BD132" s="1230">
        <f t="shared" si="155"/>
        <v>0</v>
      </c>
      <c r="BE132" s="1230">
        <f t="shared" si="155"/>
        <v>0</v>
      </c>
      <c r="BF132" s="1230">
        <f t="shared" si="155"/>
        <v>0</v>
      </c>
      <c r="BG132" s="1230">
        <f t="shared" si="155"/>
        <v>0</v>
      </c>
      <c r="BH132" s="1230">
        <f t="shared" si="155"/>
        <v>0</v>
      </c>
      <c r="BI132" s="1230">
        <f t="shared" si="155"/>
        <v>0</v>
      </c>
      <c r="BJ132" s="1230">
        <f t="shared" si="155"/>
        <v>0</v>
      </c>
      <c r="BK132" s="1230">
        <f t="shared" si="155"/>
        <v>0</v>
      </c>
      <c r="BL132" s="1230">
        <f t="shared" si="155"/>
        <v>0</v>
      </c>
      <c r="BM132" s="1230">
        <f t="shared" si="155"/>
        <v>0</v>
      </c>
      <c r="BN132" s="1230">
        <f t="shared" si="155"/>
        <v>0</v>
      </c>
      <c r="BO132" s="1186">
        <f t="shared" si="149"/>
        <v>0</v>
      </c>
      <c r="BP132" s="68"/>
      <c r="BQ132" s="68"/>
      <c r="BR132" s="72"/>
      <c r="BS132" s="990" t="s">
        <v>470</v>
      </c>
      <c r="BT132" s="1230">
        <f t="shared" si="156"/>
        <v>0</v>
      </c>
      <c r="BU132" s="1230">
        <f t="shared" si="156"/>
        <v>0</v>
      </c>
      <c r="BV132" s="1230">
        <f t="shared" si="156"/>
        <v>0</v>
      </c>
      <c r="BW132" s="1230">
        <f t="shared" si="156"/>
        <v>0</v>
      </c>
      <c r="BX132" s="1230">
        <f t="shared" si="156"/>
        <v>0</v>
      </c>
      <c r="BY132" s="1230">
        <f t="shared" si="156"/>
        <v>0</v>
      </c>
      <c r="BZ132" s="1230">
        <f t="shared" si="156"/>
        <v>0</v>
      </c>
      <c r="CA132" s="1230">
        <f t="shared" si="156"/>
        <v>0</v>
      </c>
      <c r="CB132" s="1230">
        <f t="shared" si="156"/>
        <v>0</v>
      </c>
      <c r="CC132" s="1230">
        <f t="shared" si="156"/>
        <v>0</v>
      </c>
      <c r="CD132" s="1230">
        <f t="shared" si="156"/>
        <v>0</v>
      </c>
      <c r="CE132" s="1230">
        <f t="shared" si="156"/>
        <v>0</v>
      </c>
      <c r="CF132" s="1186">
        <f>SUM(BT132:CE132)</f>
        <v>0</v>
      </c>
      <c r="CU132" s="934"/>
      <c r="CV132" s="934"/>
      <c r="CW132" s="920">
        <v>53</v>
      </c>
      <c r="CX132" s="878">
        <v>7.0000000000000007E-2</v>
      </c>
      <c r="CY132" s="873" t="s">
        <v>470</v>
      </c>
      <c r="CZ132" s="873" t="s">
        <v>473</v>
      </c>
      <c r="DA132" s="920">
        <v>53</v>
      </c>
      <c r="DB132" s="930">
        <f t="shared" si="104"/>
        <v>7.0000000000000007E-2</v>
      </c>
      <c r="DC132" s="928" t="str">
        <f t="shared" si="105"/>
        <v>Sonstiges</v>
      </c>
      <c r="DD132" s="928" t="str">
        <f t="shared" si="106"/>
        <v>Others</v>
      </c>
      <c r="DR132" s="126"/>
    </row>
    <row r="133" spans="1:122" ht="15" thickBot="1" x14ac:dyDescent="0.25">
      <c r="A133" s="1002"/>
      <c r="B133" s="80"/>
      <c r="C133" s="96" t="str">
        <f t="shared" si="118"/>
        <v>Summe Rechts- und Beratungskosten</v>
      </c>
      <c r="D133" s="1188">
        <f>SUM(D130:D132)</f>
        <v>0</v>
      </c>
      <c r="E133" s="1188">
        <f t="shared" ref="E133:O133" si="157">SUM(E130:E132)</f>
        <v>0</v>
      </c>
      <c r="F133" s="1188">
        <f t="shared" si="157"/>
        <v>0</v>
      </c>
      <c r="G133" s="1188">
        <f t="shared" si="157"/>
        <v>0</v>
      </c>
      <c r="H133" s="1188">
        <f t="shared" si="157"/>
        <v>0</v>
      </c>
      <c r="I133" s="1188">
        <f t="shared" si="157"/>
        <v>0</v>
      </c>
      <c r="J133" s="1188">
        <f t="shared" si="157"/>
        <v>0</v>
      </c>
      <c r="K133" s="1188">
        <f t="shared" si="157"/>
        <v>0</v>
      </c>
      <c r="L133" s="1188">
        <f t="shared" si="157"/>
        <v>0</v>
      </c>
      <c r="M133" s="1188">
        <f t="shared" si="157"/>
        <v>0</v>
      </c>
      <c r="N133" s="1188">
        <f t="shared" si="157"/>
        <v>0</v>
      </c>
      <c r="O133" s="1188">
        <f t="shared" si="157"/>
        <v>0</v>
      </c>
      <c r="P133" s="1192">
        <f>SUM(D133:O133)</f>
        <v>0</v>
      </c>
      <c r="Q133" s="1675"/>
      <c r="S133" s="82"/>
      <c r="T133" s="68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Z133" s="35" t="b">
        <f>IFERROR(OR(BO133,CF133),-1)</f>
        <v>0</v>
      </c>
      <c r="BA133" s="80"/>
      <c r="BB133" s="96" t="s">
        <v>490</v>
      </c>
      <c r="BC133" s="1188">
        <f>SUM(BC130:BC132)</f>
        <v>0</v>
      </c>
      <c r="BD133" s="1188">
        <f t="shared" ref="BD133:BN133" si="158">SUM(BD130:BD132)</f>
        <v>0</v>
      </c>
      <c r="BE133" s="1188">
        <f t="shared" si="158"/>
        <v>0</v>
      </c>
      <c r="BF133" s="1188">
        <f t="shared" si="158"/>
        <v>0</v>
      </c>
      <c r="BG133" s="1188">
        <f t="shared" si="158"/>
        <v>0</v>
      </c>
      <c r="BH133" s="1188">
        <f t="shared" si="158"/>
        <v>0</v>
      </c>
      <c r="BI133" s="1188">
        <f t="shared" si="158"/>
        <v>0</v>
      </c>
      <c r="BJ133" s="1188">
        <f t="shared" si="158"/>
        <v>0</v>
      </c>
      <c r="BK133" s="1188">
        <f t="shared" si="158"/>
        <v>0</v>
      </c>
      <c r="BL133" s="1188">
        <f t="shared" si="158"/>
        <v>0</v>
      </c>
      <c r="BM133" s="1188">
        <f t="shared" si="158"/>
        <v>0</v>
      </c>
      <c r="BN133" s="1188">
        <f t="shared" si="158"/>
        <v>0</v>
      </c>
      <c r="BO133" s="1192">
        <f t="shared" si="149"/>
        <v>0</v>
      </c>
      <c r="BP133" s="68"/>
      <c r="BQ133" s="68"/>
      <c r="BR133" s="80"/>
      <c r="BS133" s="96" t="s">
        <v>490</v>
      </c>
      <c r="BT133" s="1188">
        <f>SUM(BT130:BT132)</f>
        <v>0</v>
      </c>
      <c r="BU133" s="1188">
        <f t="shared" ref="BU133:CE133" si="159">SUM(BU130:BU132)</f>
        <v>0</v>
      </c>
      <c r="BV133" s="1188">
        <f t="shared" si="159"/>
        <v>0</v>
      </c>
      <c r="BW133" s="1188">
        <f t="shared" si="159"/>
        <v>0</v>
      </c>
      <c r="BX133" s="1188">
        <f t="shared" si="159"/>
        <v>0</v>
      </c>
      <c r="BY133" s="1188">
        <f t="shared" si="159"/>
        <v>0</v>
      </c>
      <c r="BZ133" s="1188">
        <f t="shared" si="159"/>
        <v>0</v>
      </c>
      <c r="CA133" s="1188">
        <f t="shared" si="159"/>
        <v>0</v>
      </c>
      <c r="CB133" s="1188">
        <f t="shared" si="159"/>
        <v>0</v>
      </c>
      <c r="CC133" s="1188">
        <f t="shared" si="159"/>
        <v>0</v>
      </c>
      <c r="CD133" s="1188">
        <f t="shared" si="159"/>
        <v>0</v>
      </c>
      <c r="CE133" s="1188">
        <f t="shared" si="159"/>
        <v>0</v>
      </c>
      <c r="CF133" s="1192">
        <f>SUM(BT133:CE133)</f>
        <v>0</v>
      </c>
      <c r="CU133" s="934"/>
      <c r="CV133" s="934"/>
      <c r="CW133" s="920">
        <v>54</v>
      </c>
      <c r="CX133" s="926"/>
      <c r="CY133" s="92" t="s">
        <v>490</v>
      </c>
      <c r="CZ133" s="874" t="s">
        <v>494</v>
      </c>
      <c r="DA133" s="920">
        <v>54</v>
      </c>
      <c r="DB133" s="930">
        <f t="shared" si="104"/>
        <v>0</v>
      </c>
      <c r="DC133" s="928" t="str">
        <f t="shared" si="105"/>
        <v>Summe Rechts- und Beratungskosten</v>
      </c>
      <c r="DD133" s="928" t="str">
        <f t="shared" si="106"/>
        <v>Sum legislation and consultancy fees</v>
      </c>
      <c r="DR133" s="126"/>
    </row>
    <row r="134" spans="1:122" ht="15" thickTop="1" x14ac:dyDescent="0.2">
      <c r="A134" s="1002"/>
      <c r="B134" s="141">
        <v>9</v>
      </c>
      <c r="C134" s="63" t="str">
        <f t="shared" si="118"/>
        <v>Verschiedenes</v>
      </c>
      <c r="D134" s="1190"/>
      <c r="E134" s="1190"/>
      <c r="F134" s="1190"/>
      <c r="G134" s="1190"/>
      <c r="H134" s="1190"/>
      <c r="I134" s="1190"/>
      <c r="J134" s="1190"/>
      <c r="K134" s="1190"/>
      <c r="L134" s="1190"/>
      <c r="M134" s="1190"/>
      <c r="N134" s="1190"/>
      <c r="O134" s="1190"/>
      <c r="P134" s="1191"/>
      <c r="Q134" s="47"/>
      <c r="S134" s="89"/>
      <c r="T134" s="68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BA134" s="141">
        <v>9</v>
      </c>
      <c r="BB134" s="63" t="s">
        <v>34</v>
      </c>
      <c r="BC134" s="1190"/>
      <c r="BD134" s="1190"/>
      <c r="BE134" s="1190"/>
      <c r="BF134" s="1190"/>
      <c r="BG134" s="1190"/>
      <c r="BH134" s="1190"/>
      <c r="BI134" s="1190"/>
      <c r="BJ134" s="1190"/>
      <c r="BK134" s="1190"/>
      <c r="BL134" s="1190"/>
      <c r="BM134" s="1190"/>
      <c r="BN134" s="1190"/>
      <c r="BO134" s="1191"/>
      <c r="BP134" s="68"/>
      <c r="BQ134" s="68"/>
      <c r="BR134" s="141">
        <v>9</v>
      </c>
      <c r="BS134" s="63" t="s">
        <v>34</v>
      </c>
      <c r="BT134" s="1190"/>
      <c r="BU134" s="1190"/>
      <c r="BV134" s="1190"/>
      <c r="BW134" s="1190"/>
      <c r="BX134" s="1190"/>
      <c r="BY134" s="1190"/>
      <c r="BZ134" s="1190"/>
      <c r="CA134" s="1190"/>
      <c r="CB134" s="1190"/>
      <c r="CC134" s="1190"/>
      <c r="CD134" s="1190"/>
      <c r="CE134" s="1190"/>
      <c r="CF134" s="1191"/>
      <c r="CW134" s="920">
        <v>55</v>
      </c>
      <c r="CX134" s="926"/>
      <c r="CY134" s="142" t="s">
        <v>34</v>
      </c>
      <c r="CZ134" s="874" t="s">
        <v>292</v>
      </c>
      <c r="DA134" s="920">
        <v>55</v>
      </c>
      <c r="DB134" s="930">
        <f t="shared" si="104"/>
        <v>0</v>
      </c>
      <c r="DC134" s="928" t="str">
        <f t="shared" si="105"/>
        <v>Verschiedenes</v>
      </c>
      <c r="DD134" s="928" t="str">
        <f t="shared" si="106"/>
        <v>Miscellaneous</v>
      </c>
      <c r="DR134" s="126"/>
    </row>
    <row r="135" spans="1:122" x14ac:dyDescent="0.2">
      <c r="A135" s="1002">
        <f>A61</f>
        <v>0</v>
      </c>
      <c r="B135" s="72" t="str">
        <f>IF($D$4=-1, A135,"")</f>
        <v/>
      </c>
      <c r="C135" s="1429" t="str">
        <f t="shared" si="118"/>
        <v>Finanzaufwand / Zinsen *)</v>
      </c>
      <c r="D135" s="1435">
        <f>'7 Finanzierung|Financing'!D45</f>
        <v>0</v>
      </c>
      <c r="E135" s="1435">
        <f>'7 Finanzierung|Financing'!E45</f>
        <v>0</v>
      </c>
      <c r="F135" s="1435">
        <f>'7 Finanzierung|Financing'!F45</f>
        <v>0</v>
      </c>
      <c r="G135" s="1435">
        <f>'7 Finanzierung|Financing'!G45</f>
        <v>0</v>
      </c>
      <c r="H135" s="1435">
        <f>'7 Finanzierung|Financing'!H45</f>
        <v>0</v>
      </c>
      <c r="I135" s="1435">
        <f>'7 Finanzierung|Financing'!I45</f>
        <v>0</v>
      </c>
      <c r="J135" s="1435">
        <f>'7 Finanzierung|Financing'!J45</f>
        <v>0</v>
      </c>
      <c r="K135" s="1435">
        <f>'7 Finanzierung|Financing'!K45</f>
        <v>0</v>
      </c>
      <c r="L135" s="1435">
        <f>'7 Finanzierung|Financing'!L45</f>
        <v>0</v>
      </c>
      <c r="M135" s="1435">
        <f>'7 Finanzierung|Financing'!M45</f>
        <v>0</v>
      </c>
      <c r="N135" s="1435">
        <f>'7 Finanzierung|Financing'!N45</f>
        <v>0</v>
      </c>
      <c r="O135" s="1435">
        <f>'7 Finanzierung|Financing'!O45</f>
        <v>0</v>
      </c>
      <c r="P135" s="1436">
        <f t="shared" ref="P135:P140" si="160">SUM(D135:O135)</f>
        <v>0</v>
      </c>
      <c r="Q135" s="1675" t="s">
        <v>796</v>
      </c>
      <c r="S135" s="1556"/>
      <c r="T135" s="68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BA135" s="72" t="s">
        <v>622</v>
      </c>
      <c r="BB135" s="73" t="s">
        <v>495</v>
      </c>
      <c r="BC135" s="1230">
        <f t="shared" ref="BC135:BN139" si="161">IF($A135=$Q$2,D135*IF(OR($D$4=0,$D$4=3),$A135,$A135/(1+$A135)),0)</f>
        <v>0</v>
      </c>
      <c r="BD135" s="1230">
        <f t="shared" si="161"/>
        <v>0</v>
      </c>
      <c r="BE135" s="1230">
        <f t="shared" si="161"/>
        <v>0</v>
      </c>
      <c r="BF135" s="1230">
        <f t="shared" si="161"/>
        <v>0</v>
      </c>
      <c r="BG135" s="1230">
        <f t="shared" si="161"/>
        <v>0</v>
      </c>
      <c r="BH135" s="1230">
        <f t="shared" si="161"/>
        <v>0</v>
      </c>
      <c r="BI135" s="1230">
        <f t="shared" si="161"/>
        <v>0</v>
      </c>
      <c r="BJ135" s="1230">
        <f t="shared" si="161"/>
        <v>0</v>
      </c>
      <c r="BK135" s="1230">
        <f t="shared" si="161"/>
        <v>0</v>
      </c>
      <c r="BL135" s="1230">
        <f t="shared" si="161"/>
        <v>0</v>
      </c>
      <c r="BM135" s="1230">
        <f t="shared" si="161"/>
        <v>0</v>
      </c>
      <c r="BN135" s="1230">
        <f t="shared" si="161"/>
        <v>0</v>
      </c>
      <c r="BO135" s="1194">
        <f t="shared" ref="BO135:BO140" si="162">SUM(BC135:BN135)</f>
        <v>0</v>
      </c>
      <c r="BP135" s="68"/>
      <c r="BQ135" s="68"/>
      <c r="BR135" s="72" t="s">
        <v>622</v>
      </c>
      <c r="BS135" s="73" t="s">
        <v>495</v>
      </c>
      <c r="BT135" s="1230">
        <f t="shared" ref="BT135:CE139" si="163">IF($A135=$Q$3,D135*IF(OR($D$4=0,$D$4=3),$A135,$A135/(1+$A135)),0)</f>
        <v>0</v>
      </c>
      <c r="BU135" s="1230">
        <f t="shared" si="163"/>
        <v>0</v>
      </c>
      <c r="BV135" s="1230">
        <f t="shared" si="163"/>
        <v>0</v>
      </c>
      <c r="BW135" s="1230">
        <f t="shared" si="163"/>
        <v>0</v>
      </c>
      <c r="BX135" s="1230">
        <f t="shared" si="163"/>
        <v>0</v>
      </c>
      <c r="BY135" s="1230">
        <f t="shared" si="163"/>
        <v>0</v>
      </c>
      <c r="BZ135" s="1230">
        <f t="shared" si="163"/>
        <v>0</v>
      </c>
      <c r="CA135" s="1230">
        <f t="shared" si="163"/>
        <v>0</v>
      </c>
      <c r="CB135" s="1230">
        <f t="shared" si="163"/>
        <v>0</v>
      </c>
      <c r="CC135" s="1230">
        <f t="shared" si="163"/>
        <v>0</v>
      </c>
      <c r="CD135" s="1230">
        <f t="shared" si="163"/>
        <v>0</v>
      </c>
      <c r="CE135" s="1230">
        <f t="shared" si="163"/>
        <v>0</v>
      </c>
      <c r="CF135" s="1194">
        <f t="shared" ref="CF135:CF140" si="164">SUM(BT135:CE135)</f>
        <v>0</v>
      </c>
      <c r="CW135" s="920">
        <v>56</v>
      </c>
      <c r="CX135" s="926">
        <v>0</v>
      </c>
      <c r="CY135" s="877" t="s">
        <v>495</v>
      </c>
      <c r="CZ135" s="874" t="s">
        <v>262</v>
      </c>
      <c r="DA135" s="920">
        <v>56</v>
      </c>
      <c r="DB135" s="930">
        <f t="shared" si="104"/>
        <v>0</v>
      </c>
      <c r="DC135" s="928" t="str">
        <f t="shared" si="105"/>
        <v>Finanzaufwand / Zinsen *)</v>
      </c>
      <c r="DD135" s="928" t="str">
        <f t="shared" si="106"/>
        <v>Finance costs /  interest *)</v>
      </c>
      <c r="DR135" s="126"/>
    </row>
    <row r="136" spans="1:122" x14ac:dyDescent="0.2">
      <c r="A136" s="1002">
        <f>A62</f>
        <v>0.19</v>
      </c>
      <c r="B136" s="72">
        <f>IF($D$4&lt;&gt;1, A136,"")</f>
        <v>0.19</v>
      </c>
      <c r="C136" s="1429" t="str">
        <f t="shared" si="118"/>
        <v>Reisekosten</v>
      </c>
      <c r="D136" s="1430"/>
      <c r="E136" s="1430"/>
      <c r="F136" s="1430"/>
      <c r="G136" s="1430"/>
      <c r="H136" s="1430"/>
      <c r="I136" s="1430"/>
      <c r="J136" s="1430"/>
      <c r="K136" s="1430"/>
      <c r="L136" s="1430"/>
      <c r="M136" s="1430"/>
      <c r="N136" s="1430"/>
      <c r="O136" s="1430"/>
      <c r="P136" s="1431">
        <f t="shared" si="160"/>
        <v>0</v>
      </c>
      <c r="Q136" s="1675"/>
      <c r="S136" s="1556"/>
      <c r="T136" s="68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BA136" s="72">
        <v>0.19</v>
      </c>
      <c r="BB136" s="73" t="s">
        <v>121</v>
      </c>
      <c r="BC136" s="1230">
        <f t="shared" si="161"/>
        <v>0</v>
      </c>
      <c r="BD136" s="1230">
        <f t="shared" si="161"/>
        <v>0</v>
      </c>
      <c r="BE136" s="1230">
        <f t="shared" si="161"/>
        <v>0</v>
      </c>
      <c r="BF136" s="1230">
        <f t="shared" si="161"/>
        <v>0</v>
      </c>
      <c r="BG136" s="1230">
        <f t="shared" si="161"/>
        <v>0</v>
      </c>
      <c r="BH136" s="1230">
        <f t="shared" si="161"/>
        <v>0</v>
      </c>
      <c r="BI136" s="1230">
        <f t="shared" si="161"/>
        <v>0</v>
      </c>
      <c r="BJ136" s="1230">
        <f t="shared" si="161"/>
        <v>0</v>
      </c>
      <c r="BK136" s="1230">
        <f t="shared" si="161"/>
        <v>0</v>
      </c>
      <c r="BL136" s="1230">
        <f t="shared" si="161"/>
        <v>0</v>
      </c>
      <c r="BM136" s="1230">
        <f t="shared" si="161"/>
        <v>0</v>
      </c>
      <c r="BN136" s="1230">
        <f t="shared" si="161"/>
        <v>0</v>
      </c>
      <c r="BO136" s="1186">
        <f t="shared" si="162"/>
        <v>0</v>
      </c>
      <c r="BP136" s="68"/>
      <c r="BQ136" s="68"/>
      <c r="BR136" s="72">
        <v>0.19</v>
      </c>
      <c r="BS136" s="73" t="s">
        <v>121</v>
      </c>
      <c r="BT136" s="1230">
        <f t="shared" si="163"/>
        <v>0</v>
      </c>
      <c r="BU136" s="1230">
        <f t="shared" si="163"/>
        <v>0</v>
      </c>
      <c r="BV136" s="1230">
        <f t="shared" si="163"/>
        <v>0</v>
      </c>
      <c r="BW136" s="1230">
        <f t="shared" si="163"/>
        <v>0</v>
      </c>
      <c r="BX136" s="1230">
        <f t="shared" si="163"/>
        <v>0</v>
      </c>
      <c r="BY136" s="1230">
        <f t="shared" si="163"/>
        <v>0</v>
      </c>
      <c r="BZ136" s="1230">
        <f t="shared" si="163"/>
        <v>0</v>
      </c>
      <c r="CA136" s="1230">
        <f t="shared" si="163"/>
        <v>0</v>
      </c>
      <c r="CB136" s="1230">
        <f t="shared" si="163"/>
        <v>0</v>
      </c>
      <c r="CC136" s="1230">
        <f t="shared" si="163"/>
        <v>0</v>
      </c>
      <c r="CD136" s="1230">
        <f t="shared" si="163"/>
        <v>0</v>
      </c>
      <c r="CE136" s="1230">
        <f t="shared" si="163"/>
        <v>0</v>
      </c>
      <c r="CF136" s="1186">
        <f t="shared" si="164"/>
        <v>0</v>
      </c>
      <c r="CU136" s="90"/>
      <c r="CV136" s="90"/>
      <c r="CW136" s="920">
        <v>57</v>
      </c>
      <c r="CX136" s="926">
        <f>$Q$2</f>
        <v>0.19</v>
      </c>
      <c r="CY136" s="872" t="s">
        <v>121</v>
      </c>
      <c r="CZ136" s="874" t="s">
        <v>261</v>
      </c>
      <c r="DA136" s="920">
        <v>57</v>
      </c>
      <c r="DB136" s="930">
        <f t="shared" si="104"/>
        <v>0.19</v>
      </c>
      <c r="DC136" s="928" t="str">
        <f t="shared" si="105"/>
        <v>Reisekosten</v>
      </c>
      <c r="DD136" s="928" t="str">
        <f t="shared" si="106"/>
        <v>Travel expenses</v>
      </c>
      <c r="DR136" s="126"/>
    </row>
    <row r="137" spans="1:122" x14ac:dyDescent="0.2">
      <c r="A137" s="1002">
        <f>A63</f>
        <v>7.0000000000000007E-2</v>
      </c>
      <c r="B137" s="72">
        <f>IF($D$4&lt;&gt;1, A137,"")</f>
        <v>7.0000000000000007E-2</v>
      </c>
      <c r="C137" s="1429" t="str">
        <f t="shared" si="118"/>
        <v>Fachliteratur, Bücher</v>
      </c>
      <c r="D137" s="1430"/>
      <c r="E137" s="1430"/>
      <c r="F137" s="1430"/>
      <c r="G137" s="1430"/>
      <c r="H137" s="1430"/>
      <c r="I137" s="1430"/>
      <c r="J137" s="1430"/>
      <c r="K137" s="1430"/>
      <c r="L137" s="1430"/>
      <c r="M137" s="1430"/>
      <c r="N137" s="1430"/>
      <c r="O137" s="1430"/>
      <c r="P137" s="1431">
        <f t="shared" si="160"/>
        <v>0</v>
      </c>
      <c r="Q137" s="1675"/>
      <c r="S137" s="1556"/>
      <c r="T137" s="68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BA137" s="72">
        <v>7.0000000000000007E-2</v>
      </c>
      <c r="BB137" s="73" t="s">
        <v>123</v>
      </c>
      <c r="BC137" s="1230">
        <f t="shared" si="161"/>
        <v>0</v>
      </c>
      <c r="BD137" s="1230">
        <f t="shared" si="161"/>
        <v>0</v>
      </c>
      <c r="BE137" s="1230">
        <f t="shared" si="161"/>
        <v>0</v>
      </c>
      <c r="BF137" s="1230">
        <f t="shared" si="161"/>
        <v>0</v>
      </c>
      <c r="BG137" s="1230">
        <f t="shared" si="161"/>
        <v>0</v>
      </c>
      <c r="BH137" s="1230">
        <f t="shared" si="161"/>
        <v>0</v>
      </c>
      <c r="BI137" s="1230">
        <f t="shared" si="161"/>
        <v>0</v>
      </c>
      <c r="BJ137" s="1230">
        <f t="shared" si="161"/>
        <v>0</v>
      </c>
      <c r="BK137" s="1230">
        <f t="shared" si="161"/>
        <v>0</v>
      </c>
      <c r="BL137" s="1230">
        <f t="shared" si="161"/>
        <v>0</v>
      </c>
      <c r="BM137" s="1230">
        <f t="shared" si="161"/>
        <v>0</v>
      </c>
      <c r="BN137" s="1230">
        <f t="shared" si="161"/>
        <v>0</v>
      </c>
      <c r="BO137" s="1186">
        <f t="shared" si="162"/>
        <v>0</v>
      </c>
      <c r="BP137" s="68"/>
      <c r="BQ137" s="68"/>
      <c r="BR137" s="72">
        <v>7.0000000000000007E-2</v>
      </c>
      <c r="BS137" s="73" t="s">
        <v>123</v>
      </c>
      <c r="BT137" s="1230">
        <f t="shared" si="163"/>
        <v>0</v>
      </c>
      <c r="BU137" s="1230">
        <f t="shared" si="163"/>
        <v>0</v>
      </c>
      <c r="BV137" s="1230">
        <f t="shared" si="163"/>
        <v>0</v>
      </c>
      <c r="BW137" s="1230">
        <f t="shared" si="163"/>
        <v>0</v>
      </c>
      <c r="BX137" s="1230">
        <f t="shared" si="163"/>
        <v>0</v>
      </c>
      <c r="BY137" s="1230">
        <f t="shared" si="163"/>
        <v>0</v>
      </c>
      <c r="BZ137" s="1230">
        <f t="shared" si="163"/>
        <v>0</v>
      </c>
      <c r="CA137" s="1230">
        <f t="shared" si="163"/>
        <v>0</v>
      </c>
      <c r="CB137" s="1230">
        <f t="shared" si="163"/>
        <v>0</v>
      </c>
      <c r="CC137" s="1230">
        <f t="shared" si="163"/>
        <v>0</v>
      </c>
      <c r="CD137" s="1230">
        <f t="shared" si="163"/>
        <v>0</v>
      </c>
      <c r="CE137" s="1230">
        <f t="shared" si="163"/>
        <v>0</v>
      </c>
      <c r="CF137" s="1186">
        <f t="shared" si="164"/>
        <v>0</v>
      </c>
      <c r="CU137" s="934"/>
      <c r="CV137" s="934"/>
      <c r="CW137" s="920">
        <v>58</v>
      </c>
      <c r="CX137" s="926">
        <v>7.0000000000000007E-2</v>
      </c>
      <c r="CY137" s="872" t="s">
        <v>123</v>
      </c>
      <c r="CZ137" s="874" t="s">
        <v>302</v>
      </c>
      <c r="DA137" s="920">
        <v>58</v>
      </c>
      <c r="DB137" s="930">
        <f t="shared" si="104"/>
        <v>7.0000000000000007E-2</v>
      </c>
      <c r="DC137" s="928" t="str">
        <f t="shared" si="105"/>
        <v>Fachliteratur, Bücher</v>
      </c>
      <c r="DD137" s="928" t="str">
        <f t="shared" si="106"/>
        <v>Business literature</v>
      </c>
      <c r="DR137" s="126"/>
    </row>
    <row r="138" spans="1:122" x14ac:dyDescent="0.2">
      <c r="A138" s="1002">
        <f>A64</f>
        <v>0.19</v>
      </c>
      <c r="B138" s="72">
        <f>IF($D$4&lt;&gt;1, A138,"")</f>
        <v>0.19</v>
      </c>
      <c r="C138" s="1429" t="str">
        <f t="shared" si="118"/>
        <v>Schulungen</v>
      </c>
      <c r="D138" s="1430"/>
      <c r="E138" s="1430"/>
      <c r="F138" s="1430"/>
      <c r="G138" s="1430"/>
      <c r="H138" s="1430"/>
      <c r="I138" s="1430"/>
      <c r="J138" s="1430"/>
      <c r="K138" s="1430"/>
      <c r="L138" s="1430"/>
      <c r="M138" s="1430"/>
      <c r="N138" s="1430"/>
      <c r="O138" s="1430"/>
      <c r="P138" s="1431">
        <f t="shared" si="160"/>
        <v>0</v>
      </c>
      <c r="Q138" s="1675"/>
      <c r="S138" s="1556"/>
      <c r="T138" s="68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BA138" s="72">
        <v>0.19</v>
      </c>
      <c r="BB138" s="73" t="s">
        <v>496</v>
      </c>
      <c r="BC138" s="1230">
        <f t="shared" si="161"/>
        <v>0</v>
      </c>
      <c r="BD138" s="1230">
        <f t="shared" si="161"/>
        <v>0</v>
      </c>
      <c r="BE138" s="1230">
        <f t="shared" si="161"/>
        <v>0</v>
      </c>
      <c r="BF138" s="1230">
        <f t="shared" si="161"/>
        <v>0</v>
      </c>
      <c r="BG138" s="1230">
        <f t="shared" si="161"/>
        <v>0</v>
      </c>
      <c r="BH138" s="1230">
        <f t="shared" si="161"/>
        <v>0</v>
      </c>
      <c r="BI138" s="1230">
        <f t="shared" si="161"/>
        <v>0</v>
      </c>
      <c r="BJ138" s="1230">
        <f t="shared" si="161"/>
        <v>0</v>
      </c>
      <c r="BK138" s="1230">
        <f t="shared" si="161"/>
        <v>0</v>
      </c>
      <c r="BL138" s="1230">
        <f t="shared" si="161"/>
        <v>0</v>
      </c>
      <c r="BM138" s="1230">
        <f t="shared" si="161"/>
        <v>0</v>
      </c>
      <c r="BN138" s="1230">
        <f t="shared" si="161"/>
        <v>0</v>
      </c>
      <c r="BO138" s="1186">
        <f t="shared" si="162"/>
        <v>0</v>
      </c>
      <c r="BP138" s="68"/>
      <c r="BQ138" s="68"/>
      <c r="BR138" s="72">
        <v>0.19</v>
      </c>
      <c r="BS138" s="73" t="s">
        <v>496</v>
      </c>
      <c r="BT138" s="1230">
        <f t="shared" si="163"/>
        <v>0</v>
      </c>
      <c r="BU138" s="1230">
        <f t="shared" si="163"/>
        <v>0</v>
      </c>
      <c r="BV138" s="1230">
        <f t="shared" si="163"/>
        <v>0</v>
      </c>
      <c r="BW138" s="1230">
        <f t="shared" si="163"/>
        <v>0</v>
      </c>
      <c r="BX138" s="1230">
        <f t="shared" si="163"/>
        <v>0</v>
      </c>
      <c r="BY138" s="1230">
        <f t="shared" si="163"/>
        <v>0</v>
      </c>
      <c r="BZ138" s="1230">
        <f t="shared" si="163"/>
        <v>0</v>
      </c>
      <c r="CA138" s="1230">
        <f t="shared" si="163"/>
        <v>0</v>
      </c>
      <c r="CB138" s="1230">
        <f t="shared" si="163"/>
        <v>0</v>
      </c>
      <c r="CC138" s="1230">
        <f t="shared" si="163"/>
        <v>0</v>
      </c>
      <c r="CD138" s="1230">
        <f t="shared" si="163"/>
        <v>0</v>
      </c>
      <c r="CE138" s="1230">
        <f t="shared" si="163"/>
        <v>0</v>
      </c>
      <c r="CF138" s="1186">
        <f t="shared" si="164"/>
        <v>0</v>
      </c>
      <c r="CU138" s="934"/>
      <c r="CV138" s="934"/>
      <c r="CW138" s="920">
        <v>59</v>
      </c>
      <c r="CX138" s="926">
        <v>0.19</v>
      </c>
      <c r="CY138" s="872" t="s">
        <v>496</v>
      </c>
      <c r="CZ138" s="39" t="s">
        <v>497</v>
      </c>
      <c r="DA138" s="920">
        <v>59</v>
      </c>
      <c r="DB138" s="930">
        <f t="shared" si="104"/>
        <v>0.19</v>
      </c>
      <c r="DC138" s="928" t="str">
        <f t="shared" si="105"/>
        <v>Schulungen</v>
      </c>
      <c r="DD138" s="928" t="str">
        <f t="shared" si="106"/>
        <v>Training</v>
      </c>
      <c r="DR138" s="126"/>
    </row>
    <row r="139" spans="1:122" x14ac:dyDescent="0.2">
      <c r="A139" s="1002">
        <f>A65</f>
        <v>7.0000000000000007E-2</v>
      </c>
      <c r="B139" s="72">
        <f>IF($D$4&lt;&gt;1, A139,"")</f>
        <v>7.0000000000000007E-2</v>
      </c>
      <c r="C139" s="1432" t="s">
        <v>470</v>
      </c>
      <c r="D139" s="1433"/>
      <c r="E139" s="1433"/>
      <c r="F139" s="1433"/>
      <c r="G139" s="1433"/>
      <c r="H139" s="1433"/>
      <c r="I139" s="1433"/>
      <c r="J139" s="1433"/>
      <c r="K139" s="1433"/>
      <c r="L139" s="1433"/>
      <c r="M139" s="1433"/>
      <c r="N139" s="1433"/>
      <c r="O139" s="1433"/>
      <c r="P139" s="1434">
        <f t="shared" si="160"/>
        <v>0</v>
      </c>
      <c r="Q139" s="1675"/>
      <c r="S139" s="1556"/>
      <c r="T139" s="68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BA139" s="72"/>
      <c r="BB139" s="1063" t="s">
        <v>470</v>
      </c>
      <c r="BC139" s="1230">
        <f t="shared" si="161"/>
        <v>0</v>
      </c>
      <c r="BD139" s="1230">
        <f t="shared" si="161"/>
        <v>0</v>
      </c>
      <c r="BE139" s="1230">
        <f t="shared" si="161"/>
        <v>0</v>
      </c>
      <c r="BF139" s="1230">
        <f t="shared" si="161"/>
        <v>0</v>
      </c>
      <c r="BG139" s="1230">
        <f t="shared" si="161"/>
        <v>0</v>
      </c>
      <c r="BH139" s="1230">
        <f t="shared" si="161"/>
        <v>0</v>
      </c>
      <c r="BI139" s="1230">
        <f t="shared" si="161"/>
        <v>0</v>
      </c>
      <c r="BJ139" s="1230">
        <f t="shared" si="161"/>
        <v>0</v>
      </c>
      <c r="BK139" s="1230">
        <f t="shared" si="161"/>
        <v>0</v>
      </c>
      <c r="BL139" s="1230">
        <f t="shared" si="161"/>
        <v>0</v>
      </c>
      <c r="BM139" s="1230">
        <f t="shared" si="161"/>
        <v>0</v>
      </c>
      <c r="BN139" s="1230">
        <f t="shared" si="161"/>
        <v>0</v>
      </c>
      <c r="BO139" s="1187">
        <f t="shared" si="162"/>
        <v>0</v>
      </c>
      <c r="BP139" s="68"/>
      <c r="BQ139" s="68"/>
      <c r="BR139" s="72"/>
      <c r="BS139" s="990" t="s">
        <v>470</v>
      </c>
      <c r="BT139" s="1230">
        <f t="shared" si="163"/>
        <v>0</v>
      </c>
      <c r="BU139" s="1230">
        <f t="shared" si="163"/>
        <v>0</v>
      </c>
      <c r="BV139" s="1230">
        <f t="shared" si="163"/>
        <v>0</v>
      </c>
      <c r="BW139" s="1230">
        <f t="shared" si="163"/>
        <v>0</v>
      </c>
      <c r="BX139" s="1230">
        <f t="shared" si="163"/>
        <v>0</v>
      </c>
      <c r="BY139" s="1230">
        <f t="shared" si="163"/>
        <v>0</v>
      </c>
      <c r="BZ139" s="1230">
        <f t="shared" si="163"/>
        <v>0</v>
      </c>
      <c r="CA139" s="1230">
        <f t="shared" si="163"/>
        <v>0</v>
      </c>
      <c r="CB139" s="1230">
        <f t="shared" si="163"/>
        <v>0</v>
      </c>
      <c r="CC139" s="1230">
        <f t="shared" si="163"/>
        <v>0</v>
      </c>
      <c r="CD139" s="1230">
        <f t="shared" si="163"/>
        <v>0</v>
      </c>
      <c r="CE139" s="1230">
        <f t="shared" si="163"/>
        <v>0</v>
      </c>
      <c r="CF139" s="1187">
        <f t="shared" si="164"/>
        <v>0</v>
      </c>
      <c r="CU139" s="934"/>
      <c r="CV139" s="934"/>
      <c r="CW139" s="920">
        <v>60</v>
      </c>
      <c r="CX139" s="878">
        <v>7.0000000000000007E-2</v>
      </c>
      <c r="CY139" s="873" t="s">
        <v>470</v>
      </c>
      <c r="CZ139" s="873" t="s">
        <v>473</v>
      </c>
      <c r="DA139" s="920">
        <v>60</v>
      </c>
      <c r="DB139" s="930">
        <f t="shared" si="104"/>
        <v>7.0000000000000007E-2</v>
      </c>
      <c r="DC139" s="928" t="str">
        <f t="shared" si="105"/>
        <v>Sonstiges</v>
      </c>
      <c r="DD139" s="928" t="str">
        <f t="shared" si="106"/>
        <v>Others</v>
      </c>
      <c r="DR139" s="126"/>
    </row>
    <row r="140" spans="1:122" ht="15" thickBot="1" x14ac:dyDescent="0.25">
      <c r="A140" s="1002"/>
      <c r="B140" s="91"/>
      <c r="C140" s="96" t="str">
        <f t="shared" si="118"/>
        <v>Summe Verschiedenes</v>
      </c>
      <c r="D140" s="1195">
        <f>SUM(D135:D139)</f>
        <v>0</v>
      </c>
      <c r="E140" s="1196">
        <f t="shared" ref="E140:O140" si="165">SUM(E135:E139)</f>
        <v>0</v>
      </c>
      <c r="F140" s="1196">
        <f t="shared" si="165"/>
        <v>0</v>
      </c>
      <c r="G140" s="1196">
        <f t="shared" si="165"/>
        <v>0</v>
      </c>
      <c r="H140" s="1196">
        <f t="shared" si="165"/>
        <v>0</v>
      </c>
      <c r="I140" s="1196">
        <f t="shared" si="165"/>
        <v>0</v>
      </c>
      <c r="J140" s="1196">
        <f t="shared" si="165"/>
        <v>0</v>
      </c>
      <c r="K140" s="1196">
        <f t="shared" si="165"/>
        <v>0</v>
      </c>
      <c r="L140" s="1196">
        <f t="shared" si="165"/>
        <v>0</v>
      </c>
      <c r="M140" s="1196">
        <f t="shared" si="165"/>
        <v>0</v>
      </c>
      <c r="N140" s="1196">
        <f t="shared" si="165"/>
        <v>0</v>
      </c>
      <c r="O140" s="1196">
        <f t="shared" si="165"/>
        <v>0</v>
      </c>
      <c r="P140" s="1197">
        <f t="shared" si="160"/>
        <v>0</v>
      </c>
      <c r="Q140" s="47"/>
      <c r="S140" s="82"/>
      <c r="T140" s="68"/>
      <c r="U140" s="35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939"/>
      <c r="AZ140" s="35" t="b">
        <f>IFERROR(OR(BO140,CF140),-1)</f>
        <v>0</v>
      </c>
      <c r="BA140" s="91"/>
      <c r="BB140" s="96" t="s">
        <v>498</v>
      </c>
      <c r="BC140" s="1188">
        <f>SUM(BC135:BC139)</f>
        <v>0</v>
      </c>
      <c r="BD140" s="1188">
        <f t="shared" ref="BD140:BN140" si="166">SUM(BD135:BD139)</f>
        <v>0</v>
      </c>
      <c r="BE140" s="1188">
        <f t="shared" si="166"/>
        <v>0</v>
      </c>
      <c r="BF140" s="1188">
        <f t="shared" si="166"/>
        <v>0</v>
      </c>
      <c r="BG140" s="1188">
        <f t="shared" si="166"/>
        <v>0</v>
      </c>
      <c r="BH140" s="1188">
        <f t="shared" si="166"/>
        <v>0</v>
      </c>
      <c r="BI140" s="1188">
        <f t="shared" si="166"/>
        <v>0</v>
      </c>
      <c r="BJ140" s="1188">
        <f t="shared" si="166"/>
        <v>0</v>
      </c>
      <c r="BK140" s="1188">
        <f t="shared" si="166"/>
        <v>0</v>
      </c>
      <c r="BL140" s="1188">
        <f t="shared" si="166"/>
        <v>0</v>
      </c>
      <c r="BM140" s="1188">
        <f t="shared" si="166"/>
        <v>0</v>
      </c>
      <c r="BN140" s="1188">
        <f t="shared" si="166"/>
        <v>0</v>
      </c>
      <c r="BO140" s="1197">
        <f t="shared" si="162"/>
        <v>0</v>
      </c>
      <c r="BP140" s="68"/>
      <c r="BQ140" s="68"/>
      <c r="BR140" s="91"/>
      <c r="BS140" s="96" t="s">
        <v>498</v>
      </c>
      <c r="BT140" s="1188">
        <f>SUM(BT135:BT139)</f>
        <v>0</v>
      </c>
      <c r="BU140" s="1188">
        <f t="shared" ref="BU140:CE140" si="167">SUM(BU135:BU139)</f>
        <v>0</v>
      </c>
      <c r="BV140" s="1188">
        <f t="shared" si="167"/>
        <v>0</v>
      </c>
      <c r="BW140" s="1188">
        <f t="shared" si="167"/>
        <v>0</v>
      </c>
      <c r="BX140" s="1188">
        <f t="shared" si="167"/>
        <v>0</v>
      </c>
      <c r="BY140" s="1188">
        <f t="shared" si="167"/>
        <v>0</v>
      </c>
      <c r="BZ140" s="1188">
        <f t="shared" si="167"/>
        <v>0</v>
      </c>
      <c r="CA140" s="1188">
        <f t="shared" si="167"/>
        <v>0</v>
      </c>
      <c r="CB140" s="1188">
        <f t="shared" si="167"/>
        <v>0</v>
      </c>
      <c r="CC140" s="1188">
        <f t="shared" si="167"/>
        <v>0</v>
      </c>
      <c r="CD140" s="1188">
        <f t="shared" si="167"/>
        <v>0</v>
      </c>
      <c r="CE140" s="1188">
        <f t="shared" si="167"/>
        <v>0</v>
      </c>
      <c r="CF140" s="1197">
        <f t="shared" si="164"/>
        <v>0</v>
      </c>
      <c r="CU140" s="934"/>
      <c r="CV140" s="934"/>
      <c r="CW140" s="920">
        <v>61</v>
      </c>
      <c r="CX140" s="926"/>
      <c r="CY140" s="96" t="s">
        <v>498</v>
      </c>
      <c r="CZ140" s="874" t="s">
        <v>286</v>
      </c>
      <c r="DA140" s="920">
        <v>61</v>
      </c>
      <c r="DB140" s="930">
        <f t="shared" si="104"/>
        <v>0</v>
      </c>
      <c r="DC140" s="928" t="str">
        <f t="shared" si="105"/>
        <v>Summe Verschiedenes</v>
      </c>
      <c r="DD140" s="928" t="str">
        <f t="shared" si="106"/>
        <v>Sum miscellaneous</v>
      </c>
      <c r="DR140" s="126"/>
    </row>
    <row r="141" spans="1:122" s="60" customFormat="1" ht="16.5" thickTop="1" thickBot="1" x14ac:dyDescent="0.25">
      <c r="A141" s="1003"/>
      <c r="B141" s="98"/>
      <c r="C141" s="99" t="str">
        <f t="shared" si="118"/>
        <v>Summe Betriebskosten I</v>
      </c>
      <c r="D141" s="1198">
        <f>SUM(D80:D140)/2</f>
        <v>0</v>
      </c>
      <c r="E141" s="1198">
        <f t="shared" ref="E141:O141" si="168">SUM(E80:E140)/2</f>
        <v>0</v>
      </c>
      <c r="F141" s="1198">
        <f t="shared" si="168"/>
        <v>0</v>
      </c>
      <c r="G141" s="1198">
        <f t="shared" si="168"/>
        <v>0</v>
      </c>
      <c r="H141" s="1198">
        <f t="shared" si="168"/>
        <v>0</v>
      </c>
      <c r="I141" s="1198">
        <f t="shared" si="168"/>
        <v>0</v>
      </c>
      <c r="J141" s="1198">
        <f t="shared" si="168"/>
        <v>0</v>
      </c>
      <c r="K141" s="1198">
        <f t="shared" si="168"/>
        <v>0</v>
      </c>
      <c r="L141" s="1198">
        <f t="shared" si="168"/>
        <v>0</v>
      </c>
      <c r="M141" s="1198">
        <f t="shared" si="168"/>
        <v>0</v>
      </c>
      <c r="N141" s="1198">
        <f t="shared" si="168"/>
        <v>0</v>
      </c>
      <c r="O141" s="1198">
        <f t="shared" si="168"/>
        <v>0</v>
      </c>
      <c r="P141" s="1199">
        <f>SUM(D141:O141)</f>
        <v>0</v>
      </c>
      <c r="Q141" s="1586" t="str">
        <f>IF(P141&lt;&gt;SUM(P81:P140)/2,"Fehler melden","")</f>
        <v/>
      </c>
      <c r="R141" s="1097"/>
      <c r="S141" s="89"/>
      <c r="T141" s="101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939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1229"/>
      <c r="BB141" s="106" t="str">
        <f>"Summe MwSt "&amp;$Q$2*100&amp;"%"</f>
        <v>Summe MwSt 19%</v>
      </c>
      <c r="BC141" s="1202">
        <f>SUM(BC80:BC140)/2</f>
        <v>0</v>
      </c>
      <c r="BD141" s="1202">
        <f t="shared" ref="BD141:BO141" si="169">SUM(BD80:BD140)/2</f>
        <v>0</v>
      </c>
      <c r="BE141" s="1202">
        <f t="shared" si="169"/>
        <v>0</v>
      </c>
      <c r="BF141" s="1202">
        <f t="shared" si="169"/>
        <v>0</v>
      </c>
      <c r="BG141" s="1202">
        <f t="shared" si="169"/>
        <v>0</v>
      </c>
      <c r="BH141" s="1202">
        <f t="shared" si="169"/>
        <v>0</v>
      </c>
      <c r="BI141" s="1202">
        <f t="shared" si="169"/>
        <v>0</v>
      </c>
      <c r="BJ141" s="1202">
        <f t="shared" si="169"/>
        <v>0</v>
      </c>
      <c r="BK141" s="1202">
        <f t="shared" si="169"/>
        <v>0</v>
      </c>
      <c r="BL141" s="1202">
        <f t="shared" si="169"/>
        <v>0</v>
      </c>
      <c r="BM141" s="1202">
        <f t="shared" si="169"/>
        <v>0</v>
      </c>
      <c r="BN141" s="1202">
        <f t="shared" si="169"/>
        <v>0</v>
      </c>
      <c r="BO141" s="1203">
        <f t="shared" si="169"/>
        <v>0</v>
      </c>
      <c r="BP141" s="130"/>
      <c r="BQ141" s="130"/>
      <c r="BR141" s="1229"/>
      <c r="BS141" s="106" t="str">
        <f>"Summe MwSt "&amp;$Q$3*100&amp;"%"</f>
        <v>Summe MwSt 7%</v>
      </c>
      <c r="BT141" s="1202">
        <f>SUM(BT80:BT140)/2</f>
        <v>0</v>
      </c>
      <c r="BU141" s="1202">
        <f t="shared" ref="BU141:CF141" si="170">SUM(BU80:BU140)/2</f>
        <v>0</v>
      </c>
      <c r="BV141" s="1202">
        <f t="shared" si="170"/>
        <v>0</v>
      </c>
      <c r="BW141" s="1202">
        <f t="shared" si="170"/>
        <v>0</v>
      </c>
      <c r="BX141" s="1202">
        <f t="shared" si="170"/>
        <v>0</v>
      </c>
      <c r="BY141" s="1202">
        <f t="shared" si="170"/>
        <v>0</v>
      </c>
      <c r="BZ141" s="1202">
        <f t="shared" si="170"/>
        <v>0</v>
      </c>
      <c r="CA141" s="1202">
        <f t="shared" si="170"/>
        <v>0</v>
      </c>
      <c r="CB141" s="1202">
        <f t="shared" si="170"/>
        <v>0</v>
      </c>
      <c r="CC141" s="1202">
        <f t="shared" si="170"/>
        <v>0</v>
      </c>
      <c r="CD141" s="1202">
        <f t="shared" si="170"/>
        <v>0</v>
      </c>
      <c r="CE141" s="1202">
        <f t="shared" si="170"/>
        <v>0</v>
      </c>
      <c r="CF141" s="1203">
        <f t="shared" si="170"/>
        <v>0</v>
      </c>
      <c r="CG141" s="57"/>
      <c r="CU141" s="934"/>
      <c r="CV141" s="934"/>
      <c r="CW141" s="417"/>
      <c r="CX141" s="925"/>
      <c r="CY141" s="892" t="s">
        <v>45</v>
      </c>
      <c r="CZ141" s="874" t="s">
        <v>281</v>
      </c>
      <c r="DA141" s="922"/>
      <c r="DB141" s="136"/>
      <c r="DC141" s="570"/>
      <c r="DD141" s="570"/>
      <c r="DE141" s="625"/>
      <c r="DF141" s="625"/>
      <c r="DG141" s="625"/>
      <c r="DH141" s="625"/>
      <c r="DI141" s="625"/>
      <c r="DJ141" s="625"/>
      <c r="DK141" s="625"/>
      <c r="DL141" s="625"/>
      <c r="DM141" s="625"/>
      <c r="DN141" s="625"/>
      <c r="DO141" s="625"/>
      <c r="DP141" s="625"/>
      <c r="DQ141" s="625"/>
      <c r="DR141" s="287"/>
    </row>
    <row r="142" spans="1:122" ht="15" thickBot="1" x14ac:dyDescent="0.25">
      <c r="A142" s="145"/>
      <c r="B142" s="62"/>
      <c r="C142" s="102" t="str">
        <f t="shared" si="118"/>
        <v>Abschreibungen (aus "3 Anschaffungen|Investment")</v>
      </c>
      <c r="D142" s="1200">
        <f ca="1">'3 Anschaffungen|Investment'!E37</f>
        <v>0</v>
      </c>
      <c r="E142" s="1200">
        <f ca="1">'3 Anschaffungen|Investment'!F37</f>
        <v>0</v>
      </c>
      <c r="F142" s="1200">
        <f ca="1">'3 Anschaffungen|Investment'!G37</f>
        <v>0</v>
      </c>
      <c r="G142" s="1200">
        <f ca="1">'3 Anschaffungen|Investment'!H37</f>
        <v>0</v>
      </c>
      <c r="H142" s="1200">
        <f ca="1">'3 Anschaffungen|Investment'!I37</f>
        <v>0</v>
      </c>
      <c r="I142" s="1200">
        <f ca="1">'3 Anschaffungen|Investment'!J37</f>
        <v>0</v>
      </c>
      <c r="J142" s="1200">
        <f ca="1">'3 Anschaffungen|Investment'!K37</f>
        <v>0</v>
      </c>
      <c r="K142" s="1200">
        <f ca="1">'3 Anschaffungen|Investment'!L37</f>
        <v>0</v>
      </c>
      <c r="L142" s="1200">
        <f ca="1">'3 Anschaffungen|Investment'!M37</f>
        <v>0</v>
      </c>
      <c r="M142" s="1200">
        <f ca="1">'3 Anschaffungen|Investment'!N37</f>
        <v>0</v>
      </c>
      <c r="N142" s="1200">
        <f ca="1">'3 Anschaffungen|Investment'!O37</f>
        <v>0</v>
      </c>
      <c r="O142" s="1200">
        <f ca="1">'3 Anschaffungen|Investment'!P37</f>
        <v>0</v>
      </c>
      <c r="P142" s="1201">
        <f ca="1">SUM(D142:O142)</f>
        <v>0</v>
      </c>
      <c r="Q142" s="47"/>
      <c r="S142" s="89"/>
      <c r="T142" s="101"/>
      <c r="U142" s="35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939"/>
      <c r="CU142" s="934"/>
      <c r="CV142" s="934"/>
      <c r="CW142" s="920"/>
      <c r="CX142" s="924"/>
      <c r="CY142" s="897" t="s">
        <v>702</v>
      </c>
      <c r="CZ142" s="874" t="s">
        <v>701</v>
      </c>
      <c r="DA142" s="922"/>
      <c r="DB142" s="147"/>
      <c r="DC142" s="570"/>
      <c r="DD142" s="570"/>
      <c r="DR142" s="126"/>
    </row>
    <row r="143" spans="1:122" s="60" customFormat="1" ht="16.5" thickTop="1" thickBot="1" x14ac:dyDescent="0.25">
      <c r="A143" s="1003"/>
      <c r="B143" s="105"/>
      <c r="C143" s="106" t="str">
        <f t="shared" si="118"/>
        <v>Summe Betriebskosten II</v>
      </c>
      <c r="D143" s="1202">
        <f ca="1">SUM(D141:D142)</f>
        <v>0</v>
      </c>
      <c r="E143" s="1202">
        <f ca="1">SUM(E141:E142)</f>
        <v>0</v>
      </c>
      <c r="F143" s="1202">
        <f ca="1">SUM(F141:F142)</f>
        <v>0</v>
      </c>
      <c r="G143" s="1202">
        <f t="shared" ref="G143:P143" ca="1" si="171">SUM(G141:G142)</f>
        <v>0</v>
      </c>
      <c r="H143" s="1202">
        <f t="shared" ca="1" si="171"/>
        <v>0</v>
      </c>
      <c r="I143" s="1202">
        <f t="shared" ca="1" si="171"/>
        <v>0</v>
      </c>
      <c r="J143" s="1202">
        <f t="shared" ca="1" si="171"/>
        <v>0</v>
      </c>
      <c r="K143" s="1202">
        <f t="shared" ca="1" si="171"/>
        <v>0</v>
      </c>
      <c r="L143" s="1202">
        <f t="shared" ca="1" si="171"/>
        <v>0</v>
      </c>
      <c r="M143" s="1202">
        <f t="shared" ca="1" si="171"/>
        <v>0</v>
      </c>
      <c r="N143" s="1202">
        <f t="shared" ca="1" si="171"/>
        <v>0</v>
      </c>
      <c r="O143" s="1202">
        <f t="shared" ca="1" si="171"/>
        <v>0</v>
      </c>
      <c r="P143" s="1203">
        <f t="shared" ca="1" si="171"/>
        <v>0</v>
      </c>
      <c r="Q143" s="47"/>
      <c r="R143" s="1097"/>
      <c r="S143" s="89"/>
      <c r="T143" s="101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939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U143" s="934"/>
      <c r="CV143" s="934"/>
      <c r="CW143" s="417"/>
      <c r="CX143" s="925"/>
      <c r="CY143" s="893" t="str">
        <f>"Summe Betriebskosten II"</f>
        <v>Summe Betriebskosten II</v>
      </c>
      <c r="CZ143" s="874" t="s">
        <v>463</v>
      </c>
      <c r="DA143" s="922"/>
      <c r="DB143" s="136"/>
      <c r="DC143" s="570"/>
      <c r="DD143" s="570"/>
      <c r="DE143" s="625"/>
      <c r="DF143" s="625"/>
      <c r="DG143" s="625"/>
      <c r="DH143" s="625"/>
      <c r="DI143" s="625"/>
      <c r="DJ143" s="625"/>
      <c r="DK143" s="625"/>
      <c r="DL143" s="625"/>
      <c r="DM143" s="625"/>
      <c r="DN143" s="625"/>
      <c r="DO143" s="625"/>
      <c r="DP143" s="625"/>
      <c r="DQ143" s="625"/>
      <c r="DR143" s="287"/>
    </row>
    <row r="144" spans="1:122" x14ac:dyDescent="0.2">
      <c r="A144" s="32"/>
      <c r="B144" s="33"/>
      <c r="C144" s="33" t="str">
        <f>IF($C$2="Deutsch",CY144,IF($C$2="English",CZ144,DB144))</f>
        <v>*) wird aus Tabelle "7 Finanzierung|Financing" übernommen (auf ganze Euro gerundet!)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6"/>
      <c r="Q144" s="47"/>
      <c r="S144" s="89"/>
      <c r="U144" s="35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939"/>
      <c r="CW144" s="920"/>
      <c r="CX144" s="924"/>
      <c r="CY144" s="898" t="s">
        <v>675</v>
      </c>
      <c r="CZ144" s="875" t="s">
        <v>676</v>
      </c>
      <c r="DA144" s="833"/>
      <c r="DB144" s="147"/>
      <c r="DC144" s="143"/>
      <c r="DD144" s="143"/>
      <c r="DR144" s="126"/>
    </row>
    <row r="145" spans="1:122" x14ac:dyDescent="0.2">
      <c r="A145" s="32"/>
      <c r="B145" s="33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6"/>
      <c r="Q145" s="47"/>
      <c r="S145" s="109"/>
      <c r="U145" s="57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CU145" s="40"/>
      <c r="CV145" s="40"/>
      <c r="CW145" s="920"/>
      <c r="CX145" s="924"/>
      <c r="CY145" s="875"/>
      <c r="CZ145" s="875"/>
      <c r="DA145" s="833"/>
      <c r="DB145" s="147"/>
      <c r="DC145" s="146"/>
      <c r="DD145" s="146"/>
      <c r="DR145" s="126"/>
    </row>
    <row r="146" spans="1:122" s="60" customFormat="1" ht="18.75" thickBot="1" x14ac:dyDescent="0.25">
      <c r="A146" s="50"/>
      <c r="B146" s="110"/>
      <c r="C146" s="111" t="str">
        <f>IF($C$2="English",CZ146,CY146)</f>
        <v>4a-2  Anhang: Ausweis der MwSt in EURO aus der Differenz zwischen den Tabellen 4a-2 und 4c-2</v>
      </c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01"/>
      <c r="Q146" s="47"/>
      <c r="R146" s="1097"/>
      <c r="S146" s="113"/>
      <c r="T146" s="101"/>
      <c r="U146" s="57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U146" s="40"/>
      <c r="CV146" s="40"/>
      <c r="CW146" s="417"/>
      <c r="CX146" s="925"/>
      <c r="CY146" s="899" t="s">
        <v>568</v>
      </c>
      <c r="CZ146" s="40" t="s">
        <v>569</v>
      </c>
      <c r="DA146" s="860"/>
      <c r="DB146" s="136"/>
      <c r="DC146" s="146"/>
      <c r="DD146" s="146"/>
      <c r="DE146" s="625"/>
      <c r="DF146" s="625"/>
      <c r="DG146" s="625"/>
      <c r="DH146" s="625"/>
      <c r="DI146" s="625"/>
      <c r="DJ146" s="625"/>
      <c r="DK146" s="625"/>
      <c r="DL146" s="625"/>
      <c r="DM146" s="625"/>
      <c r="DN146" s="625"/>
      <c r="DO146" s="625"/>
      <c r="DP146" s="625"/>
      <c r="DQ146" s="625"/>
      <c r="DR146" s="287"/>
    </row>
    <row r="147" spans="1:122" s="60" customFormat="1" x14ac:dyDescent="0.2">
      <c r="A147" s="50"/>
      <c r="B147" s="110"/>
      <c r="C147" s="115" t="str">
        <f>IF($C$2="Deutsch",CY148,IF($C$2="English",CZ148,DB148))&amp; "  "  &amp; $Q$2*100 &amp;"%"</f>
        <v>Summe der angefallenen MwSt  19%</v>
      </c>
      <c r="D147" s="116">
        <f>BC141</f>
        <v>0</v>
      </c>
      <c r="E147" s="116">
        <f t="shared" ref="E147:O147" si="172">BD141</f>
        <v>0</v>
      </c>
      <c r="F147" s="116">
        <f t="shared" si="172"/>
        <v>0</v>
      </c>
      <c r="G147" s="116">
        <f t="shared" si="172"/>
        <v>0</v>
      </c>
      <c r="H147" s="116">
        <f t="shared" si="172"/>
        <v>0</v>
      </c>
      <c r="I147" s="116">
        <f t="shared" si="172"/>
        <v>0</v>
      </c>
      <c r="J147" s="116">
        <f t="shared" si="172"/>
        <v>0</v>
      </c>
      <c r="K147" s="116">
        <f t="shared" si="172"/>
        <v>0</v>
      </c>
      <c r="L147" s="116">
        <f t="shared" si="172"/>
        <v>0</v>
      </c>
      <c r="M147" s="116">
        <f t="shared" si="172"/>
        <v>0</v>
      </c>
      <c r="N147" s="116">
        <f t="shared" si="172"/>
        <v>0</v>
      </c>
      <c r="O147" s="116">
        <f t="shared" si="172"/>
        <v>0</v>
      </c>
      <c r="P147" s="117">
        <f>SUM(D147:O147)</f>
        <v>0</v>
      </c>
      <c r="Q147" s="47"/>
      <c r="R147" s="1097"/>
      <c r="S147" s="882"/>
      <c r="T147" s="57"/>
      <c r="U147" s="57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U147" s="40"/>
      <c r="CV147" s="40"/>
      <c r="CW147" s="417"/>
      <c r="CX147" s="925"/>
      <c r="CY147" s="900" t="s">
        <v>255</v>
      </c>
      <c r="CZ147" s="40" t="s">
        <v>307</v>
      </c>
      <c r="DA147" s="860"/>
      <c r="DB147" s="136"/>
      <c r="DC147" s="146"/>
      <c r="DD147" s="146"/>
      <c r="DE147" s="625"/>
      <c r="DF147" s="625"/>
      <c r="DG147" s="625"/>
      <c r="DH147" s="625"/>
      <c r="DI147" s="625"/>
      <c r="DJ147" s="625"/>
      <c r="DK147" s="625"/>
      <c r="DL147" s="625"/>
      <c r="DM147" s="625"/>
      <c r="DN147" s="625"/>
      <c r="DO147" s="625"/>
      <c r="DP147" s="625"/>
      <c r="DQ147" s="625"/>
      <c r="DR147" s="287"/>
    </row>
    <row r="148" spans="1:122" s="60" customFormat="1" ht="18.75" thickBot="1" x14ac:dyDescent="0.25">
      <c r="A148" s="50"/>
      <c r="B148" s="110"/>
      <c r="C148" s="119" t="str">
        <f>IF($C$2="Deutsch",CY148,IF($C$2="English",CZ148,DB148))&amp; "  "  &amp; $Q$3*100 &amp;"%"</f>
        <v>Summe der angefallenen MwSt  7%</v>
      </c>
      <c r="D148" s="120">
        <f>BT141</f>
        <v>0</v>
      </c>
      <c r="E148" s="120">
        <f t="shared" ref="E148:O148" si="173">BU141</f>
        <v>0</v>
      </c>
      <c r="F148" s="120">
        <f t="shared" si="173"/>
        <v>0</v>
      </c>
      <c r="G148" s="120">
        <f>BW141</f>
        <v>0</v>
      </c>
      <c r="H148" s="120">
        <f t="shared" si="173"/>
        <v>0</v>
      </c>
      <c r="I148" s="120">
        <f t="shared" si="173"/>
        <v>0</v>
      </c>
      <c r="J148" s="120">
        <f t="shared" si="173"/>
        <v>0</v>
      </c>
      <c r="K148" s="120">
        <f t="shared" si="173"/>
        <v>0</v>
      </c>
      <c r="L148" s="120">
        <f t="shared" si="173"/>
        <v>0</v>
      </c>
      <c r="M148" s="120">
        <f t="shared" si="173"/>
        <v>0</v>
      </c>
      <c r="N148" s="120">
        <f t="shared" si="173"/>
        <v>0</v>
      </c>
      <c r="O148" s="120">
        <f t="shared" si="173"/>
        <v>0</v>
      </c>
      <c r="P148" s="121">
        <f>SUM(D148:O148)</f>
        <v>0</v>
      </c>
      <c r="Q148" s="47"/>
      <c r="R148" s="1097"/>
      <c r="S148" s="118"/>
      <c r="T148" s="57"/>
      <c r="U148" s="57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M148" s="1000"/>
      <c r="CN148" s="1000"/>
      <c r="CO148" s="1000"/>
      <c r="CP148" s="1000"/>
      <c r="CQ148" s="1000"/>
      <c r="CR148" s="1000"/>
      <c r="CS148" s="1000"/>
      <c r="CT148" s="1000"/>
      <c r="CU148" s="352"/>
      <c r="CV148" s="352"/>
      <c r="CW148" s="1308"/>
      <c r="CX148" s="925"/>
      <c r="CY148" s="900" t="s">
        <v>255</v>
      </c>
      <c r="CZ148" s="40" t="s">
        <v>307</v>
      </c>
      <c r="DA148" s="860"/>
      <c r="DB148" s="136"/>
      <c r="DC148" s="146"/>
      <c r="DD148" s="146"/>
      <c r="DE148" s="625"/>
      <c r="DF148" s="625"/>
      <c r="DG148" s="625"/>
      <c r="DH148" s="625"/>
      <c r="DI148" s="625"/>
      <c r="DJ148" s="625"/>
      <c r="DK148" s="625"/>
      <c r="DL148" s="625"/>
      <c r="DM148" s="625"/>
      <c r="DN148" s="625"/>
      <c r="DO148" s="625"/>
      <c r="DP148" s="625"/>
      <c r="DQ148" s="625"/>
      <c r="DR148" s="287"/>
    </row>
    <row r="149" spans="1:122" s="60" customFormat="1" ht="19.5" thickTop="1" thickBot="1" x14ac:dyDescent="0.25">
      <c r="A149" s="50"/>
      <c r="B149" s="110"/>
      <c r="C149" s="122" t="str">
        <f>IF($C$2="Deutsch",CY149,IF($C$2="English",CZ149,DB149))</f>
        <v>Gesamtsumme angefallener MwSt</v>
      </c>
      <c r="D149" s="123">
        <f>D148+D147</f>
        <v>0</v>
      </c>
      <c r="E149" s="123">
        <f t="shared" ref="E149:O149" si="174">E148+E147</f>
        <v>0</v>
      </c>
      <c r="F149" s="123">
        <f t="shared" si="174"/>
        <v>0</v>
      </c>
      <c r="G149" s="123">
        <f t="shared" si="174"/>
        <v>0</v>
      </c>
      <c r="H149" s="123">
        <f t="shared" si="174"/>
        <v>0</v>
      </c>
      <c r="I149" s="123">
        <f t="shared" si="174"/>
        <v>0</v>
      </c>
      <c r="J149" s="123">
        <f t="shared" si="174"/>
        <v>0</v>
      </c>
      <c r="K149" s="123">
        <f t="shared" si="174"/>
        <v>0</v>
      </c>
      <c r="L149" s="123">
        <f t="shared" si="174"/>
        <v>0</v>
      </c>
      <c r="M149" s="123">
        <f t="shared" si="174"/>
        <v>0</v>
      </c>
      <c r="N149" s="123">
        <f t="shared" si="174"/>
        <v>0</v>
      </c>
      <c r="O149" s="123">
        <f t="shared" si="174"/>
        <v>0</v>
      </c>
      <c r="P149" s="124">
        <f>SUM(D149:O149)</f>
        <v>0</v>
      </c>
      <c r="Q149" s="47"/>
      <c r="R149" s="1097"/>
      <c r="S149" s="118"/>
      <c r="T149" s="57"/>
      <c r="U149" s="57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M149" s="254"/>
      <c r="CN149" s="254"/>
      <c r="CO149" s="254"/>
      <c r="CP149" s="254"/>
      <c r="CQ149" s="254"/>
      <c r="CR149" s="254"/>
      <c r="CS149" s="254"/>
      <c r="CT149" s="254"/>
      <c r="CU149" s="352"/>
      <c r="CV149" s="352"/>
      <c r="CW149" s="1309"/>
      <c r="CX149" s="925"/>
      <c r="CY149" s="901" t="s">
        <v>141</v>
      </c>
      <c r="CZ149" s="40" t="s">
        <v>308</v>
      </c>
      <c r="DA149" s="860"/>
      <c r="DB149" s="136"/>
      <c r="DC149" s="146"/>
      <c r="DD149" s="146"/>
      <c r="DE149" s="625"/>
      <c r="DF149" s="625"/>
      <c r="DG149" s="625"/>
      <c r="DH149" s="625"/>
      <c r="DI149" s="625"/>
      <c r="DJ149" s="625"/>
      <c r="DK149" s="625"/>
      <c r="DL149" s="625"/>
      <c r="DM149" s="625"/>
      <c r="DN149" s="625"/>
      <c r="DO149" s="625"/>
      <c r="DP149" s="625"/>
      <c r="DQ149" s="625"/>
      <c r="DR149" s="287"/>
    </row>
    <row r="150" spans="1:122" s="35" customFormat="1" ht="18" x14ac:dyDescent="0.2">
      <c r="A150" s="34"/>
      <c r="D150" s="148"/>
      <c r="E150" s="148"/>
      <c r="F150" s="148"/>
      <c r="G150" s="150"/>
      <c r="H150" s="150"/>
      <c r="I150" s="150" t="str">
        <f ca="1">IF($C$2="English",I152,I151)</f>
        <v>Betriebskosten II (ohne MwSt) für das Jahr 2019</v>
      </c>
      <c r="J150" s="150"/>
      <c r="K150" s="150" t="str">
        <f ca="1">IF($C$2="English",K152,K151)</f>
        <v>Betriebskosten II (ohne MwSt) für das Jahr 2020</v>
      </c>
      <c r="L150" s="150"/>
      <c r="M150" s="34"/>
      <c r="N150" s="150" t="str">
        <f ca="1">IF($C$2="English",N152,N151)</f>
        <v>Betriebskosten II (ohne MwSt) für die Jahre 2019 - 2023</v>
      </c>
      <c r="O150" s="150"/>
      <c r="P150" s="150"/>
      <c r="Q150" s="1588"/>
      <c r="R150" s="1097"/>
      <c r="U150" s="135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CM150" s="254"/>
      <c r="CN150" s="254"/>
      <c r="CO150" s="254"/>
      <c r="CP150" s="254"/>
      <c r="CQ150" s="254"/>
      <c r="CR150" s="254"/>
      <c r="CS150" s="254"/>
      <c r="CT150" s="254"/>
      <c r="CU150" s="352"/>
      <c r="CV150" s="352"/>
      <c r="CW150" s="1309"/>
      <c r="CX150" s="861"/>
      <c r="CY150" s="860"/>
      <c r="CZ150" s="860"/>
      <c r="DA150" s="572"/>
      <c r="DB150" s="572"/>
      <c r="DC150" s="572"/>
      <c r="DD150" s="572"/>
      <c r="DE150" s="861"/>
      <c r="DF150" s="861"/>
      <c r="DG150" s="861"/>
      <c r="DH150" s="861"/>
      <c r="DI150" s="861"/>
      <c r="DJ150" s="861"/>
      <c r="DK150" s="861"/>
      <c r="DL150" s="861"/>
      <c r="DM150" s="152"/>
      <c r="DN150" s="152"/>
      <c r="DO150" s="152"/>
      <c r="DP150" s="152"/>
      <c r="DQ150" s="152"/>
    </row>
    <row r="151" spans="1:122" s="35" customFormat="1" ht="24.75" x14ac:dyDescent="0.2">
      <c r="A151" s="32"/>
      <c r="B151" s="41" t="str">
        <f ca="1">IF($C$2="English",CZ151,CY151)</f>
        <v xml:space="preserve">4b Betriebskosten für die Jahre 2019 - 2023 in EUR  (ohne MwSt) </v>
      </c>
      <c r="G151" s="34"/>
      <c r="H151" s="34"/>
      <c r="I151" s="157" t="str">
        <f ca="1">"Betriebskosten II (" &amp; 'Deckblatt Gruender|Data Founder'!$J$1 &amp;  ") für das Jahr " &amp; '1 Pers.Ausgaben|Pers Expenses'!$C$4</f>
        <v>Betriebskosten II (ohne MwSt) für das Jahr 2019</v>
      </c>
      <c r="J151" s="150"/>
      <c r="K151" s="158" t="str">
        <f ca="1">"Betriebskosten II (" &amp; 'Deckblatt Gruender|Data Founder'!$J$1 &amp;  ") für das Jahr " &amp; '1 Pers.Ausgaben|Pers Expenses'!$C$4+1</f>
        <v>Betriebskosten II (ohne MwSt) für das Jahr 2020</v>
      </c>
      <c r="L151" s="150"/>
      <c r="M151" s="34"/>
      <c r="N151" s="158" t="str">
        <f ca="1">"Betriebskosten II (" &amp; 'Deckblatt Gruender|Data Founder'!$J$1 &amp;  ") für die Jahre " &amp; '1 Pers.Ausgaben|Pers Expenses'!C4 &amp; " - " &amp;'1 Pers.Ausgaben|Pers Expenses'!C4+4</f>
        <v>Betriebskosten II (ohne MwSt) für die Jahre 2019 - 2023</v>
      </c>
      <c r="O151" s="150"/>
      <c r="P151" s="150"/>
      <c r="Q151" s="1588"/>
      <c r="R151" s="1097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CM151" s="1000"/>
      <c r="CN151" s="1000"/>
      <c r="CO151" s="1000"/>
      <c r="CP151" s="1000"/>
      <c r="CQ151" s="1000"/>
      <c r="CR151" s="1000"/>
      <c r="CS151" s="1000"/>
      <c r="CT151" s="1000"/>
      <c r="CW151" s="1308"/>
      <c r="CX151" s="856"/>
      <c r="CY151" s="352" t="str">
        <f ca="1">"4b Betriebskosten für die Jahre " &amp;'1 Pers.Ausgaben|Pers Expenses'!$C$4&amp; " - " &amp; '1 Pers.Ausgaben|Pers Expenses'!$C$4+4 &amp;" in EUR" &amp; "  (" &amp; IF(OR($D$4=1,$D$4=2),"mit MwSt","ohne MwSt")&amp; ") "</f>
        <v xml:space="preserve">4b Betriebskosten für die Jahre 2019 - 2023 in EUR  (ohne MwSt) </v>
      </c>
      <c r="CZ151" s="352" t="str">
        <f ca="1">"4b Operating Expense for Years  " &amp;'1 Pers.Ausgaben|Pers Expenses'!$C$4&amp; " - " &amp; '1 Pers.Ausgaben|Pers Expenses'!$C$4+4 &amp;" in EUR" &amp; "  (" &amp; IF(OR($D$4=1,$D$4=2),"incl. VAT","w/o VAT")&amp; ") "&amp; ") "</f>
        <v xml:space="preserve">4b Operating Expense for Years  2019 - 2023 in EUR  (w/o VAT) ) </v>
      </c>
      <c r="DA151" s="34"/>
      <c r="DB151" s="34"/>
      <c r="DC151" s="34"/>
      <c r="DD151" s="34"/>
      <c r="DE151" s="152"/>
      <c r="DF151" s="152"/>
      <c r="DG151" s="152"/>
      <c r="DH151" s="152"/>
      <c r="DI151" s="152"/>
      <c r="DJ151" s="152"/>
      <c r="DK151" s="152"/>
      <c r="DL151" s="152"/>
      <c r="DM151" s="152"/>
      <c r="DN151" s="152"/>
      <c r="DO151" s="152"/>
      <c r="DP151" s="152"/>
      <c r="DQ151" s="152"/>
    </row>
    <row r="152" spans="1:122" s="35" customFormat="1" ht="18.75" thickBot="1" x14ac:dyDescent="0.25">
      <c r="A152" s="145"/>
      <c r="B152" s="46"/>
      <c r="D152" s="34"/>
      <c r="I152" s="157" t="str">
        <f ca="1">"Operation Expenses II (" &amp; 'Deckblatt Gruender|Data Founder'!$K$1 &amp;  ") for Year " &amp; '1 Pers.Ausgaben|Pers Expenses'!$C$4</f>
        <v>Operation Expenses II (w/o VAT) for Year 2019</v>
      </c>
      <c r="J152" s="150"/>
      <c r="K152" s="158" t="str">
        <f ca="1">"Operation Expenses II  (" &amp; 'Deckblatt Gruender|Data Founder'!$K$1 &amp;  ") for Year " &amp; '1 Pers.Ausgaben|Pers Expenses'!$C$4+1</f>
        <v>Operation Expenses II  (w/o VAT) for Year 2020</v>
      </c>
      <c r="L152" s="150"/>
      <c r="M152" s="34"/>
      <c r="N152" s="158" t="str">
        <f ca="1">"Operation Expenses II  (" &amp; 'Deckblatt Gruender|Data Founder'!$K$1 &amp;  ") for the Years " &amp; '1 Pers.Ausgaben|Pers Expenses'!$C$4 &amp; " - " &amp;'1 Pers.Ausgaben|Pers Expenses'!$C$4+4</f>
        <v>Operation Expenses II  (w/o VAT) for the Years 2019 - 2023</v>
      </c>
      <c r="O152" s="150"/>
      <c r="P152" s="150"/>
      <c r="Q152" s="1588"/>
      <c r="R152" s="1097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BO152" s="68"/>
      <c r="CM152" s="254"/>
      <c r="CN152" s="254"/>
      <c r="CO152" s="254"/>
      <c r="CP152" s="254"/>
      <c r="CQ152" s="254"/>
      <c r="CR152" s="254"/>
      <c r="CS152" s="254"/>
      <c r="CT152" s="254"/>
      <c r="CU152" s="352"/>
      <c r="CV152" s="352"/>
      <c r="CW152" s="1309"/>
      <c r="CX152" s="856"/>
      <c r="CY152" s="831"/>
      <c r="CZ152" s="831"/>
      <c r="DA152" s="34"/>
      <c r="DB152" s="34"/>
      <c r="DC152" s="34"/>
      <c r="DD152" s="34"/>
      <c r="DE152" s="152"/>
      <c r="DF152" s="152"/>
      <c r="DG152" s="152"/>
      <c r="DH152" s="152"/>
      <c r="DI152" s="152"/>
      <c r="DJ152" s="152"/>
      <c r="DK152" s="152"/>
      <c r="DL152" s="152"/>
      <c r="DM152" s="152"/>
      <c r="DN152" s="152"/>
      <c r="DO152" s="152"/>
      <c r="DP152" s="152"/>
      <c r="DQ152" s="152"/>
    </row>
    <row r="153" spans="1:122" s="60" customFormat="1" ht="18.75" thickBot="1" x14ac:dyDescent="0.25">
      <c r="A153" s="1003"/>
      <c r="B153" s="51" t="str">
        <f t="shared" ref="B153:C160" si="175">B5</f>
        <v>No.</v>
      </c>
      <c r="C153" s="52" t="str">
        <f t="shared" si="175"/>
        <v>Kostenart</v>
      </c>
      <c r="D153" s="53">
        <f ca="1">'1 Pers.Ausgaben|Pers Expenses'!$C$4</f>
        <v>2019</v>
      </c>
      <c r="E153" s="53">
        <f ca="1">D153+1</f>
        <v>2020</v>
      </c>
      <c r="F153" s="53">
        <f ca="1">E153+1</f>
        <v>2021</v>
      </c>
      <c r="G153" s="53">
        <f ca="1">F153+1</f>
        <v>2022</v>
      </c>
      <c r="H153" s="53">
        <f ca="1">G153+1</f>
        <v>2023</v>
      </c>
      <c r="I153" s="161"/>
      <c r="J153" s="162"/>
      <c r="K153" s="162"/>
      <c r="L153" s="162"/>
      <c r="M153" s="57"/>
      <c r="N153" s="162"/>
      <c r="O153" s="162"/>
      <c r="P153" s="162"/>
      <c r="Q153" s="1588"/>
      <c r="R153" s="1097"/>
      <c r="S153" s="47"/>
      <c r="T153" s="57"/>
      <c r="U153" s="35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1">
        <f>BA77</f>
        <v>0</v>
      </c>
      <c r="BB153" s="52" t="str">
        <f>"MwSt "&amp;$Q$2*100&amp;"%"</f>
        <v>MwSt 19%</v>
      </c>
      <c r="BC153" s="53">
        <f ca="1">'1 Pers.Ausgaben|Pers Expenses'!$C$4</f>
        <v>2019</v>
      </c>
      <c r="BD153" s="53">
        <f ca="1">BC153+1</f>
        <v>2020</v>
      </c>
      <c r="BE153" s="53">
        <f ca="1">BD153+1</f>
        <v>2021</v>
      </c>
      <c r="BF153" s="53">
        <f ca="1">BE153+1</f>
        <v>2022</v>
      </c>
      <c r="BG153" s="54">
        <f ca="1">BF153+1</f>
        <v>2023</v>
      </c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51">
        <f>BR77</f>
        <v>0</v>
      </c>
      <c r="BS153" s="52" t="str">
        <f>"MwSt "&amp;$Q$3*100&amp;"%"</f>
        <v>MwSt 7%</v>
      </c>
      <c r="BT153" s="53">
        <f ca="1">'1 Pers.Ausgaben|Pers Expenses'!$C$4</f>
        <v>2019</v>
      </c>
      <c r="BU153" s="53">
        <f ca="1">BT153+1</f>
        <v>2020</v>
      </c>
      <c r="BV153" s="53">
        <f ca="1">BU153+1</f>
        <v>2021</v>
      </c>
      <c r="BW153" s="53">
        <f ca="1">BV153+1</f>
        <v>2022</v>
      </c>
      <c r="BX153" s="54">
        <f ca="1">BW153+1</f>
        <v>2023</v>
      </c>
      <c r="BY153" s="57"/>
      <c r="BZ153" s="57"/>
      <c r="CA153" s="57"/>
      <c r="CB153" s="57"/>
      <c r="CC153" s="57"/>
      <c r="CD153" s="57"/>
      <c r="CE153" s="57"/>
      <c r="CF153" s="57"/>
      <c r="CG153" s="57"/>
      <c r="CM153" s="254"/>
      <c r="CN153" s="254"/>
      <c r="CO153" s="254"/>
      <c r="CP153" s="254"/>
      <c r="CQ153" s="254"/>
      <c r="CR153" s="254"/>
      <c r="CS153" s="254"/>
      <c r="CT153" s="254"/>
      <c r="CU153" s="352"/>
      <c r="CV153" s="352"/>
      <c r="CW153" s="1309"/>
      <c r="CX153" s="856"/>
      <c r="CY153" s="831"/>
      <c r="CZ153" s="831"/>
      <c r="DA153" s="34"/>
      <c r="DB153" s="34"/>
      <c r="DC153" s="34"/>
      <c r="DD153" s="34"/>
      <c r="DE153" s="152"/>
      <c r="DF153" s="152"/>
      <c r="DG153" s="152"/>
      <c r="DH153" s="152"/>
      <c r="DI153" s="152"/>
      <c r="DJ153" s="152"/>
      <c r="DK153" s="152"/>
      <c r="DL153" s="152"/>
      <c r="DM153" s="625"/>
      <c r="DN153" s="625"/>
      <c r="DO153" s="625"/>
      <c r="DP153" s="625"/>
      <c r="DQ153" s="625"/>
    </row>
    <row r="154" spans="1:122" ht="18" customHeight="1" x14ac:dyDescent="0.2">
      <c r="A154" s="145"/>
      <c r="B154" s="140">
        <f t="shared" si="175"/>
        <v>1</v>
      </c>
      <c r="C154" s="1065" t="str">
        <f t="shared" si="175"/>
        <v>Bürokosten</v>
      </c>
      <c r="D154" s="64"/>
      <c r="E154" s="64"/>
      <c r="F154" s="64"/>
      <c r="G154" s="64"/>
      <c r="H154" s="64"/>
      <c r="I154" s="163"/>
      <c r="J154" s="148"/>
      <c r="K154" s="148"/>
      <c r="L154" s="148"/>
      <c r="M154" s="148"/>
      <c r="N154" s="148"/>
      <c r="O154" s="148"/>
      <c r="P154" s="148"/>
      <c r="Q154" s="1588"/>
      <c r="S154" s="47"/>
      <c r="U154" s="35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BA154" s="140">
        <f t="shared" ref="BA154:BB169" si="176">BA78</f>
        <v>0</v>
      </c>
      <c r="BB154" s="1065">
        <f t="shared" si="176"/>
        <v>0</v>
      </c>
      <c r="BC154" s="64"/>
      <c r="BD154" s="64"/>
      <c r="BE154" s="64"/>
      <c r="BF154" s="64"/>
      <c r="BG154" s="65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140">
        <f t="shared" ref="BR154:BS169" si="177">BR78</f>
        <v>0</v>
      </c>
      <c r="BS154" s="63">
        <f t="shared" si="177"/>
        <v>0</v>
      </c>
      <c r="BT154" s="64"/>
      <c r="BU154" s="64"/>
      <c r="BV154" s="64"/>
      <c r="BW154" s="64"/>
      <c r="BX154" s="65"/>
      <c r="CF154" s="68"/>
      <c r="CM154" s="1000"/>
      <c r="CN154" s="1000"/>
      <c r="CO154" s="1000"/>
      <c r="CP154" s="1000"/>
      <c r="CQ154" s="1000"/>
      <c r="CR154" s="1000"/>
      <c r="CS154" s="1000"/>
      <c r="CT154" s="1000"/>
      <c r="CU154" s="352"/>
      <c r="CV154" s="352"/>
      <c r="CW154" s="1308"/>
      <c r="CY154" s="831"/>
      <c r="CZ154" s="831"/>
      <c r="DA154" s="34"/>
      <c r="DB154" s="34"/>
      <c r="DC154" s="34"/>
      <c r="DD154" s="34"/>
      <c r="DE154" s="152"/>
      <c r="DF154" s="152"/>
      <c r="DG154" s="152"/>
      <c r="DH154" s="152"/>
      <c r="DI154" s="152"/>
      <c r="DJ154" s="152"/>
      <c r="DK154" s="152"/>
      <c r="DL154" s="152"/>
    </row>
    <row r="155" spans="1:122" ht="13.5" customHeight="1" x14ac:dyDescent="0.2">
      <c r="A155" s="1002">
        <f t="shared" ref="A155:A186" si="178">A7</f>
        <v>0.19</v>
      </c>
      <c r="B155" s="72">
        <f t="shared" si="175"/>
        <v>0.19</v>
      </c>
      <c r="C155" s="1437" t="str">
        <f t="shared" si="175"/>
        <v>Raummiete</v>
      </c>
      <c r="D155" s="1438">
        <f t="shared" ref="D155:D161" si="179">P7</f>
        <v>0</v>
      </c>
      <c r="E155" s="1438">
        <f>P81</f>
        <v>0</v>
      </c>
      <c r="F155" s="1430"/>
      <c r="G155" s="1430"/>
      <c r="H155" s="1439"/>
      <c r="I155" s="163"/>
      <c r="J155" s="148"/>
      <c r="K155" s="148"/>
      <c r="L155" s="148"/>
      <c r="M155" s="148"/>
      <c r="N155" s="148"/>
      <c r="O155" s="148"/>
      <c r="P155" s="148"/>
      <c r="Q155" s="1673" t="str">
        <f>IF($C$2="english",$CV$16,$CU$16)</f>
        <v>Verschieben von Zellen
führt zu Bezugsfehlern!
Mit (Str+Z) oder
(Undo-Symbol) rückgängig machen</v>
      </c>
      <c r="S155" s="1556"/>
      <c r="U155" s="35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BA155" s="72" t="str">
        <f t="shared" si="176"/>
        <v>No.</v>
      </c>
      <c r="BB155" s="1064" t="str">
        <f t="shared" si="176"/>
        <v>MwSt 19%</v>
      </c>
      <c r="BC155" s="1204">
        <f t="shared" ref="BC155:BC161" si="180">BO79</f>
        <v>0</v>
      </c>
      <c r="BD155" s="1230">
        <f t="shared" ref="BD155:BG160" si="181">IF($A155=$Q$2,E155*IF(OR($D$4=0,$D$4=3),$A155,$A155/(1+$A155)),0)</f>
        <v>0</v>
      </c>
      <c r="BE155" s="1230">
        <f t="shared" si="181"/>
        <v>0</v>
      </c>
      <c r="BF155" s="1230">
        <f t="shared" si="181"/>
        <v>0</v>
      </c>
      <c r="BG155" s="1231">
        <f t="shared" si="181"/>
        <v>0</v>
      </c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72" t="str">
        <f t="shared" si="177"/>
        <v>No.</v>
      </c>
      <c r="BS155" s="73" t="str">
        <f t="shared" si="177"/>
        <v>MwSt 7%</v>
      </c>
      <c r="BT155" s="1204">
        <f t="shared" ref="BT155:BT161" si="182">CF79</f>
        <v>0</v>
      </c>
      <c r="BU155" s="1230">
        <f t="shared" ref="BU155:BX160" si="183">IF($A155=$Q$3,E155*IF(OR($D$4=0,$D$4=3),$A155,$A155/(1+$A155)),0)</f>
        <v>0</v>
      </c>
      <c r="BV155" s="1230">
        <f t="shared" si="183"/>
        <v>0</v>
      </c>
      <c r="BW155" s="1230">
        <f t="shared" si="183"/>
        <v>0</v>
      </c>
      <c r="BX155" s="1231">
        <f t="shared" si="183"/>
        <v>0</v>
      </c>
      <c r="CF155" s="68"/>
      <c r="CM155" s="254"/>
      <c r="CN155" s="254"/>
      <c r="CO155" s="254"/>
      <c r="CP155" s="254"/>
      <c r="CQ155" s="254"/>
      <c r="CR155" s="254"/>
      <c r="CS155" s="254"/>
      <c r="CT155" s="254"/>
      <c r="CU155" s="352"/>
      <c r="CV155" s="352"/>
      <c r="CW155" s="1309"/>
      <c r="CY155" s="831"/>
      <c r="CZ155" s="831"/>
      <c r="DA155" s="34"/>
      <c r="DB155" s="34"/>
      <c r="DC155" s="34"/>
      <c r="DD155" s="34"/>
      <c r="DE155" s="152"/>
      <c r="DF155" s="152"/>
      <c r="DG155" s="152"/>
      <c r="DH155" s="152"/>
      <c r="DI155" s="152"/>
      <c r="DJ155" s="152"/>
      <c r="DK155" s="152"/>
      <c r="DL155" s="152"/>
    </row>
    <row r="156" spans="1:122" ht="15" customHeight="1" x14ac:dyDescent="0.2">
      <c r="A156" s="1002">
        <f t="shared" si="178"/>
        <v>0.19</v>
      </c>
      <c r="B156" s="72">
        <f t="shared" si="175"/>
        <v>0.19</v>
      </c>
      <c r="C156" s="1437" t="str">
        <f t="shared" si="175"/>
        <v>Strom, Wasser, Heizung, sonst. Nebenkosten</v>
      </c>
      <c r="D156" s="1438">
        <f t="shared" si="179"/>
        <v>0</v>
      </c>
      <c r="E156" s="1438">
        <f t="shared" ref="E156:E217" si="184">P82</f>
        <v>0</v>
      </c>
      <c r="F156" s="1430"/>
      <c r="G156" s="1430"/>
      <c r="H156" s="1439"/>
      <c r="I156" s="163"/>
      <c r="J156" s="148"/>
      <c r="K156" s="148"/>
      <c r="L156" s="148"/>
      <c r="M156" s="148"/>
      <c r="N156" s="148"/>
      <c r="O156" s="148"/>
      <c r="P156" s="148"/>
      <c r="Q156" s="1673"/>
      <c r="S156" s="1556"/>
      <c r="U156" s="35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BA156" s="72">
        <f t="shared" si="176"/>
        <v>1</v>
      </c>
      <c r="BB156" s="1064" t="str">
        <f t="shared" si="176"/>
        <v>Bürokosten</v>
      </c>
      <c r="BC156" s="1204">
        <f t="shared" si="180"/>
        <v>0</v>
      </c>
      <c r="BD156" s="1230">
        <f t="shared" si="181"/>
        <v>0</v>
      </c>
      <c r="BE156" s="1230">
        <f t="shared" si="181"/>
        <v>0</v>
      </c>
      <c r="BF156" s="1230">
        <f t="shared" si="181"/>
        <v>0</v>
      </c>
      <c r="BG156" s="1231">
        <f>IF($A156=$Q$2,H156*IF(OR($D$4=0,$D$4=3),$A156,$A156/(1+$A156)),0)</f>
        <v>0</v>
      </c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72">
        <f t="shared" si="177"/>
        <v>1</v>
      </c>
      <c r="BS156" s="73" t="str">
        <f t="shared" si="177"/>
        <v>Bürokosten</v>
      </c>
      <c r="BT156" s="1204">
        <f t="shared" si="182"/>
        <v>0</v>
      </c>
      <c r="BU156" s="1230">
        <f t="shared" si="183"/>
        <v>0</v>
      </c>
      <c r="BV156" s="1230">
        <f t="shared" si="183"/>
        <v>0</v>
      </c>
      <c r="BW156" s="1230">
        <f t="shared" si="183"/>
        <v>0</v>
      </c>
      <c r="BX156" s="1231">
        <f>IF($A156=$Q$3,H156*IF(OR($D$4=0,$D$4=3),$A156,$A156/(1+$A156)),0)</f>
        <v>0</v>
      </c>
      <c r="CF156" s="68"/>
      <c r="CM156" s="254"/>
      <c r="CN156" s="254"/>
      <c r="CO156" s="254"/>
      <c r="CP156" s="254"/>
      <c r="CQ156" s="254"/>
      <c r="CR156" s="254"/>
      <c r="CS156" s="254"/>
      <c r="CT156" s="254"/>
      <c r="CU156" s="352"/>
      <c r="CV156" s="352"/>
      <c r="CW156" s="1309"/>
      <c r="CY156" s="831"/>
      <c r="CZ156" s="831"/>
      <c r="DA156" s="34"/>
      <c r="DB156" s="34"/>
      <c r="DC156" s="34"/>
      <c r="DD156" s="34"/>
      <c r="DE156" s="152"/>
      <c r="DF156" s="152"/>
      <c r="DG156" s="152"/>
      <c r="DH156" s="152"/>
      <c r="DI156" s="152"/>
      <c r="DJ156" s="152"/>
      <c r="DK156" s="152"/>
      <c r="DL156" s="152"/>
    </row>
    <row r="157" spans="1:122" x14ac:dyDescent="0.2">
      <c r="A157" s="1002">
        <f t="shared" si="178"/>
        <v>0.19</v>
      </c>
      <c r="B157" s="72">
        <f t="shared" si="175"/>
        <v>0.19</v>
      </c>
      <c r="C157" s="1437" t="str">
        <f t="shared" si="175"/>
        <v>Telefon, Fax, Internet, Porto</v>
      </c>
      <c r="D157" s="1438">
        <f t="shared" si="179"/>
        <v>0</v>
      </c>
      <c r="E157" s="1438">
        <f t="shared" si="184"/>
        <v>0</v>
      </c>
      <c r="F157" s="1430"/>
      <c r="G157" s="1430"/>
      <c r="H157" s="1439"/>
      <c r="I157" s="163"/>
      <c r="J157" s="148"/>
      <c r="K157" s="148"/>
      <c r="L157" s="148"/>
      <c r="M157" s="148"/>
      <c r="N157" s="148"/>
      <c r="O157" s="148"/>
      <c r="P157" s="148"/>
      <c r="Q157" s="1673"/>
      <c r="S157" s="1556"/>
      <c r="U157" s="35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BA157" s="72">
        <f t="shared" si="176"/>
        <v>0.19</v>
      </c>
      <c r="BB157" s="1064" t="str">
        <f t="shared" si="176"/>
        <v>Raummiete</v>
      </c>
      <c r="BC157" s="1204">
        <f t="shared" si="180"/>
        <v>0</v>
      </c>
      <c r="BD157" s="1230">
        <f t="shared" si="181"/>
        <v>0</v>
      </c>
      <c r="BE157" s="1230">
        <f t="shared" si="181"/>
        <v>0</v>
      </c>
      <c r="BF157" s="1230">
        <f t="shared" si="181"/>
        <v>0</v>
      </c>
      <c r="BG157" s="1231">
        <f>IF($A157=$Q$2,H157*IF(OR($D$4=0,$D$4=3),$A157,$A157/(1+$A157)),0)</f>
        <v>0</v>
      </c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72">
        <f t="shared" si="177"/>
        <v>0.19</v>
      </c>
      <c r="BS157" s="73" t="str">
        <f t="shared" si="177"/>
        <v>Raummiete</v>
      </c>
      <c r="BT157" s="1204">
        <f t="shared" si="182"/>
        <v>0</v>
      </c>
      <c r="BU157" s="1230">
        <f t="shared" si="183"/>
        <v>0</v>
      </c>
      <c r="BV157" s="1230">
        <f t="shared" si="183"/>
        <v>0</v>
      </c>
      <c r="BW157" s="1230">
        <f t="shared" si="183"/>
        <v>0</v>
      </c>
      <c r="BX157" s="1231">
        <f>IF($A157=$Q$3,H157*IF(OR($D$4=0,$D$4=3),$A157,$A157/(1+$A157)),0)</f>
        <v>0</v>
      </c>
      <c r="CF157" s="68"/>
      <c r="CU157" s="904"/>
      <c r="CY157" s="831"/>
      <c r="CZ157" s="831"/>
      <c r="DA157" s="34"/>
      <c r="DB157" s="34"/>
      <c r="DC157" s="34"/>
      <c r="DD157" s="34"/>
      <c r="DE157" s="152"/>
      <c r="DF157" s="152"/>
      <c r="DG157" s="152"/>
      <c r="DH157" s="152"/>
      <c r="DI157" s="152"/>
      <c r="DJ157" s="152"/>
      <c r="DK157" s="152"/>
      <c r="DL157" s="152"/>
    </row>
    <row r="158" spans="1:122" x14ac:dyDescent="0.2">
      <c r="A158" s="1002">
        <f t="shared" si="178"/>
        <v>0.19</v>
      </c>
      <c r="B158" s="72">
        <f t="shared" si="175"/>
        <v>0.19</v>
      </c>
      <c r="C158" s="1437" t="str">
        <f t="shared" si="175"/>
        <v>Geringw. Wirtschaftsgüter (Büromöbel, Einrichtungen,...)</v>
      </c>
      <c r="D158" s="1438">
        <f t="shared" si="179"/>
        <v>0</v>
      </c>
      <c r="E158" s="1438">
        <f t="shared" si="184"/>
        <v>0</v>
      </c>
      <c r="F158" s="1430"/>
      <c r="G158" s="1430"/>
      <c r="H158" s="1439"/>
      <c r="I158" s="163"/>
      <c r="J158" s="148"/>
      <c r="K158" s="148"/>
      <c r="L158" s="148"/>
      <c r="M158" s="148"/>
      <c r="N158" s="148"/>
      <c r="O158" s="148"/>
      <c r="P158" s="148"/>
      <c r="Q158" s="1673"/>
      <c r="S158" s="1556"/>
      <c r="U158" s="35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BA158" s="72">
        <f t="shared" si="176"/>
        <v>0.19</v>
      </c>
      <c r="BB158" s="1064" t="str">
        <f t="shared" si="176"/>
        <v>Strom, Wasser, Heizung, sonst. Nebenkosten</v>
      </c>
      <c r="BC158" s="1204">
        <f t="shared" si="180"/>
        <v>0</v>
      </c>
      <c r="BD158" s="1230">
        <f t="shared" si="181"/>
        <v>0</v>
      </c>
      <c r="BE158" s="1230">
        <f t="shared" si="181"/>
        <v>0</v>
      </c>
      <c r="BF158" s="1230">
        <f t="shared" si="181"/>
        <v>0</v>
      </c>
      <c r="BG158" s="1231">
        <f>IF($A158=$Q$2,H158*IF(OR($D$4=0,$D$4=3),$A158,$A158/(1+$A158)),0)</f>
        <v>0</v>
      </c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72">
        <f t="shared" si="177"/>
        <v>0.19</v>
      </c>
      <c r="BS158" s="73" t="str">
        <f t="shared" si="177"/>
        <v>Strom, Wasser, Heizung, sonst. Nebenkosten</v>
      </c>
      <c r="BT158" s="1204">
        <f t="shared" si="182"/>
        <v>0</v>
      </c>
      <c r="BU158" s="1230">
        <f t="shared" si="183"/>
        <v>0</v>
      </c>
      <c r="BV158" s="1230">
        <f t="shared" si="183"/>
        <v>0</v>
      </c>
      <c r="BW158" s="1230">
        <f t="shared" si="183"/>
        <v>0</v>
      </c>
      <c r="BX158" s="1231">
        <f>IF($A158=$Q$3,H158*IF(OR($D$4=0,$D$4=3),$A158,$A158/(1+$A158)),0)</f>
        <v>0</v>
      </c>
      <c r="CF158" s="68"/>
      <c r="CU158" s="904"/>
      <c r="CY158" s="831"/>
      <c r="CZ158" s="831"/>
      <c r="DA158" s="34"/>
      <c r="DB158" s="34"/>
      <c r="DC158" s="34"/>
      <c r="DD158" s="34"/>
      <c r="DE158" s="152"/>
      <c r="DF158" s="152"/>
      <c r="DG158" s="152"/>
      <c r="DH158" s="152"/>
      <c r="DI158" s="152"/>
      <c r="DJ158" s="152"/>
      <c r="DK158" s="152"/>
      <c r="DL158" s="152"/>
    </row>
    <row r="159" spans="1:122" x14ac:dyDescent="0.2">
      <c r="A159" s="1002">
        <f t="shared" si="178"/>
        <v>0.19</v>
      </c>
      <c r="B159" s="72">
        <f t="shared" si="175"/>
        <v>0.19</v>
      </c>
      <c r="C159" s="1437" t="str">
        <f t="shared" si="175"/>
        <v>IT (Lizenzen, Windows, Office, Wartung)</v>
      </c>
      <c r="D159" s="1438">
        <f t="shared" si="179"/>
        <v>0</v>
      </c>
      <c r="E159" s="1438">
        <f t="shared" si="184"/>
        <v>0</v>
      </c>
      <c r="F159" s="1430"/>
      <c r="G159" s="1430"/>
      <c r="H159" s="1439"/>
      <c r="I159" s="163"/>
      <c r="J159" s="148"/>
      <c r="K159" s="148"/>
      <c r="L159" s="148"/>
      <c r="M159" s="148"/>
      <c r="N159" s="148"/>
      <c r="O159" s="148"/>
      <c r="P159" s="148"/>
      <c r="Q159" s="1673"/>
      <c r="S159" s="1556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BA159" s="72">
        <f t="shared" si="176"/>
        <v>0.19</v>
      </c>
      <c r="BB159" s="1064" t="str">
        <f t="shared" si="176"/>
        <v>Telefon, Fax, Internet, Porto</v>
      </c>
      <c r="BC159" s="1204">
        <f t="shared" si="180"/>
        <v>0</v>
      </c>
      <c r="BD159" s="1230">
        <f t="shared" si="181"/>
        <v>0</v>
      </c>
      <c r="BE159" s="1230">
        <f t="shared" si="181"/>
        <v>0</v>
      </c>
      <c r="BF159" s="1230">
        <f t="shared" si="181"/>
        <v>0</v>
      </c>
      <c r="BG159" s="1231">
        <f t="shared" si="181"/>
        <v>0</v>
      </c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72">
        <f t="shared" si="177"/>
        <v>0.19</v>
      </c>
      <c r="BS159" s="73" t="str">
        <f t="shared" si="177"/>
        <v>Telefon, Fax, Internet, Porto</v>
      </c>
      <c r="BT159" s="1204">
        <f t="shared" si="182"/>
        <v>0</v>
      </c>
      <c r="BU159" s="1230">
        <f t="shared" si="183"/>
        <v>0</v>
      </c>
      <c r="BV159" s="1230">
        <f t="shared" si="183"/>
        <v>0</v>
      </c>
      <c r="BW159" s="1230">
        <f t="shared" si="183"/>
        <v>0</v>
      </c>
      <c r="BX159" s="1231">
        <f t="shared" si="183"/>
        <v>0</v>
      </c>
      <c r="CF159" s="68"/>
      <c r="CU159" s="904"/>
      <c r="CY159" s="831"/>
      <c r="CZ159" s="831"/>
      <c r="DA159" s="34"/>
      <c r="DB159" s="34"/>
      <c r="DC159" s="34"/>
      <c r="DD159" s="34"/>
      <c r="DE159" s="152"/>
      <c r="DF159" s="152"/>
      <c r="DG159" s="152"/>
      <c r="DH159" s="152"/>
      <c r="DI159" s="152"/>
      <c r="DJ159" s="152"/>
      <c r="DK159" s="152"/>
      <c r="DL159" s="152"/>
    </row>
    <row r="160" spans="1:122" x14ac:dyDescent="0.2">
      <c r="A160" s="1002">
        <f t="shared" si="178"/>
        <v>0.19</v>
      </c>
      <c r="B160" s="72">
        <f t="shared" si="175"/>
        <v>0.19</v>
      </c>
      <c r="C160" s="1440" t="str">
        <f t="shared" si="175"/>
        <v>Sonstiges</v>
      </c>
      <c r="D160" s="1441">
        <f t="shared" si="179"/>
        <v>0</v>
      </c>
      <c r="E160" s="1441">
        <f t="shared" si="184"/>
        <v>0</v>
      </c>
      <c r="F160" s="1433"/>
      <c r="G160" s="1433"/>
      <c r="H160" s="1442"/>
      <c r="I160" s="163"/>
      <c r="J160" s="148"/>
      <c r="K160" s="148"/>
      <c r="L160" s="148"/>
      <c r="M160" s="148"/>
      <c r="N160" s="148"/>
      <c r="O160" s="148"/>
      <c r="P160" s="148"/>
      <c r="Q160" s="1673"/>
      <c r="S160" s="1556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BA160" s="72">
        <f>AZ84</f>
        <v>0</v>
      </c>
      <c r="BB160" s="1064" t="str">
        <f t="shared" si="176"/>
        <v>Geringw. Wirtschaftsgüter (Büromöbel, Einrichtungen,...)</v>
      </c>
      <c r="BC160" s="1205">
        <f t="shared" si="180"/>
        <v>0</v>
      </c>
      <c r="BD160" s="1230">
        <f t="shared" si="181"/>
        <v>0</v>
      </c>
      <c r="BE160" s="1230">
        <f t="shared" si="181"/>
        <v>0</v>
      </c>
      <c r="BF160" s="1230">
        <f t="shared" si="181"/>
        <v>0</v>
      </c>
      <c r="BG160" s="1231">
        <f t="shared" si="181"/>
        <v>0</v>
      </c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72">
        <f>BQ84</f>
        <v>0</v>
      </c>
      <c r="BS160" s="73" t="str">
        <f t="shared" si="177"/>
        <v>Geringw. Wirtschaftsgüter (Büromöbel, Einrichtungen,...)</v>
      </c>
      <c r="BT160" s="1205">
        <f t="shared" si="182"/>
        <v>0</v>
      </c>
      <c r="BU160" s="1230">
        <f t="shared" si="183"/>
        <v>0</v>
      </c>
      <c r="BV160" s="1230">
        <f t="shared" si="183"/>
        <v>0</v>
      </c>
      <c r="BW160" s="1230">
        <f t="shared" si="183"/>
        <v>0</v>
      </c>
      <c r="BX160" s="1231">
        <f t="shared" si="183"/>
        <v>0</v>
      </c>
      <c r="CF160" s="68"/>
      <c r="CU160" s="904"/>
      <c r="CY160" s="831"/>
      <c r="CZ160" s="831"/>
      <c r="DA160" s="34"/>
      <c r="DB160" s="34"/>
      <c r="DC160" s="34"/>
      <c r="DD160" s="34"/>
      <c r="DE160" s="152"/>
      <c r="DF160" s="152"/>
      <c r="DG160" s="152"/>
      <c r="DH160" s="152"/>
      <c r="DI160" s="152"/>
      <c r="DJ160" s="152"/>
      <c r="DK160" s="152"/>
      <c r="DL160" s="152"/>
    </row>
    <row r="161" spans="1:116" ht="15" thickBot="1" x14ac:dyDescent="0.25">
      <c r="A161" s="1002"/>
      <c r="B161" s="1487"/>
      <c r="C161" s="1491" t="str">
        <f t="shared" ref="C161:C192" si="185">C13</f>
        <v>Summe Bürokosten</v>
      </c>
      <c r="D161" s="1489">
        <f t="shared" si="179"/>
        <v>0</v>
      </c>
      <c r="E161" s="1489">
        <f t="shared" si="184"/>
        <v>0</v>
      </c>
      <c r="F161" s="1489">
        <f>SUM(F155:F160)</f>
        <v>0</v>
      </c>
      <c r="G161" s="1489">
        <f>SUM(G155:G160)</f>
        <v>0</v>
      </c>
      <c r="H161" s="1492">
        <f>SUM(H155:H160)</f>
        <v>0</v>
      </c>
      <c r="I161" s="163"/>
      <c r="J161" s="148"/>
      <c r="K161" s="148"/>
      <c r="L161" s="148"/>
      <c r="M161" s="148"/>
      <c r="N161" s="148"/>
      <c r="O161" s="148"/>
      <c r="P161" s="148"/>
      <c r="Q161" s="1589"/>
      <c r="S161" s="82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Z161" s="35" t="b">
        <f>IFERROR(OR(BO161,CF161),-1)</f>
        <v>0</v>
      </c>
      <c r="BA161" s="80"/>
      <c r="BB161" s="1066" t="str">
        <f t="shared" si="176"/>
        <v>IT (Lizenzen, Windows, Office, Wartung)</v>
      </c>
      <c r="BC161" s="1188">
        <f t="shared" si="180"/>
        <v>0</v>
      </c>
      <c r="BD161" s="1188">
        <f>SUM(BD155:BD160)</f>
        <v>0</v>
      </c>
      <c r="BE161" s="1188">
        <f>SUM(BE155:BE160)</f>
        <v>0</v>
      </c>
      <c r="BF161" s="1188">
        <f>SUM(BF155:BF160)</f>
        <v>0</v>
      </c>
      <c r="BG161" s="1208">
        <f>SUM(BG155:BG160)</f>
        <v>0</v>
      </c>
      <c r="BH161" s="68"/>
      <c r="BI161" s="68"/>
      <c r="BJ161" s="68"/>
      <c r="BK161" s="68"/>
      <c r="BL161" s="68"/>
      <c r="BM161" s="68"/>
      <c r="BN161" s="68"/>
      <c r="BO161" s="1595">
        <f t="shared" ref="BO161" si="186">SUM(BC161:BN161)</f>
        <v>0</v>
      </c>
      <c r="BP161" s="68"/>
      <c r="BQ161" s="68"/>
      <c r="BR161" s="80"/>
      <c r="BS161" s="81" t="str">
        <f t="shared" si="177"/>
        <v>IT (Lizenzen, Windows, Office, Wartung)</v>
      </c>
      <c r="BT161" s="1188">
        <f t="shared" si="182"/>
        <v>0</v>
      </c>
      <c r="BU161" s="1188">
        <f t="shared" ref="BU161:BX161" si="187">SUM(BU155:BU160)</f>
        <v>0</v>
      </c>
      <c r="BV161" s="1188">
        <f t="shared" si="187"/>
        <v>0</v>
      </c>
      <c r="BW161" s="1188">
        <f t="shared" si="187"/>
        <v>0</v>
      </c>
      <c r="BX161" s="1208">
        <f t="shared" si="187"/>
        <v>0</v>
      </c>
      <c r="CF161" s="1595">
        <f t="shared" ref="CF161" si="188">SUM(BT161:CE161)</f>
        <v>0</v>
      </c>
      <c r="CU161" s="904"/>
      <c r="CY161" s="831"/>
      <c r="CZ161" s="831"/>
      <c r="DA161" s="34"/>
      <c r="DB161" s="34"/>
      <c r="DC161" s="34"/>
      <c r="DD161" s="34"/>
      <c r="DE161" s="152"/>
      <c r="DF161" s="152"/>
      <c r="DG161" s="152"/>
      <c r="DH161" s="152"/>
      <c r="DI161" s="152"/>
      <c r="DJ161" s="152"/>
      <c r="DK161" s="152"/>
      <c r="DL161" s="152"/>
    </row>
    <row r="162" spans="1:116" ht="14.25" customHeight="1" x14ac:dyDescent="0.2">
      <c r="A162" s="1002"/>
      <c r="B162" s="140">
        <f t="shared" ref="B162:B170" si="189">B14</f>
        <v>2</v>
      </c>
      <c r="C162" s="1065" t="str">
        <f t="shared" si="185"/>
        <v>Produktionskosten</v>
      </c>
      <c r="D162" s="1193"/>
      <c r="E162" s="1193"/>
      <c r="F162" s="1193"/>
      <c r="G162" s="1193"/>
      <c r="H162" s="1193"/>
      <c r="I162" s="163"/>
      <c r="J162" s="148"/>
      <c r="K162" s="148"/>
      <c r="L162" s="148"/>
      <c r="M162" s="148"/>
      <c r="N162" s="148"/>
      <c r="O162" s="148"/>
      <c r="P162" s="148"/>
      <c r="Q162" s="1589"/>
      <c r="S162" s="93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BA162" s="141">
        <v>2</v>
      </c>
      <c r="BB162" s="1067" t="str">
        <f t="shared" si="176"/>
        <v>Sonstiges</v>
      </c>
      <c r="BC162" s="1190"/>
      <c r="BD162" s="1190"/>
      <c r="BE162" s="1190"/>
      <c r="BF162" s="1190"/>
      <c r="BG162" s="1191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141">
        <v>2</v>
      </c>
      <c r="BS162" s="86" t="str">
        <f t="shared" si="177"/>
        <v>Sonstiges</v>
      </c>
      <c r="BT162" s="1190"/>
      <c r="BU162" s="1190"/>
      <c r="BV162" s="1190"/>
      <c r="BW162" s="1190"/>
      <c r="BX162" s="1191"/>
      <c r="CF162" s="68"/>
      <c r="CU162" s="904"/>
      <c r="CY162" s="831"/>
      <c r="CZ162" s="831"/>
      <c r="DA162" s="34"/>
      <c r="DB162" s="34"/>
      <c r="DC162" s="34"/>
      <c r="DD162" s="34"/>
      <c r="DE162" s="152"/>
      <c r="DF162" s="152"/>
      <c r="DG162" s="152"/>
      <c r="DH162" s="152"/>
      <c r="DI162" s="152"/>
      <c r="DJ162" s="152"/>
      <c r="DK162" s="152"/>
      <c r="DL162" s="152"/>
    </row>
    <row r="163" spans="1:116" ht="14.25" customHeight="1" x14ac:dyDescent="0.2">
      <c r="A163" s="1002">
        <f t="shared" si="178"/>
        <v>0.19</v>
      </c>
      <c r="B163" s="72">
        <f t="shared" si="189"/>
        <v>0.19</v>
      </c>
      <c r="C163" s="1437" t="str">
        <f t="shared" si="185"/>
        <v>Raummiete</v>
      </c>
      <c r="D163" s="1438">
        <f t="shared" ref="D163:D171" si="190">P15</f>
        <v>0</v>
      </c>
      <c r="E163" s="1438">
        <f t="shared" si="184"/>
        <v>0</v>
      </c>
      <c r="F163" s="1430"/>
      <c r="G163" s="1430"/>
      <c r="H163" s="1439"/>
      <c r="I163" s="163"/>
      <c r="J163" s="148"/>
      <c r="K163" s="148"/>
      <c r="L163" s="148"/>
      <c r="M163" s="148"/>
      <c r="N163" s="148"/>
      <c r="O163" s="148"/>
      <c r="P163" s="148"/>
      <c r="Q163" s="1673" t="str">
        <f>IF($C$2="english",$CV$16,$CU$16)</f>
        <v>Verschieben von Zellen
führt zu Bezugsfehlern!
Mit (Str+Z) oder
(Undo-Symbol) rückgängig machen</v>
      </c>
      <c r="S163" s="1556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BA163" s="72">
        <f t="shared" ref="BA163:BA169" si="191">BA87</f>
        <v>0</v>
      </c>
      <c r="BB163" s="1064" t="str">
        <f t="shared" si="176"/>
        <v>Summe Bürokosten</v>
      </c>
      <c r="BC163" s="1204">
        <f t="shared" ref="BC163:BC171" si="192">BO87</f>
        <v>0</v>
      </c>
      <c r="BD163" s="1230">
        <f t="shared" ref="BD163:BG170" si="193">IF($A163=$Q$2,E163*IF(OR($D$4=0,$D$4=3),$A163,$A163/(1+$A163)),0)</f>
        <v>0</v>
      </c>
      <c r="BE163" s="1230">
        <f t="shared" si="193"/>
        <v>0</v>
      </c>
      <c r="BF163" s="1230">
        <f t="shared" si="193"/>
        <v>0</v>
      </c>
      <c r="BG163" s="1231">
        <f t="shared" si="193"/>
        <v>0</v>
      </c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72">
        <f t="shared" ref="BR163:BR169" si="194">BR87</f>
        <v>0</v>
      </c>
      <c r="BS163" s="73" t="str">
        <f t="shared" si="177"/>
        <v>Summe Bürokosten</v>
      </c>
      <c r="BT163" s="1204">
        <f t="shared" ref="BT163:BT171" si="195">CF87</f>
        <v>0</v>
      </c>
      <c r="BU163" s="1230">
        <f t="shared" ref="BU163:BX170" si="196">IF($A163=$Q$3,E163*IF(OR($D$4=0,$D$4=3),$A163,$A163/(1+$A163)),0)</f>
        <v>0</v>
      </c>
      <c r="BV163" s="1230">
        <f t="shared" si="196"/>
        <v>0</v>
      </c>
      <c r="BW163" s="1230">
        <f t="shared" si="196"/>
        <v>0</v>
      </c>
      <c r="BX163" s="1231">
        <f t="shared" si="196"/>
        <v>0</v>
      </c>
      <c r="CF163" s="68"/>
      <c r="CU163" s="904"/>
      <c r="CY163" s="831"/>
      <c r="CZ163" s="831"/>
      <c r="DA163" s="34"/>
      <c r="DB163" s="34"/>
      <c r="DC163" s="34"/>
      <c r="DD163" s="34"/>
      <c r="DE163" s="152"/>
      <c r="DF163" s="152"/>
      <c r="DG163" s="152"/>
      <c r="DH163" s="152"/>
      <c r="DI163" s="152"/>
      <c r="DJ163" s="152"/>
      <c r="DK163" s="152"/>
      <c r="DL163" s="152"/>
    </row>
    <row r="164" spans="1:116" x14ac:dyDescent="0.2">
      <c r="A164" s="1002">
        <f t="shared" si="178"/>
        <v>0.19</v>
      </c>
      <c r="B164" s="72">
        <f t="shared" si="189"/>
        <v>0.19</v>
      </c>
      <c r="C164" s="1437" t="str">
        <f t="shared" si="185"/>
        <v>Strom, Wasser, Heizung, sonst. Nebenkosten</v>
      </c>
      <c r="D164" s="1438">
        <f t="shared" si="190"/>
        <v>0</v>
      </c>
      <c r="E164" s="1438">
        <f t="shared" si="184"/>
        <v>0</v>
      </c>
      <c r="F164" s="1430"/>
      <c r="G164" s="1430"/>
      <c r="H164" s="1439"/>
      <c r="I164" s="163"/>
      <c r="J164" s="148"/>
      <c r="K164" s="148"/>
      <c r="L164" s="148"/>
      <c r="M164" s="148"/>
      <c r="N164" s="148"/>
      <c r="O164" s="148"/>
      <c r="P164" s="148"/>
      <c r="Q164" s="1673"/>
      <c r="S164" s="1556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BA164" s="72">
        <f t="shared" si="191"/>
        <v>2</v>
      </c>
      <c r="BB164" s="1064" t="str">
        <f t="shared" si="176"/>
        <v>Produktionskosten</v>
      </c>
      <c r="BC164" s="1204">
        <f t="shared" si="192"/>
        <v>0</v>
      </c>
      <c r="BD164" s="1230">
        <f t="shared" si="193"/>
        <v>0</v>
      </c>
      <c r="BE164" s="1230">
        <f t="shared" si="193"/>
        <v>0</v>
      </c>
      <c r="BF164" s="1230">
        <f t="shared" si="193"/>
        <v>0</v>
      </c>
      <c r="BG164" s="1231">
        <f t="shared" si="193"/>
        <v>0</v>
      </c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72">
        <f t="shared" si="194"/>
        <v>2</v>
      </c>
      <c r="BS164" s="73" t="str">
        <f t="shared" si="177"/>
        <v>Produktionskosten</v>
      </c>
      <c r="BT164" s="1204">
        <f t="shared" si="195"/>
        <v>0</v>
      </c>
      <c r="BU164" s="1230">
        <f t="shared" si="196"/>
        <v>0</v>
      </c>
      <c r="BV164" s="1230">
        <f t="shared" si="196"/>
        <v>0</v>
      </c>
      <c r="BW164" s="1230">
        <f t="shared" si="196"/>
        <v>0</v>
      </c>
      <c r="BX164" s="1231">
        <f t="shared" si="196"/>
        <v>0</v>
      </c>
      <c r="CF164" s="68"/>
      <c r="CU164" s="904"/>
      <c r="CY164" s="831"/>
      <c r="CZ164" s="831"/>
      <c r="DA164" s="34"/>
      <c r="DB164" s="34"/>
      <c r="DC164" s="34"/>
      <c r="DD164" s="34"/>
      <c r="DE164" s="152"/>
      <c r="DF164" s="152"/>
      <c r="DG164" s="152"/>
      <c r="DH164" s="152"/>
      <c r="DI164" s="152"/>
      <c r="DJ164" s="152"/>
      <c r="DK164" s="152"/>
      <c r="DL164" s="152"/>
    </row>
    <row r="165" spans="1:116" x14ac:dyDescent="0.2">
      <c r="A165" s="1002">
        <f t="shared" si="178"/>
        <v>0.19</v>
      </c>
      <c r="B165" s="72">
        <f t="shared" si="189"/>
        <v>0.19</v>
      </c>
      <c r="C165" s="1437" t="str">
        <f t="shared" si="185"/>
        <v>Materialaufwand zur Produktion (19%)</v>
      </c>
      <c r="D165" s="1438">
        <f t="shared" si="190"/>
        <v>0</v>
      </c>
      <c r="E165" s="1438">
        <f t="shared" si="184"/>
        <v>0</v>
      </c>
      <c r="F165" s="1430"/>
      <c r="G165" s="1430"/>
      <c r="H165" s="1439"/>
      <c r="I165" s="163"/>
      <c r="J165" s="148"/>
      <c r="K165" s="148"/>
      <c r="L165" s="148"/>
      <c r="M165" s="148"/>
      <c r="N165" s="148"/>
      <c r="O165" s="148"/>
      <c r="P165" s="148"/>
      <c r="Q165" s="1673"/>
      <c r="S165" s="1556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BA165" s="72">
        <f t="shared" si="191"/>
        <v>0.19</v>
      </c>
      <c r="BB165" s="1064" t="str">
        <f t="shared" si="176"/>
        <v>Raummiete</v>
      </c>
      <c r="BC165" s="1204">
        <f t="shared" si="192"/>
        <v>0</v>
      </c>
      <c r="BD165" s="1230">
        <f t="shared" si="193"/>
        <v>0</v>
      </c>
      <c r="BE165" s="1230">
        <f t="shared" si="193"/>
        <v>0</v>
      </c>
      <c r="BF165" s="1230">
        <f t="shared" si="193"/>
        <v>0</v>
      </c>
      <c r="BG165" s="1231">
        <f t="shared" si="193"/>
        <v>0</v>
      </c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72">
        <f t="shared" si="194"/>
        <v>0.19</v>
      </c>
      <c r="BS165" s="73" t="str">
        <f t="shared" si="177"/>
        <v>Raummiete</v>
      </c>
      <c r="BT165" s="1204">
        <f t="shared" si="195"/>
        <v>0</v>
      </c>
      <c r="BU165" s="1230">
        <f t="shared" si="196"/>
        <v>0</v>
      </c>
      <c r="BV165" s="1230">
        <f t="shared" si="196"/>
        <v>0</v>
      </c>
      <c r="BW165" s="1230">
        <f t="shared" si="196"/>
        <v>0</v>
      </c>
      <c r="BX165" s="1231">
        <f t="shared" si="196"/>
        <v>0</v>
      </c>
      <c r="CF165" s="68"/>
      <c r="CU165" s="904"/>
      <c r="CY165" s="831"/>
      <c r="CZ165" s="831"/>
      <c r="DA165" s="34"/>
      <c r="DB165" s="34"/>
      <c r="DC165" s="34"/>
      <c r="DD165" s="34"/>
      <c r="DE165" s="152"/>
      <c r="DF165" s="152"/>
      <c r="DG165" s="152"/>
      <c r="DH165" s="152"/>
      <c r="DI165" s="152"/>
      <c r="DJ165" s="152"/>
      <c r="DK165" s="152"/>
      <c r="DL165" s="152"/>
    </row>
    <row r="166" spans="1:116" ht="15" x14ac:dyDescent="0.2">
      <c r="A166" s="1002">
        <f t="shared" si="178"/>
        <v>7.0000000000000007E-2</v>
      </c>
      <c r="B166" s="72">
        <f t="shared" si="189"/>
        <v>7.0000000000000007E-2</v>
      </c>
      <c r="C166" s="1437" t="str">
        <f t="shared" si="185"/>
        <v>Materialaufwand zur Produktion (7%)</v>
      </c>
      <c r="D166" s="1438">
        <f t="shared" si="190"/>
        <v>0</v>
      </c>
      <c r="E166" s="1438">
        <f t="shared" si="184"/>
        <v>0</v>
      </c>
      <c r="F166" s="1430"/>
      <c r="G166" s="1430"/>
      <c r="H166" s="1439"/>
      <c r="I166" s="163"/>
      <c r="J166" s="148"/>
      <c r="K166" s="148"/>
      <c r="L166" s="148"/>
      <c r="M166" s="148"/>
      <c r="N166" s="148"/>
      <c r="O166" s="148"/>
      <c r="P166" s="148"/>
      <c r="Q166" s="1673"/>
      <c r="S166" s="1556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BA166" s="72">
        <f t="shared" si="191"/>
        <v>0.19</v>
      </c>
      <c r="BB166" s="1064" t="str">
        <f t="shared" si="176"/>
        <v>Strom, Wasser, Heizung, sonst. Nebenkosten</v>
      </c>
      <c r="BC166" s="1204">
        <f t="shared" si="192"/>
        <v>0</v>
      </c>
      <c r="BD166" s="1230">
        <f t="shared" si="193"/>
        <v>0</v>
      </c>
      <c r="BE166" s="1230">
        <f t="shared" si="193"/>
        <v>0</v>
      </c>
      <c r="BF166" s="1230">
        <f t="shared" si="193"/>
        <v>0</v>
      </c>
      <c r="BG166" s="1231">
        <f t="shared" si="193"/>
        <v>0</v>
      </c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72">
        <f t="shared" si="194"/>
        <v>0.19</v>
      </c>
      <c r="BS166" s="73" t="str">
        <f t="shared" si="177"/>
        <v>Strom, Wasser, Heizung, sonst. Nebenkosten</v>
      </c>
      <c r="BT166" s="1204">
        <f t="shared" si="195"/>
        <v>0</v>
      </c>
      <c r="BU166" s="1230">
        <f t="shared" si="196"/>
        <v>0</v>
      </c>
      <c r="BV166" s="1230">
        <f t="shared" si="196"/>
        <v>0</v>
      </c>
      <c r="BW166" s="1230">
        <f t="shared" si="196"/>
        <v>0</v>
      </c>
      <c r="BX166" s="1231">
        <f t="shared" si="196"/>
        <v>0</v>
      </c>
      <c r="CF166" s="68"/>
      <c r="CU166" s="896"/>
      <c r="CY166" s="831"/>
      <c r="CZ166" s="831"/>
      <c r="DA166" s="34"/>
      <c r="DB166" s="34"/>
      <c r="DC166" s="34"/>
      <c r="DD166" s="34"/>
      <c r="DE166" s="152"/>
      <c r="DF166" s="152"/>
      <c r="DG166" s="152"/>
      <c r="DH166" s="152"/>
      <c r="DI166" s="152"/>
      <c r="DJ166" s="152"/>
      <c r="DK166" s="152"/>
      <c r="DL166" s="152"/>
    </row>
    <row r="167" spans="1:116" x14ac:dyDescent="0.2">
      <c r="A167" s="1002">
        <f t="shared" si="178"/>
        <v>0.19</v>
      </c>
      <c r="B167" s="72">
        <f t="shared" si="189"/>
        <v>0.19</v>
      </c>
      <c r="C167" s="1437" t="str">
        <f t="shared" si="185"/>
        <v>Produktionsbedarf, geringwertige Wirtschaftsgüter</v>
      </c>
      <c r="D167" s="1438">
        <f t="shared" si="190"/>
        <v>0</v>
      </c>
      <c r="E167" s="1438">
        <f t="shared" si="184"/>
        <v>0</v>
      </c>
      <c r="F167" s="1430"/>
      <c r="G167" s="1430"/>
      <c r="H167" s="1439"/>
      <c r="I167" s="163"/>
      <c r="J167" s="148"/>
      <c r="K167" s="148"/>
      <c r="L167" s="148"/>
      <c r="M167" s="148"/>
      <c r="N167" s="148"/>
      <c r="O167" s="148"/>
      <c r="P167" s="148"/>
      <c r="Q167" s="1673"/>
      <c r="S167" s="1556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BA167" s="72">
        <f t="shared" si="191"/>
        <v>0.19</v>
      </c>
      <c r="BB167" s="1064" t="str">
        <f t="shared" si="176"/>
        <v>Materialaufwand zur Produktion (19%)</v>
      </c>
      <c r="BC167" s="1204">
        <f t="shared" si="192"/>
        <v>0</v>
      </c>
      <c r="BD167" s="1230">
        <f t="shared" si="193"/>
        <v>0</v>
      </c>
      <c r="BE167" s="1230">
        <f t="shared" si="193"/>
        <v>0</v>
      </c>
      <c r="BF167" s="1230">
        <f t="shared" si="193"/>
        <v>0</v>
      </c>
      <c r="BG167" s="1231">
        <f t="shared" si="193"/>
        <v>0</v>
      </c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72">
        <f t="shared" si="194"/>
        <v>0.19</v>
      </c>
      <c r="BS167" s="73" t="str">
        <f t="shared" si="177"/>
        <v>Materialaufwand zur Produktion (19%)</v>
      </c>
      <c r="BT167" s="1204">
        <f t="shared" si="195"/>
        <v>0</v>
      </c>
      <c r="BU167" s="1230">
        <f t="shared" si="196"/>
        <v>0</v>
      </c>
      <c r="BV167" s="1230">
        <f t="shared" si="196"/>
        <v>0</v>
      </c>
      <c r="BW167" s="1230">
        <f t="shared" si="196"/>
        <v>0</v>
      </c>
      <c r="BX167" s="1231">
        <f t="shared" si="196"/>
        <v>0</v>
      </c>
      <c r="CF167" s="68"/>
      <c r="CU167" s="909"/>
      <c r="CY167" s="152"/>
      <c r="CZ167" s="152"/>
      <c r="DA167" s="34"/>
      <c r="DB167" s="34"/>
      <c r="DC167" s="34"/>
      <c r="DD167" s="34"/>
      <c r="DE167" s="152"/>
      <c r="DF167" s="152"/>
      <c r="DG167" s="152"/>
      <c r="DH167" s="152"/>
      <c r="DI167" s="152"/>
      <c r="DJ167" s="152"/>
      <c r="DK167" s="152"/>
      <c r="DL167" s="152"/>
    </row>
    <row r="168" spans="1:116" x14ac:dyDescent="0.2">
      <c r="A168" s="1002">
        <f t="shared" si="178"/>
        <v>0.19</v>
      </c>
      <c r="B168" s="72">
        <f t="shared" si="189"/>
        <v>0.19</v>
      </c>
      <c r="C168" s="1437" t="str">
        <f t="shared" si="185"/>
        <v>Leasingraten für Produktionsanlagen, -maschinen</v>
      </c>
      <c r="D168" s="1438">
        <f t="shared" si="190"/>
        <v>0</v>
      </c>
      <c r="E168" s="1438">
        <f t="shared" si="184"/>
        <v>0</v>
      </c>
      <c r="F168" s="1430"/>
      <c r="G168" s="1430"/>
      <c r="H168" s="1439"/>
      <c r="I168" s="163"/>
      <c r="J168" s="148"/>
      <c r="K168" s="148"/>
      <c r="L168" s="148"/>
      <c r="M168" s="148"/>
      <c r="N168" s="148"/>
      <c r="O168" s="148"/>
      <c r="P168" s="148"/>
      <c r="Q168" s="1673"/>
      <c r="S168" s="1556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BA168" s="72">
        <f t="shared" si="191"/>
        <v>7.0000000000000007E-2</v>
      </c>
      <c r="BB168" s="1064" t="str">
        <f t="shared" si="176"/>
        <v>Materialaufwand zur Produktion (7%)</v>
      </c>
      <c r="BC168" s="1204">
        <f t="shared" si="192"/>
        <v>0</v>
      </c>
      <c r="BD168" s="1230">
        <f t="shared" si="193"/>
        <v>0</v>
      </c>
      <c r="BE168" s="1230">
        <f t="shared" si="193"/>
        <v>0</v>
      </c>
      <c r="BF168" s="1230">
        <f t="shared" si="193"/>
        <v>0</v>
      </c>
      <c r="BG168" s="1231">
        <f t="shared" si="193"/>
        <v>0</v>
      </c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72">
        <f t="shared" si="194"/>
        <v>7.0000000000000007E-2</v>
      </c>
      <c r="BS168" s="73" t="str">
        <f t="shared" si="177"/>
        <v>Materialaufwand zur Produktion (7%)</v>
      </c>
      <c r="BT168" s="1204">
        <f t="shared" si="195"/>
        <v>0</v>
      </c>
      <c r="BU168" s="1230">
        <f t="shared" si="196"/>
        <v>0</v>
      </c>
      <c r="BV168" s="1230">
        <f t="shared" si="196"/>
        <v>0</v>
      </c>
      <c r="BW168" s="1230">
        <f t="shared" si="196"/>
        <v>0</v>
      </c>
      <c r="BX168" s="1231">
        <f t="shared" si="196"/>
        <v>0</v>
      </c>
      <c r="CF168" s="68"/>
      <c r="CU168" s="905"/>
    </row>
    <row r="169" spans="1:116" x14ac:dyDescent="0.2">
      <c r="A169" s="1002">
        <f t="shared" si="178"/>
        <v>0.19</v>
      </c>
      <c r="B169" s="72">
        <f t="shared" si="189"/>
        <v>0.19</v>
      </c>
      <c r="C169" s="1437" t="str">
        <f t="shared" si="185"/>
        <v>Instandhaltung und Reparaturen</v>
      </c>
      <c r="D169" s="1438">
        <f t="shared" si="190"/>
        <v>0</v>
      </c>
      <c r="E169" s="1438">
        <f t="shared" si="184"/>
        <v>0</v>
      </c>
      <c r="F169" s="1430"/>
      <c r="G169" s="1430"/>
      <c r="H169" s="1439"/>
      <c r="I169" s="163"/>
      <c r="J169" s="148"/>
      <c r="K169" s="148"/>
      <c r="L169" s="148"/>
      <c r="M169" s="148"/>
      <c r="N169" s="148"/>
      <c r="O169" s="148"/>
      <c r="P169" s="148"/>
      <c r="Q169" s="1673"/>
      <c r="S169" s="1556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BA169" s="72">
        <f t="shared" si="191"/>
        <v>0.19</v>
      </c>
      <c r="BB169" s="1064" t="str">
        <f t="shared" si="176"/>
        <v>Produktionsbedarf, geringwertige Wirtschaftsgüter</v>
      </c>
      <c r="BC169" s="1204">
        <f t="shared" si="192"/>
        <v>0</v>
      </c>
      <c r="BD169" s="1230">
        <f t="shared" si="193"/>
        <v>0</v>
      </c>
      <c r="BE169" s="1230">
        <f t="shared" si="193"/>
        <v>0</v>
      </c>
      <c r="BF169" s="1230">
        <f t="shared" si="193"/>
        <v>0</v>
      </c>
      <c r="BG169" s="1231">
        <f t="shared" si="193"/>
        <v>0</v>
      </c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72">
        <f t="shared" si="194"/>
        <v>0.19</v>
      </c>
      <c r="BS169" s="73" t="str">
        <f t="shared" si="177"/>
        <v>Produktionsbedarf, geringwertige Wirtschaftsgüter</v>
      </c>
      <c r="BT169" s="1204">
        <f t="shared" si="195"/>
        <v>0</v>
      </c>
      <c r="BU169" s="1230">
        <f t="shared" si="196"/>
        <v>0</v>
      </c>
      <c r="BV169" s="1230">
        <f t="shared" si="196"/>
        <v>0</v>
      </c>
      <c r="BW169" s="1230">
        <f t="shared" si="196"/>
        <v>0</v>
      </c>
      <c r="BX169" s="1231">
        <f t="shared" si="196"/>
        <v>0</v>
      </c>
      <c r="CF169" s="68"/>
      <c r="CU169" s="906"/>
    </row>
    <row r="170" spans="1:116" x14ac:dyDescent="0.2">
      <c r="A170" s="1002">
        <f t="shared" si="178"/>
        <v>0.19</v>
      </c>
      <c r="B170" s="72">
        <f t="shared" si="189"/>
        <v>0.19</v>
      </c>
      <c r="C170" s="1440" t="str">
        <f t="shared" si="185"/>
        <v>Sonstiges</v>
      </c>
      <c r="D170" s="1441">
        <f t="shared" si="190"/>
        <v>0</v>
      </c>
      <c r="E170" s="1441">
        <f t="shared" si="184"/>
        <v>0</v>
      </c>
      <c r="F170" s="1433"/>
      <c r="G170" s="1433"/>
      <c r="H170" s="1442"/>
      <c r="I170" s="163"/>
      <c r="J170" s="148"/>
      <c r="K170" s="148"/>
      <c r="L170" s="148"/>
      <c r="M170" s="148"/>
      <c r="N170" s="148"/>
      <c r="O170" s="148"/>
      <c r="P170" s="148"/>
      <c r="Q170" s="1673"/>
      <c r="S170" s="1556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BA170" s="72">
        <f>AZ94</f>
        <v>0</v>
      </c>
      <c r="BB170" s="1064" t="str">
        <f t="shared" ref="BB170:BB214" si="197">BB94</f>
        <v>Leasingraten für Produktionsanlagen, -maschinen</v>
      </c>
      <c r="BC170" s="1205">
        <f t="shared" si="192"/>
        <v>0</v>
      </c>
      <c r="BD170" s="1230">
        <f t="shared" si="193"/>
        <v>0</v>
      </c>
      <c r="BE170" s="1230">
        <f t="shared" si="193"/>
        <v>0</v>
      </c>
      <c r="BF170" s="1230">
        <f t="shared" si="193"/>
        <v>0</v>
      </c>
      <c r="BG170" s="1231">
        <f t="shared" si="193"/>
        <v>0</v>
      </c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72">
        <f>BQ94</f>
        <v>0</v>
      </c>
      <c r="BS170" s="73" t="str">
        <f t="shared" ref="BS170:BS214" si="198">BS94</f>
        <v>Leasingraten für Produktionsanlagen, -maschinen</v>
      </c>
      <c r="BT170" s="1205">
        <f t="shared" si="195"/>
        <v>0</v>
      </c>
      <c r="BU170" s="1230">
        <f t="shared" si="196"/>
        <v>0</v>
      </c>
      <c r="BV170" s="1230">
        <f t="shared" si="196"/>
        <v>0</v>
      </c>
      <c r="BW170" s="1230">
        <f t="shared" si="196"/>
        <v>0</v>
      </c>
      <c r="BX170" s="1231">
        <f t="shared" si="196"/>
        <v>0</v>
      </c>
      <c r="CF170" s="68"/>
      <c r="CU170" s="876"/>
    </row>
    <row r="171" spans="1:116" ht="15" thickBot="1" x14ac:dyDescent="0.25">
      <c r="A171" s="1002"/>
      <c r="B171" s="1487"/>
      <c r="C171" s="1491" t="str">
        <f t="shared" si="185"/>
        <v>Summe Produktionskosten</v>
      </c>
      <c r="D171" s="1489">
        <f t="shared" si="190"/>
        <v>0</v>
      </c>
      <c r="E171" s="1489">
        <f t="shared" si="184"/>
        <v>0</v>
      </c>
      <c r="F171" s="1489">
        <f>SUM(F163:F170)</f>
        <v>0</v>
      </c>
      <c r="G171" s="1489">
        <f>SUM(G163:G170)</f>
        <v>0</v>
      </c>
      <c r="H171" s="1492">
        <f>SUM(H163:H170)</f>
        <v>0</v>
      </c>
      <c r="I171" s="163"/>
      <c r="J171" s="148"/>
      <c r="K171" s="148"/>
      <c r="L171" s="148"/>
      <c r="M171" s="148"/>
      <c r="N171" s="148"/>
      <c r="O171" s="148"/>
      <c r="P171" s="148"/>
      <c r="Q171" s="1589"/>
      <c r="S171" s="82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Z171" s="35" t="b">
        <f>IFERROR(OR(BO171,CF171),-1)</f>
        <v>0</v>
      </c>
      <c r="BA171" s="80"/>
      <c r="BB171" s="1068" t="str">
        <f t="shared" si="197"/>
        <v>Instandhaltung und Reparaturen</v>
      </c>
      <c r="BC171" s="1188">
        <f t="shared" si="192"/>
        <v>0</v>
      </c>
      <c r="BD171" s="1188">
        <f>SUM(BD163:BD170)</f>
        <v>0</v>
      </c>
      <c r="BE171" s="1188">
        <f>SUM(BE163:BE170)</f>
        <v>0</v>
      </c>
      <c r="BF171" s="1188">
        <f>SUM(BF163:BF170)</f>
        <v>0</v>
      </c>
      <c r="BG171" s="1208">
        <f>SUM(BG163:BG170)</f>
        <v>0</v>
      </c>
      <c r="BH171" s="68"/>
      <c r="BI171" s="68"/>
      <c r="BJ171" s="68"/>
      <c r="BK171" s="68"/>
      <c r="BL171" s="68"/>
      <c r="BM171" s="68"/>
      <c r="BN171" s="68"/>
      <c r="BO171" s="1595">
        <f>SUM(BC172:BN172)</f>
        <v>0</v>
      </c>
      <c r="BP171" s="68"/>
      <c r="BQ171" s="68"/>
      <c r="BR171" s="80"/>
      <c r="BS171" s="96" t="str">
        <f t="shared" si="198"/>
        <v>Instandhaltung und Reparaturen</v>
      </c>
      <c r="BT171" s="1188">
        <f t="shared" si="195"/>
        <v>0</v>
      </c>
      <c r="BU171" s="1188">
        <f t="shared" ref="BU171:BX171" si="199">SUM(BU163:BU170)</f>
        <v>0</v>
      </c>
      <c r="BV171" s="1188">
        <f t="shared" si="199"/>
        <v>0</v>
      </c>
      <c r="BW171" s="1188">
        <f t="shared" si="199"/>
        <v>0</v>
      </c>
      <c r="BX171" s="1208">
        <f t="shared" si="199"/>
        <v>0</v>
      </c>
      <c r="CF171" s="1595">
        <f>SUM(BT172:CE172)</f>
        <v>0</v>
      </c>
      <c r="CU171" s="876"/>
    </row>
    <row r="172" spans="1:116" ht="14.25" customHeight="1" x14ac:dyDescent="0.2">
      <c r="A172" s="1002"/>
      <c r="B172" s="141">
        <f>B24</f>
        <v>3</v>
      </c>
      <c r="C172" s="1067" t="str">
        <f t="shared" si="185"/>
        <v>Personalkosten (nur Angestellte)</v>
      </c>
      <c r="D172" s="1190"/>
      <c r="E172" s="1190"/>
      <c r="F172" s="1190"/>
      <c r="G172" s="1190"/>
      <c r="H172" s="1190"/>
      <c r="I172" s="163"/>
      <c r="J172" s="148"/>
      <c r="K172" s="148"/>
      <c r="L172" s="148"/>
      <c r="M172" s="148"/>
      <c r="N172" s="148"/>
      <c r="O172" s="148"/>
      <c r="P172" s="148"/>
      <c r="Q172" s="1593"/>
      <c r="S172" s="93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BA172" s="141">
        <v>3</v>
      </c>
      <c r="BB172" s="1067" t="str">
        <f t="shared" si="197"/>
        <v>Sonstiges</v>
      </c>
      <c r="BC172" s="1190"/>
      <c r="BD172" s="1190"/>
      <c r="BE172" s="1190"/>
      <c r="BF172" s="1190"/>
      <c r="BG172" s="1191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141">
        <v>3</v>
      </c>
      <c r="BS172" s="86" t="str">
        <f t="shared" si="198"/>
        <v>Sonstiges</v>
      </c>
      <c r="BT172" s="1190"/>
      <c r="BU172" s="1190"/>
      <c r="BV172" s="1190"/>
      <c r="BW172" s="1190"/>
      <c r="BX172" s="1191"/>
      <c r="CF172" s="68"/>
      <c r="CU172" s="876"/>
    </row>
    <row r="173" spans="1:116" x14ac:dyDescent="0.2">
      <c r="A173" s="1002">
        <f t="shared" si="178"/>
        <v>0</v>
      </c>
      <c r="B173" s="72">
        <f>B25</f>
        <v>0</v>
      </c>
      <c r="C173" s="1437" t="str">
        <f t="shared" si="185"/>
        <v>Löhne, Gehälter mit Nebenkosten (s. Nebenrechnung)</v>
      </c>
      <c r="D173" s="1438">
        <f>P25</f>
        <v>0</v>
      </c>
      <c r="E173" s="1438">
        <f t="shared" si="184"/>
        <v>0</v>
      </c>
      <c r="F173" s="1430"/>
      <c r="G173" s="1430"/>
      <c r="H173" s="1439"/>
      <c r="I173" s="163"/>
      <c r="J173" s="148"/>
      <c r="K173" s="148"/>
      <c r="L173" s="148"/>
      <c r="M173" s="148"/>
      <c r="N173" s="148"/>
      <c r="O173" s="148"/>
      <c r="P173" s="148"/>
      <c r="Q173" s="1593"/>
      <c r="S173" s="1556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BA173" s="72">
        <f>BA97</f>
        <v>0</v>
      </c>
      <c r="BB173" s="1064" t="str">
        <f t="shared" si="197"/>
        <v>Summe Produktionskosten</v>
      </c>
      <c r="BC173" s="1204">
        <f>BO97</f>
        <v>0</v>
      </c>
      <c r="BD173" s="1230">
        <f t="shared" ref="BD173:BG174" si="200">IF($A173=$Q$2,E173*IF(OR($D$4=0,$D$4=3),$A173,$A173/(1+$A173)),0)</f>
        <v>0</v>
      </c>
      <c r="BE173" s="1230">
        <f t="shared" si="200"/>
        <v>0</v>
      </c>
      <c r="BF173" s="1230">
        <f t="shared" si="200"/>
        <v>0</v>
      </c>
      <c r="BG173" s="1231">
        <f t="shared" si="200"/>
        <v>0</v>
      </c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72">
        <f>BR97</f>
        <v>0</v>
      </c>
      <c r="BS173" s="73" t="str">
        <f t="shared" si="198"/>
        <v>Summe Produktionskosten</v>
      </c>
      <c r="BT173" s="1204">
        <f>CF97</f>
        <v>0</v>
      </c>
      <c r="BU173" s="1230">
        <f t="shared" ref="BU173:BX174" si="201">IF($A173=$Q$3,E173*IF(OR($D$4=0,$D$4=3),$A173,$A173/(1+$A173)),0)</f>
        <v>0</v>
      </c>
      <c r="BV173" s="1230">
        <f t="shared" si="201"/>
        <v>0</v>
      </c>
      <c r="BW173" s="1230">
        <f t="shared" si="201"/>
        <v>0</v>
      </c>
      <c r="BX173" s="1231">
        <f t="shared" si="201"/>
        <v>0</v>
      </c>
      <c r="CF173" s="68"/>
      <c r="CU173" s="876"/>
    </row>
    <row r="174" spans="1:116" x14ac:dyDescent="0.2">
      <c r="A174" s="1002">
        <f t="shared" si="178"/>
        <v>0</v>
      </c>
      <c r="B174" s="72">
        <f>B26</f>
        <v>0</v>
      </c>
      <c r="C174" s="1440" t="str">
        <f t="shared" si="185"/>
        <v>Sonstiges</v>
      </c>
      <c r="D174" s="1441">
        <f>P26</f>
        <v>0</v>
      </c>
      <c r="E174" s="1441">
        <f t="shared" si="184"/>
        <v>0</v>
      </c>
      <c r="F174" s="1433"/>
      <c r="G174" s="1433"/>
      <c r="H174" s="1442"/>
      <c r="I174" s="163"/>
      <c r="J174" s="148"/>
      <c r="K174" s="148"/>
      <c r="L174" s="148"/>
      <c r="M174" s="148"/>
      <c r="N174" s="148"/>
      <c r="O174" s="148"/>
      <c r="P174" s="148"/>
      <c r="Q174" s="1593"/>
      <c r="S174" s="1556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BA174" s="72">
        <f>AZ98</f>
        <v>0</v>
      </c>
      <c r="BB174" s="1064" t="str">
        <f t="shared" si="197"/>
        <v>Personalkosten (nur Angestellte)</v>
      </c>
      <c r="BC174" s="1205">
        <f>BO98</f>
        <v>0</v>
      </c>
      <c r="BD174" s="1230">
        <f t="shared" si="200"/>
        <v>0</v>
      </c>
      <c r="BE174" s="1230">
        <f t="shared" si="200"/>
        <v>0</v>
      </c>
      <c r="BF174" s="1230">
        <f t="shared" si="200"/>
        <v>0</v>
      </c>
      <c r="BG174" s="1231">
        <f t="shared" si="200"/>
        <v>0</v>
      </c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72">
        <f>BQ98</f>
        <v>0</v>
      </c>
      <c r="BS174" s="73" t="str">
        <f t="shared" si="198"/>
        <v>Personalkosten (nur Angestellte)</v>
      </c>
      <c r="BT174" s="1205">
        <f>CF98</f>
        <v>0</v>
      </c>
      <c r="BU174" s="1230">
        <f t="shared" si="201"/>
        <v>0</v>
      </c>
      <c r="BV174" s="1230">
        <f t="shared" si="201"/>
        <v>0</v>
      </c>
      <c r="BW174" s="1230">
        <f t="shared" si="201"/>
        <v>0</v>
      </c>
      <c r="BX174" s="1231">
        <f t="shared" si="201"/>
        <v>0</v>
      </c>
      <c r="CF174" s="68"/>
      <c r="CU174" s="876"/>
    </row>
    <row r="175" spans="1:116" ht="15" thickBot="1" x14ac:dyDescent="0.25">
      <c r="A175" s="1002"/>
      <c r="B175" s="1487"/>
      <c r="C175" s="1491" t="str">
        <f t="shared" si="185"/>
        <v>Summe Personalkosten</v>
      </c>
      <c r="D175" s="1489">
        <f>P27</f>
        <v>0</v>
      </c>
      <c r="E175" s="1489">
        <f t="shared" si="184"/>
        <v>0</v>
      </c>
      <c r="F175" s="1489">
        <f>SUM(F173:F174)</f>
        <v>0</v>
      </c>
      <c r="G175" s="1489">
        <f>SUM(G173:G174)</f>
        <v>0</v>
      </c>
      <c r="H175" s="1492">
        <f>SUM(H173:H174)</f>
        <v>0</v>
      </c>
      <c r="I175" s="163"/>
      <c r="J175" s="148"/>
      <c r="K175" s="148"/>
      <c r="L175" s="148"/>
      <c r="M175" s="148"/>
      <c r="N175" s="148"/>
      <c r="O175" s="148"/>
      <c r="P175" s="148"/>
      <c r="Q175" s="1593"/>
      <c r="S175" s="82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Z175" s="35" t="b">
        <f>IFERROR(OR(BO175,CF175),-1)</f>
        <v>0</v>
      </c>
      <c r="BA175" s="80"/>
      <c r="BB175" s="1068" t="str">
        <f t="shared" si="197"/>
        <v>Löhne, Gehälter mit Nebenkosten (s. Nebenrechnung)</v>
      </c>
      <c r="BC175" s="1188">
        <f>BO99</f>
        <v>0</v>
      </c>
      <c r="BD175" s="1188">
        <f>SUM(BD173:BD174)</f>
        <v>0</v>
      </c>
      <c r="BE175" s="1188">
        <f>SUM(BE173:BE174)</f>
        <v>0</v>
      </c>
      <c r="BF175" s="1188">
        <f>SUM(BF173:BF174)</f>
        <v>0</v>
      </c>
      <c r="BG175" s="1208">
        <f>SUM(BG173:BG174)</f>
        <v>0</v>
      </c>
      <c r="BH175" s="68"/>
      <c r="BI175" s="68"/>
      <c r="BJ175" s="68"/>
      <c r="BK175" s="68"/>
      <c r="BL175" s="68"/>
      <c r="BM175" s="68"/>
      <c r="BN175" s="68"/>
      <c r="BO175" s="1595">
        <f t="shared" ref="BO175" si="202">SUM(BC175:BN175)</f>
        <v>0</v>
      </c>
      <c r="BP175" s="68"/>
      <c r="BQ175" s="68"/>
      <c r="BR175" s="80"/>
      <c r="BS175" s="96" t="str">
        <f t="shared" si="198"/>
        <v>Löhne, Gehälter mit Nebenkosten (s. Nebenrechnung)</v>
      </c>
      <c r="BT175" s="1188">
        <f>CF99</f>
        <v>0</v>
      </c>
      <c r="BU175" s="1188">
        <f t="shared" ref="BU175:BX175" si="203">SUM(BU173:BU174)</f>
        <v>0</v>
      </c>
      <c r="BV175" s="1188">
        <f t="shared" si="203"/>
        <v>0</v>
      </c>
      <c r="BW175" s="1188">
        <f t="shared" si="203"/>
        <v>0</v>
      </c>
      <c r="BX175" s="1208">
        <f t="shared" si="203"/>
        <v>0</v>
      </c>
      <c r="CF175" s="1595">
        <f t="shared" ref="CF175" si="204">SUM(BT175:CE175)</f>
        <v>0</v>
      </c>
      <c r="CU175" s="876"/>
    </row>
    <row r="176" spans="1:116" ht="14.25" customHeight="1" x14ac:dyDescent="0.2">
      <c r="A176" s="1002"/>
      <c r="B176" s="141">
        <f>B28</f>
        <v>4</v>
      </c>
      <c r="C176" s="1067" t="str">
        <f t="shared" si="185"/>
        <v>Reisekosten</v>
      </c>
      <c r="D176" s="1190"/>
      <c r="E176" s="1190"/>
      <c r="F176" s="1190"/>
      <c r="G176" s="1190"/>
      <c r="H176" s="1190"/>
      <c r="I176" s="163"/>
      <c r="J176" s="148"/>
      <c r="K176" s="148"/>
      <c r="L176" s="148"/>
      <c r="M176" s="148"/>
      <c r="N176" s="148"/>
      <c r="O176" s="148"/>
      <c r="P176" s="148"/>
      <c r="Q176" s="1589"/>
      <c r="S176" s="93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BA176" s="141">
        <v>4</v>
      </c>
      <c r="BB176" s="1067" t="str">
        <f t="shared" si="197"/>
        <v>Sonstiges</v>
      </c>
      <c r="BC176" s="1190"/>
      <c r="BD176" s="1190"/>
      <c r="BE176" s="1190"/>
      <c r="BF176" s="1190"/>
      <c r="BG176" s="1191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141">
        <v>4</v>
      </c>
      <c r="BS176" s="86" t="str">
        <f t="shared" si="198"/>
        <v>Sonstiges</v>
      </c>
      <c r="BT176" s="1190"/>
      <c r="BU176" s="1190"/>
      <c r="BV176" s="1190"/>
      <c r="BW176" s="1190"/>
      <c r="BX176" s="1191"/>
      <c r="CF176" s="68"/>
      <c r="CU176" s="876"/>
    </row>
    <row r="177" spans="1:99" ht="14.25" customHeight="1" x14ac:dyDescent="0.2">
      <c r="A177" s="1002">
        <f t="shared" si="178"/>
        <v>0.19</v>
      </c>
      <c r="B177" s="72">
        <f>B29</f>
        <v>0.19</v>
      </c>
      <c r="C177" s="1437" t="str">
        <f t="shared" si="185"/>
        <v>Fahrtkosten</v>
      </c>
      <c r="D177" s="1438">
        <f>P29</f>
        <v>0</v>
      </c>
      <c r="E177" s="1438">
        <f t="shared" si="184"/>
        <v>0</v>
      </c>
      <c r="F177" s="1430"/>
      <c r="G177" s="1430"/>
      <c r="H177" s="1439"/>
      <c r="I177" s="163"/>
      <c r="J177" s="148"/>
      <c r="K177" s="148"/>
      <c r="L177" s="148"/>
      <c r="M177" s="148"/>
      <c r="N177" s="148"/>
      <c r="O177" s="148"/>
      <c r="P177" s="148"/>
      <c r="Q177" s="1674" t="s">
        <v>796</v>
      </c>
      <c r="S177" s="1556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BA177" s="72">
        <f>BA101</f>
        <v>0</v>
      </c>
      <c r="BB177" s="1064" t="str">
        <f t="shared" si="197"/>
        <v>Summe Personalkosten</v>
      </c>
      <c r="BC177" s="1204">
        <f>BO101</f>
        <v>0</v>
      </c>
      <c r="BD177" s="1230">
        <f t="shared" ref="BD177:BG180" si="205">IF($A177=$Q$2,E177*IF(OR($D$4=0,$D$4=3),$A177,$A177/(1+$A177)),0)</f>
        <v>0</v>
      </c>
      <c r="BE177" s="1230">
        <f t="shared" si="205"/>
        <v>0</v>
      </c>
      <c r="BF177" s="1230">
        <f t="shared" si="205"/>
        <v>0</v>
      </c>
      <c r="BG177" s="1231">
        <f t="shared" si="205"/>
        <v>0</v>
      </c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72">
        <f>BR101</f>
        <v>0</v>
      </c>
      <c r="BS177" s="73" t="str">
        <f t="shared" si="198"/>
        <v>Summe Personalkosten</v>
      </c>
      <c r="BT177" s="1204">
        <f>CF101</f>
        <v>0</v>
      </c>
      <c r="BU177" s="1230">
        <f t="shared" ref="BU177:BX180" si="206">IF($A177=$Q$3,E177*IF(OR($D$4=0,$D$4=3),$A177,$A177/(1+$A177)),0)</f>
        <v>0</v>
      </c>
      <c r="BV177" s="1230">
        <f t="shared" si="206"/>
        <v>0</v>
      </c>
      <c r="BW177" s="1230">
        <f t="shared" si="206"/>
        <v>0</v>
      </c>
      <c r="BX177" s="1231">
        <f t="shared" si="206"/>
        <v>0</v>
      </c>
      <c r="CF177" s="68"/>
      <c r="CU177" s="906"/>
    </row>
    <row r="178" spans="1:99" x14ac:dyDescent="0.2">
      <c r="A178" s="1002">
        <f t="shared" si="178"/>
        <v>0.19</v>
      </c>
      <c r="B178" s="72">
        <f>B30</f>
        <v>0.19</v>
      </c>
      <c r="C178" s="1437" t="str">
        <f t="shared" si="185"/>
        <v>Reisekostenpauschalen</v>
      </c>
      <c r="D178" s="1438">
        <f>P30</f>
        <v>0</v>
      </c>
      <c r="E178" s="1438">
        <f t="shared" si="184"/>
        <v>0</v>
      </c>
      <c r="F178" s="1430"/>
      <c r="G178" s="1430"/>
      <c r="H178" s="1439"/>
      <c r="I178" s="163"/>
      <c r="J178" s="148"/>
      <c r="K178" s="148"/>
      <c r="L178" s="148"/>
      <c r="M178" s="148"/>
      <c r="N178" s="148"/>
      <c r="O178" s="148"/>
      <c r="P178" s="148"/>
      <c r="Q178" s="1674"/>
      <c r="S178" s="1556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BA178" s="72">
        <f>BA102</f>
        <v>4</v>
      </c>
      <c r="BB178" s="1064" t="str">
        <f t="shared" si="197"/>
        <v>Reisekosten</v>
      </c>
      <c r="BC178" s="1204">
        <f>BO102</f>
        <v>0</v>
      </c>
      <c r="BD178" s="1230">
        <f t="shared" si="205"/>
        <v>0</v>
      </c>
      <c r="BE178" s="1230">
        <f t="shared" si="205"/>
        <v>0</v>
      </c>
      <c r="BF178" s="1230">
        <f t="shared" si="205"/>
        <v>0</v>
      </c>
      <c r="BG178" s="1231">
        <f t="shared" si="205"/>
        <v>0</v>
      </c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72">
        <f>BR102</f>
        <v>4</v>
      </c>
      <c r="BS178" s="73" t="str">
        <f t="shared" si="198"/>
        <v>Reisekosten</v>
      </c>
      <c r="BT178" s="1204">
        <f>CF102</f>
        <v>0</v>
      </c>
      <c r="BU178" s="1230">
        <f t="shared" si="206"/>
        <v>0</v>
      </c>
      <c r="BV178" s="1230">
        <f t="shared" si="206"/>
        <v>0</v>
      </c>
      <c r="BW178" s="1230">
        <f t="shared" si="206"/>
        <v>0</v>
      </c>
      <c r="BX178" s="1231">
        <f t="shared" si="206"/>
        <v>0</v>
      </c>
      <c r="CF178" s="68"/>
      <c r="CU178" s="906"/>
    </row>
    <row r="179" spans="1:99" x14ac:dyDescent="0.2">
      <c r="A179" s="1002">
        <f t="shared" si="178"/>
        <v>7.0000000000000007E-2</v>
      </c>
      <c r="B179" s="72">
        <f>B31</f>
        <v>7.0000000000000007E-2</v>
      </c>
      <c r="C179" s="1437" t="str">
        <f t="shared" si="185"/>
        <v>Übernachtungen</v>
      </c>
      <c r="D179" s="1438">
        <f>P31</f>
        <v>0</v>
      </c>
      <c r="E179" s="1438">
        <f t="shared" si="184"/>
        <v>0</v>
      </c>
      <c r="F179" s="1430"/>
      <c r="G179" s="1430"/>
      <c r="H179" s="1439"/>
      <c r="I179" s="163"/>
      <c r="J179" s="148"/>
      <c r="K179" s="148"/>
      <c r="L179" s="148"/>
      <c r="M179" s="148"/>
      <c r="N179" s="148"/>
      <c r="O179" s="148"/>
      <c r="P179" s="148"/>
      <c r="Q179" s="1674"/>
      <c r="S179" s="1556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BA179" s="72">
        <f>BA103</f>
        <v>0.19</v>
      </c>
      <c r="BB179" s="1064" t="str">
        <f t="shared" si="197"/>
        <v>Fahrtkosten</v>
      </c>
      <c r="BC179" s="1204">
        <f>BO103</f>
        <v>0</v>
      </c>
      <c r="BD179" s="1230">
        <f t="shared" si="205"/>
        <v>0</v>
      </c>
      <c r="BE179" s="1230">
        <f t="shared" si="205"/>
        <v>0</v>
      </c>
      <c r="BF179" s="1230">
        <f t="shared" si="205"/>
        <v>0</v>
      </c>
      <c r="BG179" s="1231">
        <f t="shared" si="205"/>
        <v>0</v>
      </c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72">
        <f>BR103</f>
        <v>0.19</v>
      </c>
      <c r="BS179" s="73" t="str">
        <f t="shared" si="198"/>
        <v>Fahrtkosten</v>
      </c>
      <c r="BT179" s="1204">
        <f>CF103</f>
        <v>0</v>
      </c>
      <c r="BU179" s="1230">
        <f t="shared" si="206"/>
        <v>0</v>
      </c>
      <c r="BV179" s="1230">
        <f t="shared" si="206"/>
        <v>0</v>
      </c>
      <c r="BW179" s="1230">
        <f t="shared" si="206"/>
        <v>0</v>
      </c>
      <c r="BX179" s="1231">
        <f t="shared" si="206"/>
        <v>0</v>
      </c>
      <c r="CF179" s="68"/>
      <c r="CU179" s="906"/>
    </row>
    <row r="180" spans="1:99" x14ac:dyDescent="0.2">
      <c r="A180" s="1002">
        <f t="shared" si="178"/>
        <v>0.19</v>
      </c>
      <c r="B180" s="72">
        <f>B32</f>
        <v>0.19</v>
      </c>
      <c r="C180" s="1440" t="str">
        <f t="shared" si="185"/>
        <v>Sonstiges</v>
      </c>
      <c r="D180" s="1441">
        <f>P32</f>
        <v>0</v>
      </c>
      <c r="E180" s="1441">
        <f t="shared" si="184"/>
        <v>0</v>
      </c>
      <c r="F180" s="1433"/>
      <c r="G180" s="1433"/>
      <c r="H180" s="1442"/>
      <c r="I180" s="163"/>
      <c r="J180" s="148"/>
      <c r="K180" s="148"/>
      <c r="L180" s="148"/>
      <c r="M180" s="148"/>
      <c r="N180" s="148"/>
      <c r="O180" s="148"/>
      <c r="P180" s="148"/>
      <c r="Q180" s="1674"/>
      <c r="S180" s="1556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BA180" s="72">
        <f>AZ104</f>
        <v>0</v>
      </c>
      <c r="BB180" s="1064" t="str">
        <f t="shared" si="197"/>
        <v>Reisekostenpauschalen</v>
      </c>
      <c r="BC180" s="1205">
        <f>BO104</f>
        <v>0</v>
      </c>
      <c r="BD180" s="1230">
        <f t="shared" si="205"/>
        <v>0</v>
      </c>
      <c r="BE180" s="1230">
        <f t="shared" si="205"/>
        <v>0</v>
      </c>
      <c r="BF180" s="1230">
        <f t="shared" si="205"/>
        <v>0</v>
      </c>
      <c r="BG180" s="1231">
        <f t="shared" si="205"/>
        <v>0</v>
      </c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72">
        <f>BQ104</f>
        <v>0</v>
      </c>
      <c r="BS180" s="73" t="str">
        <f t="shared" si="198"/>
        <v>Reisekostenpauschalen</v>
      </c>
      <c r="BT180" s="1205">
        <f>CF104</f>
        <v>0</v>
      </c>
      <c r="BU180" s="1230">
        <f t="shared" si="206"/>
        <v>0</v>
      </c>
      <c r="BV180" s="1230">
        <f t="shared" si="206"/>
        <v>0</v>
      </c>
      <c r="BW180" s="1230">
        <f t="shared" si="206"/>
        <v>0</v>
      </c>
      <c r="BX180" s="1231">
        <f t="shared" si="206"/>
        <v>0</v>
      </c>
      <c r="CF180" s="68"/>
      <c r="CU180" s="906"/>
    </row>
    <row r="181" spans="1:99" ht="15" thickBot="1" x14ac:dyDescent="0.25">
      <c r="A181" s="1002"/>
      <c r="B181" s="1487"/>
      <c r="C181" s="1491" t="str">
        <f t="shared" si="185"/>
        <v>Summe Reisekosten</v>
      </c>
      <c r="D181" s="1489">
        <f>P33</f>
        <v>0</v>
      </c>
      <c r="E181" s="1489">
        <f t="shared" si="184"/>
        <v>0</v>
      </c>
      <c r="F181" s="1489">
        <f>SUM(F177:F180)</f>
        <v>0</v>
      </c>
      <c r="G181" s="1489">
        <f>SUM(G177:G180)</f>
        <v>0</v>
      </c>
      <c r="H181" s="1492">
        <f>SUM(H177:H180)</f>
        <v>0</v>
      </c>
      <c r="I181" s="163"/>
      <c r="J181" s="148"/>
      <c r="K181" s="148"/>
      <c r="L181" s="148"/>
      <c r="M181" s="148"/>
      <c r="N181" s="148"/>
      <c r="O181" s="148"/>
      <c r="P181" s="148"/>
      <c r="Q181" s="1590"/>
      <c r="S181" s="82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Z181" s="35" t="b">
        <f>IFERROR(OR(BO181,CF181),-1)</f>
        <v>0</v>
      </c>
      <c r="BA181" s="80"/>
      <c r="BB181" s="1068" t="str">
        <f t="shared" si="197"/>
        <v>Übernachtungen</v>
      </c>
      <c r="BC181" s="1188">
        <f>BO105</f>
        <v>0</v>
      </c>
      <c r="BD181" s="1188">
        <f>SUM(BD177:BD180)</f>
        <v>0</v>
      </c>
      <c r="BE181" s="1188">
        <f>SUM(BE177:BE180)</f>
        <v>0</v>
      </c>
      <c r="BF181" s="1188">
        <f>SUM(BF177:BF180)</f>
        <v>0</v>
      </c>
      <c r="BG181" s="1208">
        <f>SUM(BG177:BG180)</f>
        <v>0</v>
      </c>
      <c r="BH181" s="68"/>
      <c r="BI181" s="68"/>
      <c r="BJ181" s="68"/>
      <c r="BK181" s="68"/>
      <c r="BL181" s="68"/>
      <c r="BM181" s="68"/>
      <c r="BN181" s="68"/>
      <c r="BO181" s="1595">
        <f t="shared" ref="BO181" si="207">SUM(BC181:BN181)</f>
        <v>0</v>
      </c>
      <c r="BP181" s="68"/>
      <c r="BQ181" s="68"/>
      <c r="BR181" s="80"/>
      <c r="BS181" s="96" t="str">
        <f t="shared" si="198"/>
        <v>Übernachtungen</v>
      </c>
      <c r="BT181" s="1188">
        <f>CF105</f>
        <v>0</v>
      </c>
      <c r="BU181" s="1188">
        <f t="shared" ref="BU181:BX181" si="208">SUM(BU177:BU180)</f>
        <v>0</v>
      </c>
      <c r="BV181" s="1188">
        <f t="shared" si="208"/>
        <v>0</v>
      </c>
      <c r="BW181" s="1188">
        <f t="shared" si="208"/>
        <v>0</v>
      </c>
      <c r="BX181" s="1208">
        <f t="shared" si="208"/>
        <v>0</v>
      </c>
      <c r="CF181" s="1595">
        <f t="shared" ref="CF181" si="209">SUM(BT181:CE181)</f>
        <v>0</v>
      </c>
      <c r="CU181" s="906"/>
    </row>
    <row r="182" spans="1:99" ht="14.25" customHeight="1" x14ac:dyDescent="0.2">
      <c r="A182" s="1002"/>
      <c r="B182" s="141">
        <f>B34</f>
        <v>5</v>
      </c>
      <c r="C182" s="1067" t="str">
        <f t="shared" si="185"/>
        <v>Versicherungen und Beiträge (betrieblich!)</v>
      </c>
      <c r="D182" s="1190"/>
      <c r="E182" s="1190"/>
      <c r="F182" s="1190"/>
      <c r="G182" s="1190"/>
      <c r="H182" s="1190"/>
      <c r="I182" s="163"/>
      <c r="J182" s="148"/>
      <c r="K182" s="148"/>
      <c r="L182" s="148"/>
      <c r="M182" s="148"/>
      <c r="N182" s="148"/>
      <c r="O182" s="148"/>
      <c r="P182" s="148"/>
      <c r="Q182" s="145"/>
      <c r="S182" s="93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BA182" s="141">
        <v>5</v>
      </c>
      <c r="BB182" s="1067" t="str">
        <f t="shared" si="197"/>
        <v>Sonstiges</v>
      </c>
      <c r="BC182" s="1190"/>
      <c r="BD182" s="1190"/>
      <c r="BE182" s="1190"/>
      <c r="BF182" s="1190"/>
      <c r="BG182" s="1191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141">
        <v>5</v>
      </c>
      <c r="BS182" s="86" t="str">
        <f t="shared" si="198"/>
        <v>Sonstiges</v>
      </c>
      <c r="BT182" s="1190"/>
      <c r="BU182" s="1190"/>
      <c r="BV182" s="1190"/>
      <c r="BW182" s="1190"/>
      <c r="BX182" s="1191"/>
      <c r="CF182" s="68"/>
      <c r="CU182" s="906"/>
    </row>
    <row r="183" spans="1:99" ht="14.25" customHeight="1" x14ac:dyDescent="0.2">
      <c r="A183" s="1002">
        <f t="shared" si="178"/>
        <v>0.19</v>
      </c>
      <c r="B183" s="72">
        <f>B35</f>
        <v>0.19</v>
      </c>
      <c r="C183" s="1437" t="str">
        <f t="shared" si="185"/>
        <v>Haftpflicht</v>
      </c>
      <c r="D183" s="1438">
        <f>P35</f>
        <v>0</v>
      </c>
      <c r="E183" s="1438">
        <f t="shared" si="184"/>
        <v>0</v>
      </c>
      <c r="F183" s="1430"/>
      <c r="G183" s="1430"/>
      <c r="H183" s="1439"/>
      <c r="I183" s="163"/>
      <c r="J183" s="148"/>
      <c r="K183" s="148"/>
      <c r="L183" s="148"/>
      <c r="M183" s="148"/>
      <c r="N183" s="148"/>
      <c r="O183" s="148"/>
      <c r="P183" s="148"/>
      <c r="Q183" s="1674" t="s">
        <v>796</v>
      </c>
      <c r="S183" s="1556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BA183" s="72">
        <f>BA107</f>
        <v>0</v>
      </c>
      <c r="BB183" s="1064" t="str">
        <f t="shared" si="197"/>
        <v>Summe Reisekosten</v>
      </c>
      <c r="BC183" s="1204">
        <f>BO107</f>
        <v>0</v>
      </c>
      <c r="BD183" s="1230">
        <f t="shared" ref="BD183:BG186" si="210">IF($A183=$Q$2,E183*IF(OR($D$4=0,$D$4=3),$A183,$A183/(1+$A183)),0)</f>
        <v>0</v>
      </c>
      <c r="BE183" s="1230">
        <f t="shared" si="210"/>
        <v>0</v>
      </c>
      <c r="BF183" s="1230">
        <f t="shared" si="210"/>
        <v>0</v>
      </c>
      <c r="BG183" s="1231">
        <f t="shared" si="210"/>
        <v>0</v>
      </c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72">
        <f>BR107</f>
        <v>0</v>
      </c>
      <c r="BS183" s="73" t="str">
        <f t="shared" si="198"/>
        <v>Summe Reisekosten</v>
      </c>
      <c r="BT183" s="1204">
        <f>CF107</f>
        <v>0</v>
      </c>
      <c r="BU183" s="1230">
        <f t="shared" ref="BU183:BX186" si="211">IF($A183=$Q$3,E183*IF(OR($D$4=0,$D$4=3),$A183,$A183/(1+$A183)),0)</f>
        <v>0</v>
      </c>
      <c r="BV183" s="1230">
        <f t="shared" si="211"/>
        <v>0</v>
      </c>
      <c r="BW183" s="1230">
        <f t="shared" si="211"/>
        <v>0</v>
      </c>
      <c r="BX183" s="1231">
        <f t="shared" si="211"/>
        <v>0</v>
      </c>
      <c r="CF183" s="68"/>
      <c r="CU183" s="906"/>
    </row>
    <row r="184" spans="1:99" x14ac:dyDescent="0.2">
      <c r="A184" s="1002">
        <f t="shared" si="178"/>
        <v>0.19</v>
      </c>
      <c r="B184" s="72">
        <f>B36</f>
        <v>0.19</v>
      </c>
      <c r="C184" s="1437" t="str">
        <f t="shared" si="185"/>
        <v>Rechtschutzversicherung</v>
      </c>
      <c r="D184" s="1438">
        <f>P36</f>
        <v>0</v>
      </c>
      <c r="E184" s="1438">
        <f t="shared" si="184"/>
        <v>0</v>
      </c>
      <c r="F184" s="1430"/>
      <c r="G184" s="1430"/>
      <c r="H184" s="1439"/>
      <c r="I184" s="163"/>
      <c r="J184" s="148"/>
      <c r="K184" s="148"/>
      <c r="L184" s="148"/>
      <c r="M184" s="148"/>
      <c r="N184" s="148"/>
      <c r="O184" s="148"/>
      <c r="P184" s="148"/>
      <c r="Q184" s="1674"/>
      <c r="S184" s="1556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BA184" s="72">
        <f>BA108</f>
        <v>5</v>
      </c>
      <c r="BB184" s="1064" t="str">
        <f t="shared" si="197"/>
        <v>Versicherungen und Beiträge (betrieblich!)</v>
      </c>
      <c r="BC184" s="1204">
        <f>BO108</f>
        <v>0</v>
      </c>
      <c r="BD184" s="1230">
        <f t="shared" si="210"/>
        <v>0</v>
      </c>
      <c r="BE184" s="1230">
        <f t="shared" si="210"/>
        <v>0</v>
      </c>
      <c r="BF184" s="1230">
        <f t="shared" si="210"/>
        <v>0</v>
      </c>
      <c r="BG184" s="1231">
        <f t="shared" si="210"/>
        <v>0</v>
      </c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72">
        <f>BR108</f>
        <v>5</v>
      </c>
      <c r="BS184" s="73" t="str">
        <f t="shared" si="198"/>
        <v>Versicherungen und Beiträge (betrieblich!)</v>
      </c>
      <c r="BT184" s="1204">
        <f>CF108</f>
        <v>0</v>
      </c>
      <c r="BU184" s="1230">
        <f t="shared" si="211"/>
        <v>0</v>
      </c>
      <c r="BV184" s="1230">
        <f t="shared" si="211"/>
        <v>0</v>
      </c>
      <c r="BW184" s="1230">
        <f t="shared" si="211"/>
        <v>0</v>
      </c>
      <c r="BX184" s="1231">
        <f t="shared" si="211"/>
        <v>0</v>
      </c>
      <c r="CF184" s="68"/>
      <c r="CU184" s="906"/>
    </row>
    <row r="185" spans="1:99" x14ac:dyDescent="0.2">
      <c r="A185" s="1002">
        <f t="shared" si="178"/>
        <v>0.19</v>
      </c>
      <c r="B185" s="72">
        <f>B37</f>
        <v>0.19</v>
      </c>
      <c r="C185" s="1437" t="str">
        <f t="shared" si="185"/>
        <v>Beiträge (IHK, Berufsverbände, ...)</v>
      </c>
      <c r="D185" s="1438">
        <f>P37</f>
        <v>0</v>
      </c>
      <c r="E185" s="1438">
        <f t="shared" si="184"/>
        <v>0</v>
      </c>
      <c r="F185" s="1430"/>
      <c r="G185" s="1430"/>
      <c r="H185" s="1439"/>
      <c r="I185" s="163"/>
      <c r="J185" s="148"/>
      <c r="K185" s="148"/>
      <c r="L185" s="148"/>
      <c r="M185" s="148"/>
      <c r="N185" s="148"/>
      <c r="O185" s="148"/>
      <c r="P185" s="148"/>
      <c r="Q185" s="1674"/>
      <c r="S185" s="1556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BA185" s="72">
        <f>BA109</f>
        <v>0.19</v>
      </c>
      <c r="BB185" s="1064" t="str">
        <f t="shared" si="197"/>
        <v>Haftpflicht</v>
      </c>
      <c r="BC185" s="1204">
        <f>BO109</f>
        <v>0</v>
      </c>
      <c r="BD185" s="1230">
        <f t="shared" si="210"/>
        <v>0</v>
      </c>
      <c r="BE185" s="1230">
        <f t="shared" si="210"/>
        <v>0</v>
      </c>
      <c r="BF185" s="1230">
        <f t="shared" si="210"/>
        <v>0</v>
      </c>
      <c r="BG185" s="1231">
        <f t="shared" si="210"/>
        <v>0</v>
      </c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72">
        <f>BR109</f>
        <v>0.19</v>
      </c>
      <c r="BS185" s="73" t="str">
        <f t="shared" si="198"/>
        <v>Haftpflicht</v>
      </c>
      <c r="BT185" s="1204">
        <f>CF109</f>
        <v>0</v>
      </c>
      <c r="BU185" s="1230">
        <f t="shared" si="211"/>
        <v>0</v>
      </c>
      <c r="BV185" s="1230">
        <f t="shared" si="211"/>
        <v>0</v>
      </c>
      <c r="BW185" s="1230">
        <f t="shared" si="211"/>
        <v>0</v>
      </c>
      <c r="BX185" s="1231">
        <f t="shared" si="211"/>
        <v>0</v>
      </c>
      <c r="CF185" s="68"/>
      <c r="CU185" s="906"/>
    </row>
    <row r="186" spans="1:99" x14ac:dyDescent="0.2">
      <c r="A186" s="1002">
        <f t="shared" si="178"/>
        <v>0.19</v>
      </c>
      <c r="B186" s="72">
        <f>B38</f>
        <v>0.19</v>
      </c>
      <c r="C186" s="1440" t="str">
        <f t="shared" si="185"/>
        <v>Sonstiges</v>
      </c>
      <c r="D186" s="1441">
        <f>P38</f>
        <v>0</v>
      </c>
      <c r="E186" s="1441">
        <f t="shared" si="184"/>
        <v>0</v>
      </c>
      <c r="F186" s="1433"/>
      <c r="G186" s="1433"/>
      <c r="H186" s="1442"/>
      <c r="I186" s="163"/>
      <c r="J186" s="148"/>
      <c r="K186" s="148"/>
      <c r="L186" s="148"/>
      <c r="M186" s="148"/>
      <c r="N186" s="148"/>
      <c r="O186" s="148"/>
      <c r="P186" s="148"/>
      <c r="Q186" s="1674"/>
      <c r="S186" s="1556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BA186" s="72">
        <f>AZ110</f>
        <v>0</v>
      </c>
      <c r="BB186" s="1064" t="str">
        <f t="shared" si="197"/>
        <v>Rechtschutzversicherung</v>
      </c>
      <c r="BC186" s="1204">
        <f>BO110</f>
        <v>0</v>
      </c>
      <c r="BD186" s="1230">
        <f t="shared" si="210"/>
        <v>0</v>
      </c>
      <c r="BE186" s="1230">
        <f t="shared" si="210"/>
        <v>0</v>
      </c>
      <c r="BF186" s="1230">
        <f t="shared" si="210"/>
        <v>0</v>
      </c>
      <c r="BG186" s="1231">
        <f t="shared" si="210"/>
        <v>0</v>
      </c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72">
        <f>BQ110</f>
        <v>0</v>
      </c>
      <c r="BS186" s="73" t="str">
        <f t="shared" si="198"/>
        <v>Rechtschutzversicherung</v>
      </c>
      <c r="BT186" s="1204">
        <f>CF110</f>
        <v>0</v>
      </c>
      <c r="BU186" s="1230">
        <f t="shared" si="211"/>
        <v>0</v>
      </c>
      <c r="BV186" s="1230">
        <f t="shared" si="211"/>
        <v>0</v>
      </c>
      <c r="BW186" s="1230">
        <f t="shared" si="211"/>
        <v>0</v>
      </c>
      <c r="BX186" s="1231">
        <f t="shared" si="211"/>
        <v>0</v>
      </c>
      <c r="CF186" s="68"/>
      <c r="CU186" s="906"/>
    </row>
    <row r="187" spans="1:99" ht="15" thickBot="1" x14ac:dyDescent="0.25">
      <c r="A187" s="1002"/>
      <c r="B187" s="1487"/>
      <c r="C187" s="1491" t="str">
        <f t="shared" si="185"/>
        <v>Summe Versicherungen und Beiträge (betrieblich!)</v>
      </c>
      <c r="D187" s="1489">
        <f>P39</f>
        <v>0</v>
      </c>
      <c r="E187" s="1489">
        <f t="shared" si="184"/>
        <v>0</v>
      </c>
      <c r="F187" s="1489">
        <f>SUM(F183:F186)</f>
        <v>0</v>
      </c>
      <c r="G187" s="1489">
        <f>SUM(G183:G186)</f>
        <v>0</v>
      </c>
      <c r="H187" s="1492">
        <f>SUM(H183:H186)</f>
        <v>0</v>
      </c>
      <c r="I187" s="163"/>
      <c r="J187" s="148"/>
      <c r="K187" s="148"/>
      <c r="L187" s="148"/>
      <c r="M187" s="148"/>
      <c r="N187" s="148"/>
      <c r="O187" s="148"/>
      <c r="P187" s="148"/>
      <c r="Q187" s="1590"/>
      <c r="S187" s="1556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Z187" s="35" t="b">
        <f>IFERROR(OR(BO187,CF187),-1)</f>
        <v>0</v>
      </c>
      <c r="BA187" s="132">
        <f>BA116</f>
        <v>0.19</v>
      </c>
      <c r="BB187" s="1068" t="str">
        <f t="shared" si="197"/>
        <v>Beiträge (IHK, Berufsverbände, ...)</v>
      </c>
      <c r="BC187" s="1188">
        <f>BO111</f>
        <v>0</v>
      </c>
      <c r="BD187" s="1188">
        <f>SUM(BD183:BD186)</f>
        <v>0</v>
      </c>
      <c r="BE187" s="1188">
        <f>SUM(BE183:BE186)</f>
        <v>0</v>
      </c>
      <c r="BF187" s="1188">
        <f>SUM(BF183:BF186)</f>
        <v>0</v>
      </c>
      <c r="BG187" s="1208">
        <f>SUM(BG183:BG186)</f>
        <v>0</v>
      </c>
      <c r="BH187" s="68"/>
      <c r="BI187" s="68"/>
      <c r="BJ187" s="68"/>
      <c r="BK187" s="68"/>
      <c r="BL187" s="68"/>
      <c r="BM187" s="68"/>
      <c r="BN187" s="68"/>
      <c r="BO187" s="1595">
        <f t="shared" ref="BO187" si="212">SUM(BC187:BN187)</f>
        <v>0</v>
      </c>
      <c r="BP187" s="68"/>
      <c r="BQ187" s="68"/>
      <c r="BR187" s="132">
        <f>BR116</f>
        <v>0.19</v>
      </c>
      <c r="BS187" s="96" t="str">
        <f t="shared" si="198"/>
        <v>Beiträge (IHK, Berufsverbände, ...)</v>
      </c>
      <c r="BT187" s="1188">
        <f>CF111</f>
        <v>0</v>
      </c>
      <c r="BU187" s="1188">
        <f t="shared" ref="BU187:BX187" si="213">SUM(BU183:BU186)</f>
        <v>0</v>
      </c>
      <c r="BV187" s="1188">
        <f t="shared" si="213"/>
        <v>0</v>
      </c>
      <c r="BW187" s="1188">
        <f t="shared" si="213"/>
        <v>0</v>
      </c>
      <c r="BX187" s="1208">
        <f t="shared" si="213"/>
        <v>0</v>
      </c>
      <c r="CF187" s="1595">
        <f t="shared" ref="CF187" si="214">SUM(BT187:CE187)</f>
        <v>0</v>
      </c>
      <c r="CU187" s="906"/>
    </row>
    <row r="188" spans="1:99" ht="14.25" customHeight="1" x14ac:dyDescent="0.2">
      <c r="A188" s="1002"/>
      <c r="B188" s="141">
        <f t="shared" ref="B188:B193" si="215">B40</f>
        <v>6</v>
      </c>
      <c r="C188" s="1065" t="str">
        <f t="shared" si="185"/>
        <v>KFZ Kosten / Betriebliche Nutzung</v>
      </c>
      <c r="D188" s="1190"/>
      <c r="E188" s="1190"/>
      <c r="F188" s="1190"/>
      <c r="G188" s="1190"/>
      <c r="H188" s="1190"/>
      <c r="I188" s="163"/>
      <c r="J188" s="148"/>
      <c r="K188" s="148"/>
      <c r="L188" s="148"/>
      <c r="M188" s="148"/>
      <c r="N188" s="148"/>
      <c r="O188" s="148"/>
      <c r="P188" s="148"/>
      <c r="Q188" s="145"/>
      <c r="S188" s="82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BA188" s="141">
        <v>6</v>
      </c>
      <c r="BB188" s="1065" t="str">
        <f t="shared" si="197"/>
        <v>Sonstiges</v>
      </c>
      <c r="BC188" s="1190"/>
      <c r="BD188" s="1190"/>
      <c r="BE188" s="1190"/>
      <c r="BF188" s="1190"/>
      <c r="BG188" s="1191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141">
        <v>6</v>
      </c>
      <c r="BS188" s="63" t="str">
        <f t="shared" si="198"/>
        <v>Sonstiges</v>
      </c>
      <c r="BT188" s="1190"/>
      <c r="BU188" s="1190"/>
      <c r="BV188" s="1190"/>
      <c r="BW188" s="1190"/>
      <c r="BX188" s="1191"/>
      <c r="CF188" s="68"/>
      <c r="CU188" s="906"/>
    </row>
    <row r="189" spans="1:99" ht="14.25" customHeight="1" x14ac:dyDescent="0.2">
      <c r="A189" s="1002">
        <f t="shared" ref="A189:A213" si="216">A41</f>
        <v>0.19</v>
      </c>
      <c r="B189" s="72">
        <f t="shared" si="215"/>
        <v>0.19</v>
      </c>
      <c r="C189" s="1437" t="str">
        <f t="shared" si="185"/>
        <v>Leasingraten Kfz</v>
      </c>
      <c r="D189" s="1438">
        <f t="shared" ref="D189:D194" si="217">P41</f>
        <v>0</v>
      </c>
      <c r="E189" s="1438">
        <f t="shared" si="184"/>
        <v>0</v>
      </c>
      <c r="F189" s="1430"/>
      <c r="G189" s="1430"/>
      <c r="H189" s="1439"/>
      <c r="I189" s="163"/>
      <c r="J189" s="148"/>
      <c r="K189" s="148"/>
      <c r="L189" s="148"/>
      <c r="M189" s="148"/>
      <c r="N189" s="148"/>
      <c r="O189" s="148"/>
      <c r="P189" s="148"/>
      <c r="Q189" s="1673" t="s">
        <v>796</v>
      </c>
      <c r="S189" s="1556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BA189" s="72">
        <f>BA113</f>
        <v>0</v>
      </c>
      <c r="BB189" s="1064" t="str">
        <f t="shared" si="197"/>
        <v>Summe Versicherungen und Beiträge (betrieblich!)</v>
      </c>
      <c r="BC189" s="1204">
        <f t="shared" ref="BC189:BC194" si="218">BO113</f>
        <v>0</v>
      </c>
      <c r="BD189" s="1230">
        <f t="shared" ref="BD189:BG193" si="219">IF($A189=$Q$2,E189*IF(OR($D$4=0,$D$4=3),$A189,$A189/(1+$A189)),0)</f>
        <v>0</v>
      </c>
      <c r="BE189" s="1230">
        <f t="shared" si="219"/>
        <v>0</v>
      </c>
      <c r="BF189" s="1230">
        <f t="shared" si="219"/>
        <v>0</v>
      </c>
      <c r="BG189" s="1231">
        <f t="shared" si="219"/>
        <v>0</v>
      </c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72">
        <f>BR113</f>
        <v>0</v>
      </c>
      <c r="BS189" s="73" t="str">
        <f t="shared" si="198"/>
        <v>Summe Versicherungen und Beiträge (betrieblich!)</v>
      </c>
      <c r="BT189" s="1204">
        <f t="shared" ref="BT189:BT194" si="220">CF113</f>
        <v>0</v>
      </c>
      <c r="BU189" s="1230">
        <f t="shared" ref="BU189:BX193" si="221">IF($A189=$Q$3,E189*IF(OR($D$4=0,$D$4=3),$A189,$A189/(1+$A189)),0)</f>
        <v>0</v>
      </c>
      <c r="BV189" s="1230">
        <f t="shared" si="221"/>
        <v>0</v>
      </c>
      <c r="BW189" s="1230">
        <f t="shared" si="221"/>
        <v>0</v>
      </c>
      <c r="BX189" s="1231">
        <f t="shared" si="221"/>
        <v>0</v>
      </c>
      <c r="CF189" s="68"/>
      <c r="CU189" s="876"/>
    </row>
    <row r="190" spans="1:99" x14ac:dyDescent="0.2">
      <c r="A190" s="1002">
        <f t="shared" si="216"/>
        <v>0.19</v>
      </c>
      <c r="B190" s="72">
        <f t="shared" si="215"/>
        <v>0.19</v>
      </c>
      <c r="C190" s="1437" t="str">
        <f t="shared" si="185"/>
        <v>Versicherungen/Kfz-Steuer</v>
      </c>
      <c r="D190" s="1438">
        <f t="shared" si="217"/>
        <v>0</v>
      </c>
      <c r="E190" s="1438">
        <f t="shared" si="184"/>
        <v>0</v>
      </c>
      <c r="F190" s="1430"/>
      <c r="G190" s="1430"/>
      <c r="H190" s="1439"/>
      <c r="I190" s="163"/>
      <c r="J190" s="148"/>
      <c r="K190" s="148"/>
      <c r="L190" s="148"/>
      <c r="M190" s="148"/>
      <c r="N190" s="148"/>
      <c r="O190" s="148"/>
      <c r="P190" s="148"/>
      <c r="Q190" s="1673"/>
      <c r="S190" s="1556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BA190" s="72">
        <f>BA114</f>
        <v>6</v>
      </c>
      <c r="BB190" s="1064" t="str">
        <f t="shared" si="197"/>
        <v>KFZ Kosten / Betriebliche Nutzung</v>
      </c>
      <c r="BC190" s="1204">
        <f t="shared" si="218"/>
        <v>0</v>
      </c>
      <c r="BD190" s="1230">
        <f t="shared" si="219"/>
        <v>0</v>
      </c>
      <c r="BE190" s="1230">
        <f t="shared" si="219"/>
        <v>0</v>
      </c>
      <c r="BF190" s="1230">
        <f t="shared" si="219"/>
        <v>0</v>
      </c>
      <c r="BG190" s="1231">
        <f t="shared" si="219"/>
        <v>0</v>
      </c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72">
        <f>BR114</f>
        <v>6</v>
      </c>
      <c r="BS190" s="73" t="str">
        <f t="shared" si="198"/>
        <v>KFZ Kosten / Betriebliche Nutzung</v>
      </c>
      <c r="BT190" s="1204">
        <f t="shared" si="220"/>
        <v>0</v>
      </c>
      <c r="BU190" s="1230">
        <f t="shared" si="221"/>
        <v>0</v>
      </c>
      <c r="BV190" s="1230">
        <f t="shared" si="221"/>
        <v>0</v>
      </c>
      <c r="BW190" s="1230">
        <f t="shared" si="221"/>
        <v>0</v>
      </c>
      <c r="BX190" s="1231">
        <f t="shared" si="221"/>
        <v>0</v>
      </c>
      <c r="CF190" s="68"/>
      <c r="CU190" s="876"/>
    </row>
    <row r="191" spans="1:99" x14ac:dyDescent="0.2">
      <c r="A191" s="1002">
        <f t="shared" si="216"/>
        <v>0.19</v>
      </c>
      <c r="B191" s="72">
        <f t="shared" si="215"/>
        <v>0.19</v>
      </c>
      <c r="C191" s="1437" t="str">
        <f t="shared" si="185"/>
        <v>Fahrzeugkosten (Tanken und Reparatur)</v>
      </c>
      <c r="D191" s="1438">
        <f t="shared" si="217"/>
        <v>0</v>
      </c>
      <c r="E191" s="1438">
        <f t="shared" si="184"/>
        <v>0</v>
      </c>
      <c r="F191" s="1430"/>
      <c r="G191" s="1430"/>
      <c r="H191" s="1439"/>
      <c r="I191" s="163"/>
      <c r="J191" s="148"/>
      <c r="K191" s="148"/>
      <c r="L191" s="148"/>
      <c r="M191" s="148"/>
      <c r="N191" s="148"/>
      <c r="O191" s="148"/>
      <c r="P191" s="148"/>
      <c r="Q191" s="1673"/>
      <c r="S191" s="1556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BA191" s="72">
        <f>BA115</f>
        <v>0.19</v>
      </c>
      <c r="BB191" s="1064" t="str">
        <f t="shared" si="197"/>
        <v>Leasingraten Kfz</v>
      </c>
      <c r="BC191" s="1204">
        <f t="shared" si="218"/>
        <v>0</v>
      </c>
      <c r="BD191" s="1230">
        <f t="shared" si="219"/>
        <v>0</v>
      </c>
      <c r="BE191" s="1230">
        <f t="shared" si="219"/>
        <v>0</v>
      </c>
      <c r="BF191" s="1230">
        <f t="shared" si="219"/>
        <v>0</v>
      </c>
      <c r="BG191" s="1231">
        <f t="shared" si="219"/>
        <v>0</v>
      </c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72">
        <f>BR115</f>
        <v>0.19</v>
      </c>
      <c r="BS191" s="73" t="str">
        <f t="shared" si="198"/>
        <v>Leasingraten Kfz</v>
      </c>
      <c r="BT191" s="1204">
        <f t="shared" si="220"/>
        <v>0</v>
      </c>
      <c r="BU191" s="1230">
        <f t="shared" si="221"/>
        <v>0</v>
      </c>
      <c r="BV191" s="1230">
        <f t="shared" si="221"/>
        <v>0</v>
      </c>
      <c r="BW191" s="1230">
        <f t="shared" si="221"/>
        <v>0</v>
      </c>
      <c r="BX191" s="1231">
        <f t="shared" si="221"/>
        <v>0</v>
      </c>
      <c r="CF191" s="68"/>
      <c r="CU191" s="876"/>
    </row>
    <row r="192" spans="1:99" x14ac:dyDescent="0.2">
      <c r="A192" s="1002">
        <f t="shared" si="216"/>
        <v>0</v>
      </c>
      <c r="B192" s="72">
        <f t="shared" si="215"/>
        <v>0</v>
      </c>
      <c r="C192" s="1437" t="str">
        <f t="shared" si="185"/>
        <v>Abrechenbare Kilometerkosten</v>
      </c>
      <c r="D192" s="1438">
        <f t="shared" si="217"/>
        <v>0</v>
      </c>
      <c r="E192" s="1438">
        <f t="shared" si="184"/>
        <v>0</v>
      </c>
      <c r="F192" s="1430"/>
      <c r="G192" s="1430"/>
      <c r="H192" s="1439"/>
      <c r="I192" s="163"/>
      <c r="J192" s="148"/>
      <c r="K192" s="148"/>
      <c r="L192" s="148"/>
      <c r="M192" s="148"/>
      <c r="N192" s="148"/>
      <c r="O192" s="148"/>
      <c r="P192" s="148"/>
      <c r="Q192" s="1673"/>
      <c r="S192" s="1556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BA192" s="72">
        <f>BA116</f>
        <v>0.19</v>
      </c>
      <c r="BB192" s="1064" t="str">
        <f t="shared" si="197"/>
        <v>Versicherungen/Kfz-Steuer</v>
      </c>
      <c r="BC192" s="1204">
        <f t="shared" si="218"/>
        <v>0</v>
      </c>
      <c r="BD192" s="1230">
        <f t="shared" si="219"/>
        <v>0</v>
      </c>
      <c r="BE192" s="1230">
        <f t="shared" si="219"/>
        <v>0</v>
      </c>
      <c r="BF192" s="1230">
        <f t="shared" si="219"/>
        <v>0</v>
      </c>
      <c r="BG192" s="1231">
        <f t="shared" si="219"/>
        <v>0</v>
      </c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72">
        <f>BR116</f>
        <v>0.19</v>
      </c>
      <c r="BS192" s="73" t="str">
        <f t="shared" si="198"/>
        <v>Versicherungen/Kfz-Steuer</v>
      </c>
      <c r="BT192" s="1204">
        <f t="shared" si="220"/>
        <v>0</v>
      </c>
      <c r="BU192" s="1230">
        <f t="shared" si="221"/>
        <v>0</v>
      </c>
      <c r="BV192" s="1230">
        <f t="shared" si="221"/>
        <v>0</v>
      </c>
      <c r="BW192" s="1230">
        <f t="shared" si="221"/>
        <v>0</v>
      </c>
      <c r="BX192" s="1231">
        <f t="shared" si="221"/>
        <v>0</v>
      </c>
      <c r="CF192" s="68"/>
      <c r="CU192" s="876"/>
    </row>
    <row r="193" spans="1:99" x14ac:dyDescent="0.2">
      <c r="A193" s="1002">
        <f t="shared" si="216"/>
        <v>0.19</v>
      </c>
      <c r="B193" s="72">
        <f t="shared" si="215"/>
        <v>0.19</v>
      </c>
      <c r="C193" s="1440" t="str">
        <f t="shared" ref="C193:C218" si="222">C45</f>
        <v>Sonstiges</v>
      </c>
      <c r="D193" s="1441">
        <f t="shared" si="217"/>
        <v>0</v>
      </c>
      <c r="E193" s="1441">
        <f t="shared" si="184"/>
        <v>0</v>
      </c>
      <c r="F193" s="1433"/>
      <c r="G193" s="1433"/>
      <c r="H193" s="1442"/>
      <c r="I193" s="163"/>
      <c r="J193" s="148"/>
      <c r="K193" s="148"/>
      <c r="L193" s="148"/>
      <c r="M193" s="148"/>
      <c r="N193" s="148"/>
      <c r="O193" s="148"/>
      <c r="P193" s="148"/>
      <c r="Q193" s="1673"/>
      <c r="S193" s="1556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BA193" s="72">
        <f>AZ117</f>
        <v>0</v>
      </c>
      <c r="BB193" s="1064" t="str">
        <f t="shared" si="197"/>
        <v>Fahrzeugkosten (Tanken und Reparatur)</v>
      </c>
      <c r="BC193" s="1204">
        <f t="shared" si="218"/>
        <v>0</v>
      </c>
      <c r="BD193" s="1230">
        <f t="shared" si="219"/>
        <v>0</v>
      </c>
      <c r="BE193" s="1230">
        <f t="shared" si="219"/>
        <v>0</v>
      </c>
      <c r="BF193" s="1230">
        <f t="shared" si="219"/>
        <v>0</v>
      </c>
      <c r="BG193" s="1231">
        <f t="shared" si="219"/>
        <v>0</v>
      </c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72">
        <f>BQ117</f>
        <v>0</v>
      </c>
      <c r="BS193" s="73" t="str">
        <f t="shared" si="198"/>
        <v>Fahrzeugkosten (Tanken und Reparatur)</v>
      </c>
      <c r="BT193" s="1204">
        <f t="shared" si="220"/>
        <v>0</v>
      </c>
      <c r="BU193" s="1230">
        <f t="shared" si="221"/>
        <v>0</v>
      </c>
      <c r="BV193" s="1230">
        <f t="shared" si="221"/>
        <v>0</v>
      </c>
      <c r="BW193" s="1230">
        <f t="shared" si="221"/>
        <v>0</v>
      </c>
      <c r="BX193" s="1231">
        <f t="shared" si="221"/>
        <v>0</v>
      </c>
      <c r="CF193" s="68"/>
      <c r="CU193" s="906"/>
    </row>
    <row r="194" spans="1:99" ht="15" thickBot="1" x14ac:dyDescent="0.25">
      <c r="A194" s="1002">
        <f t="shared" si="216"/>
        <v>0</v>
      </c>
      <c r="B194" s="1487"/>
      <c r="C194" s="1491" t="str">
        <f t="shared" si="222"/>
        <v>Summe KFZ Kosten / Betriebliche Nutzung</v>
      </c>
      <c r="D194" s="1489">
        <f t="shared" si="217"/>
        <v>0</v>
      </c>
      <c r="E194" s="1489">
        <f t="shared" si="184"/>
        <v>0</v>
      </c>
      <c r="F194" s="1489">
        <f>SUM(F189:F193)</f>
        <v>0</v>
      </c>
      <c r="G194" s="1489">
        <f>SUM(G189:G193)</f>
        <v>0</v>
      </c>
      <c r="H194" s="1492">
        <f>SUM(H189:H193)</f>
        <v>0</v>
      </c>
      <c r="I194" s="163"/>
      <c r="J194" s="148"/>
      <c r="K194" s="148"/>
      <c r="L194" s="148"/>
      <c r="M194" s="148"/>
      <c r="N194" s="148"/>
      <c r="O194" s="148"/>
      <c r="P194" s="148"/>
      <c r="Q194" s="145"/>
      <c r="S194" s="82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Z194" s="35" t="b">
        <f>IFERROR(OR(BO194,CF194),-1)</f>
        <v>0</v>
      </c>
      <c r="BA194" s="80"/>
      <c r="BB194" s="1068" t="str">
        <f t="shared" si="197"/>
        <v>Abrechenbare Kilometerkosten</v>
      </c>
      <c r="BC194" s="1188">
        <f t="shared" si="218"/>
        <v>0</v>
      </c>
      <c r="BD194" s="1188">
        <f>SUM(BD189:BD193)</f>
        <v>0</v>
      </c>
      <c r="BE194" s="1188">
        <f>SUM(BE189:BE193)</f>
        <v>0</v>
      </c>
      <c r="BF194" s="1188">
        <f>SUM(BF189:BF193)</f>
        <v>0</v>
      </c>
      <c r="BG194" s="1208">
        <f>SUM(BG189:BG193)</f>
        <v>0</v>
      </c>
      <c r="BH194" s="68"/>
      <c r="BI194" s="68"/>
      <c r="BJ194" s="68"/>
      <c r="BK194" s="68"/>
      <c r="BL194" s="68"/>
      <c r="BM194" s="68"/>
      <c r="BN194" s="68"/>
      <c r="BO194" s="1595">
        <f t="shared" ref="BO194" si="223">SUM(BC194:BN194)</f>
        <v>0</v>
      </c>
      <c r="BP194" s="68"/>
      <c r="BQ194" s="68"/>
      <c r="BR194" s="80"/>
      <c r="BS194" s="96" t="str">
        <f t="shared" si="198"/>
        <v>Abrechenbare Kilometerkosten</v>
      </c>
      <c r="BT194" s="1188">
        <f t="shared" si="220"/>
        <v>0</v>
      </c>
      <c r="BU194" s="1188">
        <f t="shared" ref="BU194:BX194" si="224">SUM(BU189:BU193)</f>
        <v>0</v>
      </c>
      <c r="BV194" s="1188">
        <f t="shared" si="224"/>
        <v>0</v>
      </c>
      <c r="BW194" s="1188">
        <f t="shared" si="224"/>
        <v>0</v>
      </c>
      <c r="BX194" s="1208">
        <f t="shared" si="224"/>
        <v>0</v>
      </c>
      <c r="CF194" s="1595">
        <f t="shared" ref="CF194" si="225">SUM(BT194:CE194)</f>
        <v>0</v>
      </c>
      <c r="CU194" s="876"/>
    </row>
    <row r="195" spans="1:99" ht="14.25" customHeight="1" x14ac:dyDescent="0.2">
      <c r="A195" s="1002"/>
      <c r="B195" s="141">
        <f t="shared" ref="B195:B201" si="226">B47</f>
        <v>7</v>
      </c>
      <c r="C195" s="1067" t="str">
        <f t="shared" si="222"/>
        <v>Marketing  u. Werbung</v>
      </c>
      <c r="D195" s="1190"/>
      <c r="E195" s="1190"/>
      <c r="F195" s="1190"/>
      <c r="G195" s="1190"/>
      <c r="H195" s="1190"/>
      <c r="I195" s="163"/>
      <c r="J195" s="148"/>
      <c r="K195" s="148"/>
      <c r="L195" s="148"/>
      <c r="M195" s="148"/>
      <c r="N195" s="148"/>
      <c r="O195" s="148"/>
      <c r="P195" s="148"/>
      <c r="Q195" s="145"/>
      <c r="S195" s="93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BA195" s="141">
        <v>7</v>
      </c>
      <c r="BB195" s="1067" t="str">
        <f t="shared" si="197"/>
        <v>Sonstiges</v>
      </c>
      <c r="BC195" s="1190"/>
      <c r="BD195" s="1190"/>
      <c r="BE195" s="1190"/>
      <c r="BF195" s="1190"/>
      <c r="BG195" s="1191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141">
        <v>7</v>
      </c>
      <c r="BS195" s="86" t="str">
        <f t="shared" si="198"/>
        <v>Sonstiges</v>
      </c>
      <c r="BT195" s="1190"/>
      <c r="BU195" s="1190"/>
      <c r="BV195" s="1190"/>
      <c r="BW195" s="1190"/>
      <c r="BX195" s="1191"/>
      <c r="CF195" s="68"/>
      <c r="CU195" s="876"/>
    </row>
    <row r="196" spans="1:99" ht="14.25" customHeight="1" x14ac:dyDescent="0.2">
      <c r="A196" s="1002">
        <f t="shared" si="216"/>
        <v>0.19</v>
      </c>
      <c r="B196" s="72">
        <f t="shared" si="226"/>
        <v>0.19</v>
      </c>
      <c r="C196" s="1437" t="str">
        <f t="shared" si="222"/>
        <v>Marktforschung</v>
      </c>
      <c r="D196" s="1438">
        <f t="shared" ref="D196:D202" si="227">P48</f>
        <v>0</v>
      </c>
      <c r="E196" s="1438">
        <f t="shared" si="184"/>
        <v>0</v>
      </c>
      <c r="F196" s="1430"/>
      <c r="G196" s="1430"/>
      <c r="H196" s="1439"/>
      <c r="I196" s="163"/>
      <c r="J196" s="148"/>
      <c r="K196" s="148"/>
      <c r="L196" s="148"/>
      <c r="M196" s="148"/>
      <c r="N196" s="148"/>
      <c r="O196" s="148"/>
      <c r="P196" s="148"/>
      <c r="Q196" s="1673" t="s">
        <v>796</v>
      </c>
      <c r="S196" s="1556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BA196" s="72">
        <f>BA120</f>
        <v>0</v>
      </c>
      <c r="BB196" s="1064" t="str">
        <f t="shared" si="197"/>
        <v>Summe KFZ Kosten / Betriebliche Nutzung</v>
      </c>
      <c r="BC196" s="1204">
        <f t="shared" ref="BC196:BC202" si="228">BO120</f>
        <v>0</v>
      </c>
      <c r="BD196" s="1230">
        <f t="shared" ref="BD196:BG201" si="229">IF($A196=$Q$2,E196*IF(OR($D$4=0,$D$4=3),$A196,$A196/(1+$A196)),0)</f>
        <v>0</v>
      </c>
      <c r="BE196" s="1230">
        <f t="shared" si="229"/>
        <v>0</v>
      </c>
      <c r="BF196" s="1230">
        <f t="shared" si="229"/>
        <v>0</v>
      </c>
      <c r="BG196" s="1231">
        <f t="shared" si="229"/>
        <v>0</v>
      </c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72">
        <f>BR120</f>
        <v>0</v>
      </c>
      <c r="BS196" s="73" t="str">
        <f t="shared" si="198"/>
        <v>Summe KFZ Kosten / Betriebliche Nutzung</v>
      </c>
      <c r="BT196" s="1204">
        <f t="shared" ref="BT196:BT202" si="230">CF120</f>
        <v>0</v>
      </c>
      <c r="BU196" s="1230">
        <f t="shared" ref="BU196:BX201" si="231">IF($A196=$Q$3,E196*IF(OR($D$4=0,$D$4=3),$A196,$A196/(1+$A196)),0)</f>
        <v>0</v>
      </c>
      <c r="BV196" s="1230">
        <f t="shared" si="231"/>
        <v>0</v>
      </c>
      <c r="BW196" s="1230">
        <f t="shared" si="231"/>
        <v>0</v>
      </c>
      <c r="BX196" s="1231">
        <f t="shared" si="231"/>
        <v>0</v>
      </c>
      <c r="CF196" s="68"/>
      <c r="CU196" s="906"/>
    </row>
    <row r="197" spans="1:99" ht="18" x14ac:dyDescent="0.2">
      <c r="A197" s="1002">
        <f t="shared" si="216"/>
        <v>0.19</v>
      </c>
      <c r="B197" s="72">
        <f t="shared" si="226"/>
        <v>0.19</v>
      </c>
      <c r="C197" s="1437" t="str">
        <f t="shared" si="222"/>
        <v>Briefpapier, Visitenkarte, Stempel</v>
      </c>
      <c r="D197" s="1438">
        <f t="shared" si="227"/>
        <v>0</v>
      </c>
      <c r="E197" s="1438">
        <f t="shared" si="184"/>
        <v>0</v>
      </c>
      <c r="F197" s="1430"/>
      <c r="G197" s="1430"/>
      <c r="H197" s="1439"/>
      <c r="I197" s="163"/>
      <c r="J197" s="148"/>
      <c r="K197" s="148"/>
      <c r="L197" s="148"/>
      <c r="M197" s="997" t="str">
        <f ca="1">IF(C2="English",N152,N151)</f>
        <v>Betriebskosten II (ohne MwSt) für die Jahre 2019 - 2023</v>
      </c>
      <c r="N197" s="148"/>
      <c r="O197" s="148"/>
      <c r="P197" s="148"/>
      <c r="Q197" s="1673"/>
      <c r="S197" s="1556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BA197" s="72">
        <f>BA121</f>
        <v>7</v>
      </c>
      <c r="BB197" s="1064" t="str">
        <f t="shared" si="197"/>
        <v>Marketing  u. Werbung</v>
      </c>
      <c r="BC197" s="1204">
        <f t="shared" si="228"/>
        <v>0</v>
      </c>
      <c r="BD197" s="1230">
        <f t="shared" si="229"/>
        <v>0</v>
      </c>
      <c r="BE197" s="1230">
        <f t="shared" si="229"/>
        <v>0</v>
      </c>
      <c r="BF197" s="1230">
        <f t="shared" si="229"/>
        <v>0</v>
      </c>
      <c r="BG197" s="1231">
        <f t="shared" si="229"/>
        <v>0</v>
      </c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72">
        <f>BR121</f>
        <v>7</v>
      </c>
      <c r="BS197" s="73" t="str">
        <f t="shared" si="198"/>
        <v>Marketing  u. Werbung</v>
      </c>
      <c r="BT197" s="1204">
        <f t="shared" si="230"/>
        <v>0</v>
      </c>
      <c r="BU197" s="1230">
        <f t="shared" si="231"/>
        <v>0</v>
      </c>
      <c r="BV197" s="1230">
        <f t="shared" si="231"/>
        <v>0</v>
      </c>
      <c r="BW197" s="1230">
        <f t="shared" si="231"/>
        <v>0</v>
      </c>
      <c r="BX197" s="1231">
        <f t="shared" si="231"/>
        <v>0</v>
      </c>
      <c r="CF197" s="68"/>
      <c r="CU197" s="876"/>
    </row>
    <row r="198" spans="1:99" x14ac:dyDescent="0.2">
      <c r="A198" s="1002">
        <f t="shared" si="216"/>
        <v>0.19</v>
      </c>
      <c r="B198" s="72">
        <f t="shared" si="226"/>
        <v>0.19</v>
      </c>
      <c r="C198" s="1437" t="str">
        <f t="shared" si="222"/>
        <v>Webseite, lfd. Webseitenpflege</v>
      </c>
      <c r="D198" s="1438">
        <f t="shared" si="227"/>
        <v>0</v>
      </c>
      <c r="E198" s="1438">
        <f t="shared" si="184"/>
        <v>0</v>
      </c>
      <c r="F198" s="1430"/>
      <c r="G198" s="1430"/>
      <c r="H198" s="1439"/>
      <c r="I198" s="163"/>
      <c r="J198" s="148"/>
      <c r="K198" s="148"/>
      <c r="L198" s="148"/>
      <c r="N198" s="148"/>
      <c r="O198" s="148"/>
      <c r="P198" s="148"/>
      <c r="Q198" s="1673"/>
      <c r="S198" s="1556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BA198" s="72">
        <f>BA122</f>
        <v>0.19</v>
      </c>
      <c r="BB198" s="1064" t="str">
        <f t="shared" si="197"/>
        <v>Marktforschung</v>
      </c>
      <c r="BC198" s="1204">
        <f t="shared" si="228"/>
        <v>0</v>
      </c>
      <c r="BD198" s="1230">
        <f t="shared" si="229"/>
        <v>0</v>
      </c>
      <c r="BE198" s="1230">
        <f t="shared" si="229"/>
        <v>0</v>
      </c>
      <c r="BF198" s="1230">
        <f t="shared" si="229"/>
        <v>0</v>
      </c>
      <c r="BG198" s="1231">
        <f t="shared" si="229"/>
        <v>0</v>
      </c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72">
        <f>BR122</f>
        <v>0.19</v>
      </c>
      <c r="BS198" s="73" t="str">
        <f t="shared" si="198"/>
        <v>Marktforschung</v>
      </c>
      <c r="BT198" s="1204">
        <f t="shared" si="230"/>
        <v>0</v>
      </c>
      <c r="BU198" s="1230">
        <f t="shared" si="231"/>
        <v>0</v>
      </c>
      <c r="BV198" s="1230">
        <f t="shared" si="231"/>
        <v>0</v>
      </c>
      <c r="BW198" s="1230">
        <f t="shared" si="231"/>
        <v>0</v>
      </c>
      <c r="BX198" s="1231">
        <f t="shared" si="231"/>
        <v>0</v>
      </c>
      <c r="CF198" s="68"/>
      <c r="CU198" s="876"/>
    </row>
    <row r="199" spans="1:99" x14ac:dyDescent="0.2">
      <c r="A199" s="1002">
        <f t="shared" si="216"/>
        <v>0.19</v>
      </c>
      <c r="B199" s="72">
        <f t="shared" si="226"/>
        <v>0.19</v>
      </c>
      <c r="C199" s="1437" t="str">
        <f t="shared" si="222"/>
        <v>Flyer, Prospekte, Broschüren, Anzeigen</v>
      </c>
      <c r="D199" s="1438">
        <f t="shared" si="227"/>
        <v>0</v>
      </c>
      <c r="E199" s="1438">
        <f t="shared" si="184"/>
        <v>0</v>
      </c>
      <c r="F199" s="1430"/>
      <c r="G199" s="1430"/>
      <c r="H199" s="1439"/>
      <c r="I199" s="163"/>
      <c r="J199" s="148"/>
      <c r="K199" s="148"/>
      <c r="L199" s="148"/>
      <c r="N199" s="148"/>
      <c r="O199" s="148"/>
      <c r="P199" s="148"/>
      <c r="Q199" s="1673"/>
      <c r="S199" s="1556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BA199" s="72">
        <f>BA123</f>
        <v>0.19</v>
      </c>
      <c r="BB199" s="1064" t="str">
        <f t="shared" si="197"/>
        <v>Briefpapier, Visitenkarte, Stempel</v>
      </c>
      <c r="BC199" s="1204">
        <f t="shared" si="228"/>
        <v>0</v>
      </c>
      <c r="BD199" s="1230">
        <f t="shared" si="229"/>
        <v>0</v>
      </c>
      <c r="BE199" s="1230">
        <f t="shared" si="229"/>
        <v>0</v>
      </c>
      <c r="BF199" s="1230">
        <f t="shared" si="229"/>
        <v>0</v>
      </c>
      <c r="BG199" s="1231">
        <f t="shared" si="229"/>
        <v>0</v>
      </c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72">
        <f>BR123</f>
        <v>0.19</v>
      </c>
      <c r="BS199" s="73" t="str">
        <f t="shared" si="198"/>
        <v>Briefpapier, Visitenkarte, Stempel</v>
      </c>
      <c r="BT199" s="1204">
        <f t="shared" si="230"/>
        <v>0</v>
      </c>
      <c r="BU199" s="1230">
        <f t="shared" si="231"/>
        <v>0</v>
      </c>
      <c r="BV199" s="1230">
        <f t="shared" si="231"/>
        <v>0</v>
      </c>
      <c r="BW199" s="1230">
        <f t="shared" si="231"/>
        <v>0</v>
      </c>
      <c r="BX199" s="1231">
        <f t="shared" si="231"/>
        <v>0</v>
      </c>
      <c r="CF199" s="68"/>
      <c r="CU199" s="876"/>
    </row>
    <row r="200" spans="1:99" x14ac:dyDescent="0.2">
      <c r="A200" s="1002">
        <f t="shared" si="216"/>
        <v>0.19</v>
      </c>
      <c r="B200" s="72">
        <f t="shared" si="226"/>
        <v>0.19</v>
      </c>
      <c r="C200" s="1437" t="str">
        <f t="shared" si="222"/>
        <v>Bewirtungskosten</v>
      </c>
      <c r="D200" s="1438">
        <f t="shared" si="227"/>
        <v>0</v>
      </c>
      <c r="E200" s="1438">
        <f t="shared" si="184"/>
        <v>0</v>
      </c>
      <c r="F200" s="1430"/>
      <c r="G200" s="1430"/>
      <c r="H200" s="1439"/>
      <c r="I200" s="163"/>
      <c r="J200" s="148"/>
      <c r="K200" s="148"/>
      <c r="L200" s="148"/>
      <c r="M200" s="148"/>
      <c r="N200" s="148"/>
      <c r="O200" s="148"/>
      <c r="P200" s="148"/>
      <c r="Q200" s="1673"/>
      <c r="S200" s="1556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BA200" s="72">
        <f>BA124</f>
        <v>0.19</v>
      </c>
      <c r="BB200" s="1064" t="str">
        <f t="shared" si="197"/>
        <v>Webseite, lfd. Webseitenpflege</v>
      </c>
      <c r="BC200" s="1204">
        <f t="shared" si="228"/>
        <v>0</v>
      </c>
      <c r="BD200" s="1230">
        <f t="shared" si="229"/>
        <v>0</v>
      </c>
      <c r="BE200" s="1230">
        <f t="shared" si="229"/>
        <v>0</v>
      </c>
      <c r="BF200" s="1230">
        <f t="shared" si="229"/>
        <v>0</v>
      </c>
      <c r="BG200" s="1231">
        <f t="shared" si="229"/>
        <v>0</v>
      </c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72">
        <f>BR124</f>
        <v>0.19</v>
      </c>
      <c r="BS200" s="73" t="str">
        <f t="shared" si="198"/>
        <v>Webseite, lfd. Webseitenpflege</v>
      </c>
      <c r="BT200" s="1204">
        <f t="shared" si="230"/>
        <v>0</v>
      </c>
      <c r="BU200" s="1230">
        <f t="shared" si="231"/>
        <v>0</v>
      </c>
      <c r="BV200" s="1230">
        <f t="shared" si="231"/>
        <v>0</v>
      </c>
      <c r="BW200" s="1230">
        <f t="shared" si="231"/>
        <v>0</v>
      </c>
      <c r="BX200" s="1231">
        <f t="shared" si="231"/>
        <v>0</v>
      </c>
      <c r="CF200" s="68"/>
      <c r="CU200" s="876"/>
    </row>
    <row r="201" spans="1:99" x14ac:dyDescent="0.2">
      <c r="A201" s="1002">
        <f t="shared" si="216"/>
        <v>7.0000000000000007E-2</v>
      </c>
      <c r="B201" s="72">
        <f t="shared" si="226"/>
        <v>7.0000000000000007E-2</v>
      </c>
      <c r="C201" s="1440" t="str">
        <f t="shared" si="222"/>
        <v>Sonstiges, Messen, ...</v>
      </c>
      <c r="D201" s="1441">
        <f t="shared" si="227"/>
        <v>0</v>
      </c>
      <c r="E201" s="1441">
        <f t="shared" si="184"/>
        <v>0</v>
      </c>
      <c r="F201" s="1433"/>
      <c r="G201" s="1433"/>
      <c r="H201" s="1442"/>
      <c r="I201" s="163"/>
      <c r="J201" s="148"/>
      <c r="K201" s="148"/>
      <c r="L201" s="148"/>
      <c r="M201" s="148"/>
      <c r="N201" s="148"/>
      <c r="O201" s="148"/>
      <c r="P201" s="148"/>
      <c r="Q201" s="1673"/>
      <c r="S201" s="1556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BA201" s="72">
        <f>AZ125</f>
        <v>0</v>
      </c>
      <c r="BB201" s="1064" t="str">
        <f t="shared" si="197"/>
        <v>Flyer, Prospekte, Broschüren, Anzeigen</v>
      </c>
      <c r="BC201" s="1205">
        <f t="shared" si="228"/>
        <v>0</v>
      </c>
      <c r="BD201" s="1230">
        <f t="shared" si="229"/>
        <v>0</v>
      </c>
      <c r="BE201" s="1230">
        <f t="shared" si="229"/>
        <v>0</v>
      </c>
      <c r="BF201" s="1230">
        <f t="shared" si="229"/>
        <v>0</v>
      </c>
      <c r="BG201" s="1231">
        <f t="shared" si="229"/>
        <v>0</v>
      </c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72">
        <f>BQ125</f>
        <v>0</v>
      </c>
      <c r="BS201" s="73" t="str">
        <f t="shared" si="198"/>
        <v>Flyer, Prospekte, Broschüren, Anzeigen</v>
      </c>
      <c r="BT201" s="1205">
        <f t="shared" si="230"/>
        <v>0</v>
      </c>
      <c r="BU201" s="1230">
        <f t="shared" si="231"/>
        <v>0</v>
      </c>
      <c r="BV201" s="1230">
        <f t="shared" si="231"/>
        <v>0</v>
      </c>
      <c r="BW201" s="1230">
        <f t="shared" si="231"/>
        <v>0</v>
      </c>
      <c r="BX201" s="1231">
        <f t="shared" si="231"/>
        <v>0</v>
      </c>
      <c r="CF201" s="68"/>
      <c r="CU201" s="876"/>
    </row>
    <row r="202" spans="1:99" ht="15" thickBot="1" x14ac:dyDescent="0.25">
      <c r="A202" s="1002"/>
      <c r="B202" s="1487"/>
      <c r="C202" s="1491" t="str">
        <f t="shared" si="222"/>
        <v>Summe Marketing  u. Werbung</v>
      </c>
      <c r="D202" s="1489">
        <f t="shared" si="227"/>
        <v>0</v>
      </c>
      <c r="E202" s="1489">
        <f t="shared" si="184"/>
        <v>0</v>
      </c>
      <c r="F202" s="1489">
        <f>SUM(F196:F201)</f>
        <v>0</v>
      </c>
      <c r="G202" s="1489">
        <f>SUM(G196:G201)</f>
        <v>0</v>
      </c>
      <c r="H202" s="1492">
        <f>SUM(H196:H201)</f>
        <v>0</v>
      </c>
      <c r="I202" s="163"/>
      <c r="J202" s="148"/>
      <c r="K202" s="148"/>
      <c r="L202" s="148"/>
      <c r="M202" s="148"/>
      <c r="N202" s="148"/>
      <c r="O202" s="148"/>
      <c r="P202" s="148"/>
      <c r="Q202" s="145"/>
      <c r="S202" s="82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Z202" s="35" t="b">
        <f>IFERROR(OR(BO202,CF202),-1)</f>
        <v>0</v>
      </c>
      <c r="BA202" s="80">
        <f>BA122</f>
        <v>0.19</v>
      </c>
      <c r="BB202" s="1068" t="str">
        <f t="shared" si="197"/>
        <v>Bewirtungskosten</v>
      </c>
      <c r="BC202" s="1188">
        <f t="shared" si="228"/>
        <v>0</v>
      </c>
      <c r="BD202" s="1188">
        <f>SUM(BD196:BD201)</f>
        <v>0</v>
      </c>
      <c r="BE202" s="1188">
        <f>SUM(BE196:BE201)</f>
        <v>0</v>
      </c>
      <c r="BF202" s="1188">
        <f>SUM(BF196:BF201)</f>
        <v>0</v>
      </c>
      <c r="BG202" s="1208">
        <f>SUM(BG196:BG201)</f>
        <v>0</v>
      </c>
      <c r="BH202" s="68"/>
      <c r="BI202" s="68"/>
      <c r="BJ202" s="68"/>
      <c r="BK202" s="68"/>
      <c r="BL202" s="68"/>
      <c r="BM202" s="68"/>
      <c r="BN202" s="68"/>
      <c r="BO202" s="1595">
        <f t="shared" ref="BO202" si="232">SUM(BC202:BN202)</f>
        <v>0</v>
      </c>
      <c r="BP202" s="68"/>
      <c r="BQ202" s="68"/>
      <c r="BR202" s="80">
        <f>BR122</f>
        <v>0.19</v>
      </c>
      <c r="BS202" s="96" t="str">
        <f t="shared" si="198"/>
        <v>Bewirtungskosten</v>
      </c>
      <c r="BT202" s="1188">
        <f t="shared" si="230"/>
        <v>0</v>
      </c>
      <c r="BU202" s="1188">
        <f t="shared" ref="BU202:BX202" si="233">SUM(BU196:BU201)</f>
        <v>0</v>
      </c>
      <c r="BV202" s="1188">
        <f t="shared" si="233"/>
        <v>0</v>
      </c>
      <c r="BW202" s="1188">
        <f t="shared" si="233"/>
        <v>0</v>
      </c>
      <c r="BX202" s="1208">
        <f t="shared" si="233"/>
        <v>0</v>
      </c>
      <c r="CF202" s="1595">
        <f t="shared" ref="CF202" si="234">SUM(BT202:CE202)</f>
        <v>0</v>
      </c>
      <c r="CU202" s="906"/>
    </row>
    <row r="203" spans="1:99" ht="14.25" customHeight="1" x14ac:dyDescent="0.2">
      <c r="A203" s="1002"/>
      <c r="B203" s="141">
        <f>B55</f>
        <v>8</v>
      </c>
      <c r="C203" s="1067" t="str">
        <f t="shared" si="222"/>
        <v>Rechts- und Beratungskosten</v>
      </c>
      <c r="D203" s="1190"/>
      <c r="E203" s="1190"/>
      <c r="F203" s="1190"/>
      <c r="G203" s="1190"/>
      <c r="H203" s="1190"/>
      <c r="I203" s="163"/>
      <c r="J203" s="148"/>
      <c r="K203" s="148"/>
      <c r="L203" s="148"/>
      <c r="M203" s="148"/>
      <c r="N203" s="148"/>
      <c r="O203" s="148"/>
      <c r="P203" s="148"/>
      <c r="Q203" s="1673" t="s">
        <v>796</v>
      </c>
      <c r="S203" s="93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BA203" s="141">
        <v>8</v>
      </c>
      <c r="BB203" s="1067" t="str">
        <f t="shared" si="197"/>
        <v>Sonstiges, Messen, ...</v>
      </c>
      <c r="BC203" s="1190"/>
      <c r="BD203" s="1190"/>
      <c r="BE203" s="1190"/>
      <c r="BF203" s="1190"/>
      <c r="BG203" s="1191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141">
        <v>8</v>
      </c>
      <c r="BS203" s="86" t="str">
        <f t="shared" si="198"/>
        <v>Sonstiges, Messen, ...</v>
      </c>
      <c r="BT203" s="1190"/>
      <c r="BU203" s="1190"/>
      <c r="BV203" s="1190"/>
      <c r="BW203" s="1190"/>
      <c r="BX203" s="1191"/>
      <c r="CF203" s="68"/>
      <c r="CU203" s="876"/>
    </row>
    <row r="204" spans="1:99" x14ac:dyDescent="0.2">
      <c r="A204" s="1002">
        <f t="shared" si="216"/>
        <v>0.19</v>
      </c>
      <c r="B204" s="72">
        <f>B56</f>
        <v>0.19</v>
      </c>
      <c r="C204" s="1437" t="str">
        <f t="shared" si="222"/>
        <v>Buchhaltung</v>
      </c>
      <c r="D204" s="1438">
        <f>P56</f>
        <v>0</v>
      </c>
      <c r="E204" s="1438">
        <f t="shared" si="184"/>
        <v>0</v>
      </c>
      <c r="F204" s="1430"/>
      <c r="G204" s="1430"/>
      <c r="H204" s="1439"/>
      <c r="I204" s="163"/>
      <c r="J204" s="148"/>
      <c r="K204" s="148"/>
      <c r="L204" s="148"/>
      <c r="M204" s="148"/>
      <c r="N204" s="148"/>
      <c r="O204" s="148"/>
      <c r="P204" s="148"/>
      <c r="Q204" s="1673"/>
      <c r="S204" s="1556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BA204" s="72">
        <f>BA128</f>
        <v>0</v>
      </c>
      <c r="BB204" s="1064" t="str">
        <f t="shared" si="197"/>
        <v>Summe Marketing  u. Werbung</v>
      </c>
      <c r="BC204" s="1204">
        <f>BO128</f>
        <v>0</v>
      </c>
      <c r="BD204" s="1230">
        <f t="shared" ref="BD204:BG206" si="235">IF($A204=$Q$2,E204*IF(OR($D$4=0,$D$4=3),$A204,$A204/(1+$A204)),0)</f>
        <v>0</v>
      </c>
      <c r="BE204" s="1230">
        <f t="shared" si="235"/>
        <v>0</v>
      </c>
      <c r="BF204" s="1230">
        <f t="shared" si="235"/>
        <v>0</v>
      </c>
      <c r="BG204" s="1231">
        <f t="shared" si="235"/>
        <v>0</v>
      </c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72">
        <f>BR128</f>
        <v>0</v>
      </c>
      <c r="BS204" s="73" t="str">
        <f t="shared" si="198"/>
        <v>Summe Marketing  u. Werbung</v>
      </c>
      <c r="BT204" s="1204">
        <f>CF128</f>
        <v>0</v>
      </c>
      <c r="BU204" s="1230">
        <f t="shared" ref="BU204:BX206" si="236">IF($A204=$Q$3,E204*IF(OR($D$4=0,$D$4=3),$A204,$A204/(1+$A204)),0)</f>
        <v>0</v>
      </c>
      <c r="BV204" s="1230">
        <f t="shared" si="236"/>
        <v>0</v>
      </c>
      <c r="BW204" s="1230">
        <f t="shared" si="236"/>
        <v>0</v>
      </c>
      <c r="BX204" s="1231">
        <f t="shared" si="236"/>
        <v>0</v>
      </c>
      <c r="CF204" s="68"/>
      <c r="CU204" s="876"/>
    </row>
    <row r="205" spans="1:99" x14ac:dyDescent="0.2">
      <c r="A205" s="1002">
        <f t="shared" si="216"/>
        <v>0.19</v>
      </c>
      <c r="B205" s="72">
        <f>B57</f>
        <v>0.19</v>
      </c>
      <c r="C205" s="1437" t="str">
        <f t="shared" si="222"/>
        <v>Steuerberatung, Abschluss, Prüfung</v>
      </c>
      <c r="D205" s="1438">
        <f>P57</f>
        <v>0</v>
      </c>
      <c r="E205" s="1438">
        <f t="shared" si="184"/>
        <v>0</v>
      </c>
      <c r="F205" s="1430"/>
      <c r="G205" s="1430"/>
      <c r="H205" s="1439"/>
      <c r="I205" s="163"/>
      <c r="J205" s="148"/>
      <c r="K205" s="148"/>
      <c r="L205" s="148"/>
      <c r="M205" s="148"/>
      <c r="N205" s="148"/>
      <c r="O205" s="148"/>
      <c r="P205" s="148"/>
      <c r="Q205" s="1673"/>
      <c r="S205" s="1556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BA205" s="72">
        <f>BA129</f>
        <v>8</v>
      </c>
      <c r="BB205" s="1064" t="str">
        <f t="shared" si="197"/>
        <v>Rechts- und Beratungskosten</v>
      </c>
      <c r="BC205" s="1204">
        <f>BO129</f>
        <v>0</v>
      </c>
      <c r="BD205" s="1230">
        <f t="shared" si="235"/>
        <v>0</v>
      </c>
      <c r="BE205" s="1230">
        <f t="shared" si="235"/>
        <v>0</v>
      </c>
      <c r="BF205" s="1230">
        <f t="shared" si="235"/>
        <v>0</v>
      </c>
      <c r="BG205" s="1231">
        <f t="shared" si="235"/>
        <v>0</v>
      </c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72">
        <f>BR129</f>
        <v>8</v>
      </c>
      <c r="BS205" s="73" t="str">
        <f t="shared" si="198"/>
        <v>Rechts- und Beratungskosten</v>
      </c>
      <c r="BT205" s="1204">
        <f>CF129</f>
        <v>0</v>
      </c>
      <c r="BU205" s="1230">
        <f t="shared" si="236"/>
        <v>0</v>
      </c>
      <c r="BV205" s="1230">
        <f t="shared" si="236"/>
        <v>0</v>
      </c>
      <c r="BW205" s="1230">
        <f t="shared" si="236"/>
        <v>0</v>
      </c>
      <c r="BX205" s="1231">
        <f t="shared" si="236"/>
        <v>0</v>
      </c>
      <c r="CF205" s="68"/>
      <c r="CU205" s="876"/>
    </row>
    <row r="206" spans="1:99" x14ac:dyDescent="0.2">
      <c r="A206" s="1002">
        <f t="shared" si="216"/>
        <v>0.19</v>
      </c>
      <c r="B206" s="72">
        <f>B58</f>
        <v>0.19</v>
      </c>
      <c r="C206" s="1440" t="str">
        <f t="shared" si="222"/>
        <v>Sonstiges</v>
      </c>
      <c r="D206" s="1441">
        <f>P58</f>
        <v>0</v>
      </c>
      <c r="E206" s="1441">
        <f t="shared" si="184"/>
        <v>0</v>
      </c>
      <c r="F206" s="1433"/>
      <c r="G206" s="1433"/>
      <c r="H206" s="1442"/>
      <c r="I206" s="163"/>
      <c r="J206" s="148"/>
      <c r="K206" s="148"/>
      <c r="L206" s="148"/>
      <c r="M206" s="148"/>
      <c r="N206" s="148"/>
      <c r="O206" s="148"/>
      <c r="P206" s="148"/>
      <c r="Q206" s="1673"/>
      <c r="S206" s="1556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BA206" s="72">
        <f>AZ130</f>
        <v>0</v>
      </c>
      <c r="BB206" s="1064" t="str">
        <f t="shared" si="197"/>
        <v>Buchhaltung</v>
      </c>
      <c r="BC206" s="1204">
        <f>BO130</f>
        <v>0</v>
      </c>
      <c r="BD206" s="1230">
        <f t="shared" si="235"/>
        <v>0</v>
      </c>
      <c r="BE206" s="1230">
        <f t="shared" si="235"/>
        <v>0</v>
      </c>
      <c r="BF206" s="1230">
        <f t="shared" si="235"/>
        <v>0</v>
      </c>
      <c r="BG206" s="1231">
        <f t="shared" si="235"/>
        <v>0</v>
      </c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72">
        <f>BQ130</f>
        <v>0</v>
      </c>
      <c r="BS206" s="73" t="str">
        <f t="shared" si="198"/>
        <v>Buchhaltung</v>
      </c>
      <c r="BT206" s="1204">
        <f>CF130</f>
        <v>0</v>
      </c>
      <c r="BU206" s="1230">
        <f t="shared" si="236"/>
        <v>0</v>
      </c>
      <c r="BV206" s="1230">
        <f t="shared" si="236"/>
        <v>0</v>
      </c>
      <c r="BW206" s="1230">
        <f t="shared" si="236"/>
        <v>0</v>
      </c>
      <c r="BX206" s="1231">
        <f t="shared" si="236"/>
        <v>0</v>
      </c>
      <c r="CF206" s="68"/>
      <c r="CU206" s="906"/>
    </row>
    <row r="207" spans="1:99" ht="15" thickBot="1" x14ac:dyDescent="0.25">
      <c r="A207" s="1002"/>
      <c r="B207" s="1487"/>
      <c r="C207" s="1491" t="str">
        <f t="shared" si="222"/>
        <v>Summe Rechts- und Beratungskosten</v>
      </c>
      <c r="D207" s="1489">
        <f>P59</f>
        <v>0</v>
      </c>
      <c r="E207" s="1489">
        <f t="shared" si="184"/>
        <v>0</v>
      </c>
      <c r="F207" s="1489">
        <f>SUM(F204:F206)</f>
        <v>0</v>
      </c>
      <c r="G207" s="1489">
        <f>SUM(G204:G206)</f>
        <v>0</v>
      </c>
      <c r="H207" s="1492">
        <f>SUM(H204:H206)</f>
        <v>0</v>
      </c>
      <c r="I207" s="163"/>
      <c r="J207" s="148"/>
      <c r="K207" s="148"/>
      <c r="L207" s="148"/>
      <c r="M207" s="148"/>
      <c r="N207" s="148"/>
      <c r="O207" s="148"/>
      <c r="P207" s="148"/>
      <c r="Q207" s="1673"/>
      <c r="S207" s="82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Z207" s="35" t="b">
        <f>IFERROR(OR(BO207,CF207),-1)</f>
        <v>0</v>
      </c>
      <c r="BA207" s="80" t="str">
        <f>IF($D$4=-1, 0,"")</f>
        <v/>
      </c>
      <c r="BB207" s="1068" t="str">
        <f t="shared" si="197"/>
        <v>Steuerberatung, Abschluss, Prüfung</v>
      </c>
      <c r="BC207" s="1188">
        <f>BO131</f>
        <v>0</v>
      </c>
      <c r="BD207" s="1188">
        <f>SUM(BD204:BD206)</f>
        <v>0</v>
      </c>
      <c r="BE207" s="1188">
        <f>SUM(BE204:BE206)</f>
        <v>0</v>
      </c>
      <c r="BF207" s="1188">
        <f>SUM(BF204:BF206)</f>
        <v>0</v>
      </c>
      <c r="BG207" s="1208">
        <f>SUM(BG204:BG206)</f>
        <v>0</v>
      </c>
      <c r="BH207" s="68"/>
      <c r="BI207" s="68"/>
      <c r="BJ207" s="68"/>
      <c r="BK207" s="68"/>
      <c r="BL207" s="68"/>
      <c r="BM207" s="68"/>
      <c r="BN207" s="68"/>
      <c r="BO207" s="1595">
        <f t="shared" ref="BO207" si="237">SUM(BC207:BN207)</f>
        <v>0</v>
      </c>
      <c r="BP207" s="68"/>
      <c r="BQ207" s="68"/>
      <c r="BR207" s="80" t="str">
        <f>IF($D$4=-1, 0,"")</f>
        <v/>
      </c>
      <c r="BS207" s="96" t="str">
        <f t="shared" si="198"/>
        <v>Steuerberatung, Abschluss, Prüfung</v>
      </c>
      <c r="BT207" s="1188">
        <f>CF131</f>
        <v>0</v>
      </c>
      <c r="BU207" s="1188">
        <f t="shared" ref="BU207:BX207" si="238">SUM(BU204:BU206)</f>
        <v>0</v>
      </c>
      <c r="BV207" s="1188">
        <f t="shared" si="238"/>
        <v>0</v>
      </c>
      <c r="BW207" s="1188">
        <f t="shared" si="238"/>
        <v>0</v>
      </c>
      <c r="BX207" s="1208">
        <f t="shared" si="238"/>
        <v>0</v>
      </c>
      <c r="CF207" s="1595">
        <f t="shared" ref="CF207" si="239">SUM(BT207:CE207)</f>
        <v>0</v>
      </c>
      <c r="CU207" s="876"/>
    </row>
    <row r="208" spans="1:99" x14ac:dyDescent="0.2">
      <c r="A208" s="1002"/>
      <c r="B208" s="141">
        <f t="shared" ref="B208:B213" si="240">B60</f>
        <v>9</v>
      </c>
      <c r="C208" s="1065" t="str">
        <f t="shared" si="222"/>
        <v>Verschiedenes</v>
      </c>
      <c r="D208" s="1190"/>
      <c r="E208" s="1190"/>
      <c r="F208" s="1190"/>
      <c r="G208" s="1190"/>
      <c r="H208" s="1190"/>
      <c r="I208" s="163"/>
      <c r="J208" s="148"/>
      <c r="K208" s="148"/>
      <c r="L208" s="148"/>
      <c r="M208" s="148"/>
      <c r="N208" s="148"/>
      <c r="O208" s="148"/>
      <c r="P208" s="148"/>
      <c r="Q208" s="145"/>
      <c r="S208" s="89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BA208" s="141">
        <v>9</v>
      </c>
      <c r="BB208" s="1065" t="str">
        <f t="shared" si="197"/>
        <v>Sonstiges</v>
      </c>
      <c r="BC208" s="1190"/>
      <c r="BD208" s="1190"/>
      <c r="BE208" s="1190"/>
      <c r="BF208" s="1190"/>
      <c r="BG208" s="1191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141">
        <v>9</v>
      </c>
      <c r="BS208" s="63" t="str">
        <f t="shared" si="198"/>
        <v>Sonstiges</v>
      </c>
      <c r="BT208" s="1190"/>
      <c r="BU208" s="1190"/>
      <c r="BV208" s="1190"/>
      <c r="BW208" s="1190"/>
      <c r="BX208" s="1191"/>
      <c r="CF208" s="68"/>
      <c r="CU208" s="876"/>
    </row>
    <row r="209" spans="1:121" ht="14.25" customHeight="1" x14ac:dyDescent="0.2">
      <c r="A209" s="1002"/>
      <c r="B209" s="72" t="str">
        <f t="shared" si="240"/>
        <v/>
      </c>
      <c r="C209" s="1444" t="str">
        <f t="shared" si="222"/>
        <v>Finanzaufwand / Zinsen *)</v>
      </c>
      <c r="D209" s="1435">
        <f t="shared" ref="D209:D217" si="241">P61</f>
        <v>0</v>
      </c>
      <c r="E209" s="1435">
        <f t="shared" si="184"/>
        <v>0</v>
      </c>
      <c r="F209" s="1435">
        <f>'7 Finanzierung|Financing'!F56</f>
        <v>0</v>
      </c>
      <c r="G209" s="1435">
        <f>'7 Finanzierung|Financing'!G56</f>
        <v>0</v>
      </c>
      <c r="H209" s="1435">
        <f>'7 Finanzierung|Financing'!H56</f>
        <v>0</v>
      </c>
      <c r="I209" s="163"/>
      <c r="J209" s="148"/>
      <c r="K209" s="148"/>
      <c r="L209" s="148"/>
      <c r="M209" s="148"/>
      <c r="N209" s="148"/>
      <c r="O209" s="148"/>
      <c r="P209" s="148"/>
      <c r="Q209" s="1673" t="s">
        <v>796</v>
      </c>
      <c r="S209" s="1556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BA209" s="72">
        <f>BA133</f>
        <v>0</v>
      </c>
      <c r="BB209" s="1069" t="str">
        <f t="shared" si="197"/>
        <v>Summe Rechts- und Beratungskosten</v>
      </c>
      <c r="BC209" s="1193">
        <f t="shared" ref="BC209:BC215" si="242">BO133</f>
        <v>0</v>
      </c>
      <c r="BD209" s="1230">
        <f t="shared" ref="BD209:BG213" si="243">IF($A209=$Q$2,E209*IF(OR($D$4=0,$D$4=3),$A209,$A209/(1+$A209)),0)</f>
        <v>0</v>
      </c>
      <c r="BE209" s="1230">
        <f t="shared" si="243"/>
        <v>0</v>
      </c>
      <c r="BF209" s="1230">
        <f t="shared" si="243"/>
        <v>0</v>
      </c>
      <c r="BG209" s="1231">
        <f t="shared" si="243"/>
        <v>0</v>
      </c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72">
        <f>BR133</f>
        <v>0</v>
      </c>
      <c r="BS209" s="881" t="str">
        <f t="shared" si="198"/>
        <v>Summe Rechts- und Beratungskosten</v>
      </c>
      <c r="BT209" s="1193">
        <f t="shared" ref="BT209:BT215" si="244">CF133</f>
        <v>0</v>
      </c>
      <c r="BU209" s="1230">
        <f t="shared" ref="BU209:BX213" si="245">IF($A209=$Q$3,E209*IF(OR($D$4=0,$D$4=3),$A209,$A209/(1+$A209)),0)</f>
        <v>0</v>
      </c>
      <c r="BV209" s="1230">
        <f t="shared" si="245"/>
        <v>0</v>
      </c>
      <c r="BW209" s="1230">
        <f t="shared" si="245"/>
        <v>0</v>
      </c>
      <c r="BX209" s="1231">
        <f t="shared" si="245"/>
        <v>0</v>
      </c>
      <c r="CF209" s="68"/>
      <c r="CU209" s="876"/>
    </row>
    <row r="210" spans="1:121" s="60" customFormat="1" x14ac:dyDescent="0.2">
      <c r="A210" s="1002">
        <f t="shared" si="216"/>
        <v>0.19</v>
      </c>
      <c r="B210" s="72">
        <f t="shared" si="240"/>
        <v>0.19</v>
      </c>
      <c r="C210" s="1437" t="str">
        <f t="shared" si="222"/>
        <v>Reisekosten</v>
      </c>
      <c r="D210" s="1438">
        <f t="shared" si="241"/>
        <v>0</v>
      </c>
      <c r="E210" s="1438">
        <f t="shared" si="184"/>
        <v>0</v>
      </c>
      <c r="F210" s="1430"/>
      <c r="G210" s="1430"/>
      <c r="H210" s="1439"/>
      <c r="I210" s="161"/>
      <c r="J210" s="162"/>
      <c r="K210" s="162"/>
      <c r="L210" s="162"/>
      <c r="M210" s="162"/>
      <c r="N210" s="162"/>
      <c r="O210" s="162"/>
      <c r="P210" s="162"/>
      <c r="Q210" s="1673"/>
      <c r="R210" s="1097"/>
      <c r="S210" s="1556"/>
      <c r="T210" s="57"/>
      <c r="U210" s="35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72">
        <f>BA134</f>
        <v>9</v>
      </c>
      <c r="BB210" s="1064" t="str">
        <f t="shared" si="197"/>
        <v>Verschiedenes</v>
      </c>
      <c r="BC210" s="1204">
        <f t="shared" si="242"/>
        <v>0</v>
      </c>
      <c r="BD210" s="1230">
        <f t="shared" si="243"/>
        <v>0</v>
      </c>
      <c r="BE210" s="1230">
        <f t="shared" si="243"/>
        <v>0</v>
      </c>
      <c r="BF210" s="1230">
        <f t="shared" si="243"/>
        <v>0</v>
      </c>
      <c r="BG210" s="1231">
        <f t="shared" si="243"/>
        <v>0</v>
      </c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72">
        <f>BR134</f>
        <v>9</v>
      </c>
      <c r="BS210" s="73" t="str">
        <f t="shared" si="198"/>
        <v>Verschiedenes</v>
      </c>
      <c r="BT210" s="1204">
        <f t="shared" si="244"/>
        <v>0</v>
      </c>
      <c r="BU210" s="1230">
        <f t="shared" si="245"/>
        <v>0</v>
      </c>
      <c r="BV210" s="1230">
        <f t="shared" si="245"/>
        <v>0</v>
      </c>
      <c r="BW210" s="1230">
        <f t="shared" si="245"/>
        <v>0</v>
      </c>
      <c r="BX210" s="1231">
        <f t="shared" si="245"/>
        <v>0</v>
      </c>
      <c r="BY210" s="57"/>
      <c r="BZ210" s="57"/>
      <c r="CA210" s="57"/>
      <c r="CB210" s="57"/>
      <c r="CC210" s="57"/>
      <c r="CD210" s="57"/>
      <c r="CE210" s="57"/>
      <c r="CF210" s="68"/>
      <c r="CG210" s="57"/>
      <c r="CU210" s="906"/>
      <c r="CV210" s="875"/>
      <c r="CW210" s="875"/>
      <c r="CX210" s="856"/>
      <c r="CY210" s="856"/>
      <c r="CZ210" s="856"/>
      <c r="DA210" s="126"/>
      <c r="DB210" s="126"/>
      <c r="DC210" s="126"/>
      <c r="DD210" s="126"/>
      <c r="DE210" s="856"/>
      <c r="DF210" s="856"/>
      <c r="DG210" s="856"/>
      <c r="DH210" s="856"/>
      <c r="DI210" s="856"/>
      <c r="DJ210" s="856"/>
      <c r="DK210" s="856"/>
      <c r="DL210" s="856"/>
      <c r="DM210" s="625"/>
      <c r="DN210" s="625"/>
      <c r="DO210" s="625"/>
      <c r="DP210" s="625"/>
      <c r="DQ210" s="625"/>
    </row>
    <row r="211" spans="1:121" x14ac:dyDescent="0.2">
      <c r="A211" s="1002">
        <f t="shared" si="216"/>
        <v>7.0000000000000007E-2</v>
      </c>
      <c r="B211" s="72">
        <f t="shared" si="240"/>
        <v>7.0000000000000007E-2</v>
      </c>
      <c r="C211" s="1437" t="str">
        <f t="shared" si="222"/>
        <v>Fachliteratur, Bücher</v>
      </c>
      <c r="D211" s="1438">
        <f t="shared" si="241"/>
        <v>0</v>
      </c>
      <c r="E211" s="1438">
        <f t="shared" si="184"/>
        <v>0</v>
      </c>
      <c r="F211" s="1430"/>
      <c r="G211" s="1430"/>
      <c r="H211" s="1439"/>
      <c r="I211" s="163"/>
      <c r="J211" s="148"/>
      <c r="K211" s="148"/>
      <c r="L211" s="148"/>
      <c r="M211" s="148"/>
      <c r="N211" s="148"/>
      <c r="O211" s="148"/>
      <c r="P211" s="148"/>
      <c r="Q211" s="1673"/>
      <c r="S211" s="1556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BA211" s="72" t="str">
        <f>BA135</f>
        <v/>
      </c>
      <c r="BB211" s="1064" t="str">
        <f t="shared" si="197"/>
        <v>Finanzaufwand / Zinsen *)</v>
      </c>
      <c r="BC211" s="1204">
        <f t="shared" si="242"/>
        <v>0</v>
      </c>
      <c r="BD211" s="1230">
        <f t="shared" si="243"/>
        <v>0</v>
      </c>
      <c r="BE211" s="1230">
        <f t="shared" si="243"/>
        <v>0</v>
      </c>
      <c r="BF211" s="1230">
        <f t="shared" si="243"/>
        <v>0</v>
      </c>
      <c r="BG211" s="1231">
        <f t="shared" si="243"/>
        <v>0</v>
      </c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72" t="str">
        <f>BR135</f>
        <v/>
      </c>
      <c r="BS211" s="73" t="str">
        <f t="shared" si="198"/>
        <v>Finanzaufwand / Zinsen *)</v>
      </c>
      <c r="BT211" s="1204">
        <f t="shared" si="244"/>
        <v>0</v>
      </c>
      <c r="BU211" s="1230">
        <f t="shared" si="245"/>
        <v>0</v>
      </c>
      <c r="BV211" s="1230">
        <f t="shared" si="245"/>
        <v>0</v>
      </c>
      <c r="BW211" s="1230">
        <f t="shared" si="245"/>
        <v>0</v>
      </c>
      <c r="BX211" s="1231">
        <f t="shared" si="245"/>
        <v>0</v>
      </c>
      <c r="CF211" s="68"/>
      <c r="CU211" s="876"/>
    </row>
    <row r="212" spans="1:121" s="136" customFormat="1" x14ac:dyDescent="0.2">
      <c r="A212" s="1002">
        <f t="shared" si="216"/>
        <v>0.19</v>
      </c>
      <c r="B212" s="72">
        <f t="shared" si="240"/>
        <v>0.19</v>
      </c>
      <c r="C212" s="1437" t="str">
        <f t="shared" si="222"/>
        <v>Schulungen</v>
      </c>
      <c r="D212" s="1438">
        <f t="shared" si="241"/>
        <v>0</v>
      </c>
      <c r="E212" s="1438">
        <f t="shared" si="184"/>
        <v>0</v>
      </c>
      <c r="F212" s="1430"/>
      <c r="G212" s="1430"/>
      <c r="H212" s="1439"/>
      <c r="I212" s="161"/>
      <c r="J212" s="162"/>
      <c r="K212" s="162"/>
      <c r="L212" s="162"/>
      <c r="M212" s="162"/>
      <c r="N212" s="162"/>
      <c r="O212" s="162"/>
      <c r="P212" s="162"/>
      <c r="Q212" s="1673"/>
      <c r="R212" s="1097"/>
      <c r="S212" s="1556"/>
      <c r="T212" s="135"/>
      <c r="U212" s="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72">
        <f>BA136</f>
        <v>0.19</v>
      </c>
      <c r="BB212" s="1064" t="str">
        <f t="shared" si="197"/>
        <v>Reisekosten</v>
      </c>
      <c r="BC212" s="1204">
        <f t="shared" si="242"/>
        <v>0</v>
      </c>
      <c r="BD212" s="1230">
        <f t="shared" si="243"/>
        <v>0</v>
      </c>
      <c r="BE212" s="1230">
        <f t="shared" si="243"/>
        <v>0</v>
      </c>
      <c r="BF212" s="1230">
        <f t="shared" si="243"/>
        <v>0</v>
      </c>
      <c r="BG212" s="1231">
        <f t="shared" si="243"/>
        <v>0</v>
      </c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72">
        <f>BR136</f>
        <v>0.19</v>
      </c>
      <c r="BS212" s="73" t="str">
        <f t="shared" si="198"/>
        <v>Reisekosten</v>
      </c>
      <c r="BT212" s="1204">
        <f t="shared" si="244"/>
        <v>0</v>
      </c>
      <c r="BU212" s="1230">
        <f t="shared" si="245"/>
        <v>0</v>
      </c>
      <c r="BV212" s="1230">
        <f t="shared" si="245"/>
        <v>0</v>
      </c>
      <c r="BW212" s="1230">
        <f t="shared" si="245"/>
        <v>0</v>
      </c>
      <c r="BX212" s="1231">
        <f t="shared" si="245"/>
        <v>0</v>
      </c>
      <c r="BY212" s="135"/>
      <c r="BZ212" s="135"/>
      <c r="CA212" s="135"/>
      <c r="CB212" s="135"/>
      <c r="CC212" s="135"/>
      <c r="CD212" s="135"/>
      <c r="CE212" s="135"/>
      <c r="CF212" s="68"/>
      <c r="CG212" s="135"/>
      <c r="CU212" s="876"/>
      <c r="CV212" s="875"/>
      <c r="CW212" s="875"/>
      <c r="CX212" s="856"/>
      <c r="CY212" s="856"/>
      <c r="CZ212" s="856"/>
      <c r="DA212" s="126"/>
      <c r="DB212" s="126"/>
      <c r="DC212" s="126"/>
      <c r="DD212" s="126"/>
      <c r="DE212" s="856"/>
      <c r="DF212" s="856"/>
      <c r="DG212" s="856"/>
      <c r="DH212" s="856"/>
      <c r="DI212" s="856"/>
      <c r="DJ212" s="856"/>
      <c r="DK212" s="856"/>
      <c r="DL212" s="856"/>
      <c r="DM212" s="861"/>
      <c r="DN212" s="861"/>
      <c r="DO212" s="861"/>
      <c r="DP212" s="861"/>
      <c r="DQ212" s="861"/>
    </row>
    <row r="213" spans="1:121" s="35" customFormat="1" x14ac:dyDescent="0.2">
      <c r="A213" s="1002">
        <f t="shared" si="216"/>
        <v>7.0000000000000007E-2</v>
      </c>
      <c r="B213" s="72">
        <f t="shared" si="240"/>
        <v>7.0000000000000007E-2</v>
      </c>
      <c r="C213" s="1440" t="str">
        <f t="shared" si="222"/>
        <v>Sonstiges</v>
      </c>
      <c r="D213" s="1441">
        <f t="shared" si="241"/>
        <v>0</v>
      </c>
      <c r="E213" s="1441">
        <f t="shared" si="184"/>
        <v>0</v>
      </c>
      <c r="F213" s="1433"/>
      <c r="G213" s="1433"/>
      <c r="H213" s="1442"/>
      <c r="I213" s="163"/>
      <c r="J213" s="148"/>
      <c r="K213" s="148"/>
      <c r="L213" s="148"/>
      <c r="M213" s="148"/>
      <c r="N213" s="148"/>
      <c r="O213" s="148"/>
      <c r="P213" s="148"/>
      <c r="Q213" s="1673"/>
      <c r="R213" s="1097"/>
      <c r="S213" s="1556"/>
      <c r="BA213" s="72">
        <f>AZ137</f>
        <v>0</v>
      </c>
      <c r="BB213" s="1064" t="str">
        <f t="shared" si="197"/>
        <v>Fachliteratur, Bücher</v>
      </c>
      <c r="BC213" s="1205">
        <f t="shared" si="242"/>
        <v>0</v>
      </c>
      <c r="BD213" s="1230">
        <f t="shared" si="243"/>
        <v>0</v>
      </c>
      <c r="BE213" s="1230">
        <f t="shared" si="243"/>
        <v>0</v>
      </c>
      <c r="BF213" s="1230">
        <f t="shared" si="243"/>
        <v>0</v>
      </c>
      <c r="BG213" s="1231">
        <f t="shared" si="243"/>
        <v>0</v>
      </c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72">
        <f>BQ137</f>
        <v>0</v>
      </c>
      <c r="BS213" s="73" t="str">
        <f t="shared" si="198"/>
        <v>Fachliteratur, Bücher</v>
      </c>
      <c r="BT213" s="1205">
        <f t="shared" si="244"/>
        <v>0</v>
      </c>
      <c r="BU213" s="1230">
        <f t="shared" si="245"/>
        <v>0</v>
      </c>
      <c r="BV213" s="1230">
        <f t="shared" si="245"/>
        <v>0</v>
      </c>
      <c r="BW213" s="1230">
        <f t="shared" si="245"/>
        <v>0</v>
      </c>
      <c r="BX213" s="1231">
        <f t="shared" si="245"/>
        <v>0</v>
      </c>
      <c r="CF213" s="68"/>
      <c r="CU213" s="876"/>
      <c r="CV213" s="875"/>
      <c r="CW213" s="875"/>
      <c r="CX213" s="856"/>
      <c r="CY213" s="856"/>
      <c r="CZ213" s="856"/>
      <c r="DA213" s="126"/>
      <c r="DB213" s="126"/>
      <c r="DC213" s="126"/>
      <c r="DD213" s="126"/>
      <c r="DE213" s="856"/>
      <c r="DF213" s="856"/>
      <c r="DG213" s="856"/>
      <c r="DH213" s="856"/>
      <c r="DI213" s="856"/>
      <c r="DJ213" s="856"/>
      <c r="DK213" s="856"/>
      <c r="DL213" s="856"/>
      <c r="DM213" s="152"/>
      <c r="DN213" s="152"/>
      <c r="DO213" s="152"/>
      <c r="DP213" s="152"/>
      <c r="DQ213" s="152"/>
    </row>
    <row r="214" spans="1:121" s="35" customFormat="1" ht="15" thickBot="1" x14ac:dyDescent="0.25">
      <c r="A214" s="1002"/>
      <c r="B214" s="91"/>
      <c r="C214" s="1443" t="str">
        <f t="shared" si="222"/>
        <v>Summe Verschiedenes</v>
      </c>
      <c r="D214" s="1195">
        <f t="shared" si="241"/>
        <v>0</v>
      </c>
      <c r="E214" s="1195">
        <f t="shared" si="184"/>
        <v>0</v>
      </c>
      <c r="F214" s="1196">
        <f>SUM(F209:F213)</f>
        <v>0</v>
      </c>
      <c r="G214" s="1196">
        <f>SUM(G209:G213)</f>
        <v>0</v>
      </c>
      <c r="H214" s="1196">
        <f>SUM(H209:H213)</f>
        <v>0</v>
      </c>
      <c r="I214" s="163"/>
      <c r="J214" s="148"/>
      <c r="K214" s="148"/>
      <c r="L214" s="148"/>
      <c r="M214" s="148"/>
      <c r="N214" s="148"/>
      <c r="O214" s="148"/>
      <c r="P214" s="148"/>
      <c r="Q214" s="145"/>
      <c r="R214" s="1097"/>
      <c r="S214" s="82"/>
      <c r="AZ214" s="35" t="b">
        <f>IFERROR(OR(BO214,CF214),-1)</f>
        <v>0</v>
      </c>
      <c r="BA214" s="91"/>
      <c r="BB214" s="1068" t="str">
        <f t="shared" si="197"/>
        <v>Schulungen</v>
      </c>
      <c r="BC214" s="1195">
        <f t="shared" si="242"/>
        <v>0</v>
      </c>
      <c r="BD214" s="1188">
        <f>SUM(BD209:BD213)</f>
        <v>0</v>
      </c>
      <c r="BE214" s="1188">
        <f>SUM(BE209:BE213)</f>
        <v>0</v>
      </c>
      <c r="BF214" s="1188">
        <f>SUM(BF209:BF213)</f>
        <v>0</v>
      </c>
      <c r="BG214" s="1208">
        <f>SUM(BG209:BG213)</f>
        <v>0</v>
      </c>
      <c r="BH214" s="68"/>
      <c r="BI214" s="68"/>
      <c r="BJ214" s="68"/>
      <c r="BK214" s="68"/>
      <c r="BL214" s="68"/>
      <c r="BM214" s="68"/>
      <c r="BN214" s="68"/>
      <c r="BO214" s="1595">
        <f t="shared" ref="BO214" si="246">SUM(BC214:BN214)</f>
        <v>0</v>
      </c>
      <c r="BP214" s="68"/>
      <c r="BQ214" s="68"/>
      <c r="BR214" s="91"/>
      <c r="BS214" s="96" t="str">
        <f t="shared" si="198"/>
        <v>Schulungen</v>
      </c>
      <c r="BT214" s="1195">
        <f t="shared" si="244"/>
        <v>0</v>
      </c>
      <c r="BU214" s="1188">
        <f t="shared" ref="BU214:BX214" si="247">SUM(BU209:BU213)</f>
        <v>0</v>
      </c>
      <c r="BV214" s="1188">
        <f t="shared" si="247"/>
        <v>0</v>
      </c>
      <c r="BW214" s="1188">
        <f t="shared" si="247"/>
        <v>0</v>
      </c>
      <c r="BX214" s="1208">
        <f t="shared" si="247"/>
        <v>0</v>
      </c>
      <c r="CF214" s="1595">
        <f t="shared" ref="CF214" si="248">SUM(BT214:CE214)</f>
        <v>0</v>
      </c>
      <c r="CU214" s="876"/>
      <c r="CV214" s="875"/>
      <c r="CW214" s="875"/>
      <c r="CX214" s="856"/>
      <c r="CY214" s="856"/>
      <c r="CZ214" s="856"/>
      <c r="DA214" s="126"/>
      <c r="DB214" s="126"/>
      <c r="DC214" s="126"/>
      <c r="DD214" s="126"/>
      <c r="DE214" s="856"/>
      <c r="DF214" s="856"/>
      <c r="DG214" s="856"/>
      <c r="DH214" s="856"/>
      <c r="DI214" s="856"/>
      <c r="DJ214" s="856"/>
      <c r="DK214" s="856"/>
      <c r="DL214" s="856"/>
      <c r="DM214" s="152"/>
      <c r="DN214" s="152"/>
      <c r="DO214" s="152"/>
      <c r="DP214" s="152"/>
      <c r="DQ214" s="152"/>
    </row>
    <row r="215" spans="1:121" s="135" customFormat="1" ht="16.5" thickTop="1" thickBot="1" x14ac:dyDescent="0.25">
      <c r="A215" s="1003"/>
      <c r="B215" s="98"/>
      <c r="C215" s="1070" t="str">
        <f t="shared" si="222"/>
        <v>Summe Betriebskosten I</v>
      </c>
      <c r="D215" s="1206">
        <f t="shared" si="241"/>
        <v>0</v>
      </c>
      <c r="E215" s="1206">
        <f t="shared" si="184"/>
        <v>0</v>
      </c>
      <c r="F215" s="1206">
        <f>SUM(F155:F214)/2</f>
        <v>0</v>
      </c>
      <c r="G215" s="1206">
        <f>SUM(G155:G214)/2</f>
        <v>0</v>
      </c>
      <c r="H215" s="1206">
        <f>SUM(H155:H214)/2</f>
        <v>0</v>
      </c>
      <c r="I215" s="161"/>
      <c r="J215" s="162"/>
      <c r="K215" s="162"/>
      <c r="L215" s="162"/>
      <c r="M215" s="162"/>
      <c r="N215" s="162"/>
      <c r="O215" s="162"/>
      <c r="P215" s="162"/>
      <c r="Q215" s="1580" t="str">
        <f>IF(P215&lt;&gt;SUM(P155:P214)/2,"Fehler melden","")</f>
        <v/>
      </c>
      <c r="R215" s="1097"/>
      <c r="S215" s="89"/>
      <c r="U215" s="35"/>
      <c r="BA215" s="1229"/>
      <c r="BB215" s="106" t="str">
        <f>"Summe MwSt "&amp;$Q$2*100&amp;"%"</f>
        <v>Summe MwSt 19%</v>
      </c>
      <c r="BC215" s="1207">
        <f t="shared" si="242"/>
        <v>0</v>
      </c>
      <c r="BD215" s="1202">
        <f>SUM(BD154:BD214)/2</f>
        <v>0</v>
      </c>
      <c r="BE215" s="1202">
        <f>SUM(BE154:BE214)/2</f>
        <v>0</v>
      </c>
      <c r="BF215" s="1202">
        <f>SUM(BF154:BF214)/2</f>
        <v>0</v>
      </c>
      <c r="BG215" s="1203">
        <f>SUM(BG154:BG214)/2</f>
        <v>0</v>
      </c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229"/>
      <c r="BS215" s="106" t="str">
        <f>"Summe MwSt "&amp;$Q$3*100&amp;"%"</f>
        <v>Summe MwSt 7%</v>
      </c>
      <c r="BT215" s="1207">
        <f t="shared" si="244"/>
        <v>0</v>
      </c>
      <c r="BU215" s="1202">
        <f>SUM(BU154:BU214)/2</f>
        <v>0</v>
      </c>
      <c r="BV215" s="1202">
        <f>SUM(BV154:BV214)/2</f>
        <v>0</v>
      </c>
      <c r="BW215" s="1202">
        <f>SUM(BW154:BW214)/2</f>
        <v>0</v>
      </c>
      <c r="BX215" s="1203">
        <f>SUM(BX154:BX214)/2</f>
        <v>0</v>
      </c>
      <c r="CF215" s="130"/>
      <c r="CU215" s="899" t="s">
        <v>632</v>
      </c>
      <c r="CV215" s="40" t="s">
        <v>318</v>
      </c>
      <c r="CW215" s="875"/>
      <c r="CX215" s="856"/>
      <c r="CY215" s="856"/>
      <c r="CZ215" s="856"/>
      <c r="DA215" s="126"/>
      <c r="DB215" s="126"/>
      <c r="DC215" s="126"/>
      <c r="DD215" s="126"/>
      <c r="DE215" s="856"/>
      <c r="DF215" s="856"/>
      <c r="DG215" s="856"/>
      <c r="DH215" s="856"/>
      <c r="DI215" s="856"/>
      <c r="DJ215" s="856"/>
      <c r="DK215" s="856"/>
      <c r="DL215" s="856"/>
      <c r="DM215" s="988"/>
      <c r="DN215" s="988"/>
      <c r="DO215" s="988"/>
      <c r="DP215" s="988"/>
      <c r="DQ215" s="988"/>
    </row>
    <row r="216" spans="1:121" s="135" customFormat="1" ht="15.75" thickBot="1" x14ac:dyDescent="0.25">
      <c r="A216" s="145"/>
      <c r="B216" s="62"/>
      <c r="C216" s="1071" t="str">
        <f t="shared" si="222"/>
        <v>Abschreibungen (aus "3 Anschaffungen|Investment")</v>
      </c>
      <c r="D216" s="1200">
        <f t="shared" si="241"/>
        <v>0</v>
      </c>
      <c r="E216" s="1200">
        <f t="shared" ca="1" si="184"/>
        <v>0</v>
      </c>
      <c r="F216" s="1200">
        <f ca="1">'3 Anschaffungen|Investment'!G55</f>
        <v>0</v>
      </c>
      <c r="G216" s="1200">
        <f ca="1">'3 Anschaffungen|Investment'!H55</f>
        <v>0</v>
      </c>
      <c r="H216" s="1200">
        <f ca="1">'3 Anschaffungen|Investment'!I55</f>
        <v>0</v>
      </c>
      <c r="I216" s="161"/>
      <c r="J216" s="162"/>
      <c r="K216" s="162"/>
      <c r="L216" s="162"/>
      <c r="M216" s="162"/>
      <c r="N216" s="162"/>
      <c r="O216" s="162"/>
      <c r="P216" s="162"/>
      <c r="Q216" s="1579"/>
      <c r="R216" s="1097"/>
      <c r="S216" s="89"/>
      <c r="U216" s="35"/>
      <c r="BO216" s="1594"/>
      <c r="CF216" s="1594"/>
      <c r="CU216" s="899" t="s">
        <v>328</v>
      </c>
      <c r="CV216" s="40" t="s">
        <v>329</v>
      </c>
      <c r="CW216" s="875"/>
      <c r="CX216" s="856"/>
      <c r="CY216" s="856"/>
      <c r="CZ216" s="856"/>
      <c r="DA216" s="126"/>
      <c r="DB216" s="126"/>
      <c r="DC216" s="126"/>
      <c r="DD216" s="126"/>
      <c r="DE216" s="856"/>
      <c r="DF216" s="856"/>
      <c r="DG216" s="856"/>
      <c r="DH216" s="856"/>
      <c r="DI216" s="856"/>
      <c r="DJ216" s="856"/>
      <c r="DK216" s="856"/>
      <c r="DL216" s="856"/>
      <c r="DM216" s="988"/>
      <c r="DN216" s="988"/>
      <c r="DO216" s="988"/>
      <c r="DP216" s="988"/>
      <c r="DQ216" s="988"/>
    </row>
    <row r="217" spans="1:121" s="135" customFormat="1" ht="15.75" thickTop="1" thickBot="1" x14ac:dyDescent="0.25">
      <c r="A217" s="1003"/>
      <c r="B217" s="105"/>
      <c r="C217" s="1072" t="str">
        <f t="shared" si="222"/>
        <v>Summe Betriebskosten II</v>
      </c>
      <c r="D217" s="1207">
        <f t="shared" si="241"/>
        <v>0</v>
      </c>
      <c r="E217" s="1207">
        <f t="shared" ca="1" si="184"/>
        <v>0</v>
      </c>
      <c r="F217" s="1207">
        <f ca="1">SUM(F215:F216)</f>
        <v>0</v>
      </c>
      <c r="G217" s="1207">
        <f ca="1">SUM(G215:G216)</f>
        <v>0</v>
      </c>
      <c r="H217" s="1207">
        <f ca="1">SUM(H215:H216)</f>
        <v>0</v>
      </c>
      <c r="I217" s="161"/>
      <c r="J217" s="162"/>
      <c r="K217" s="162"/>
      <c r="L217" s="162"/>
      <c r="M217" s="162"/>
      <c r="N217" s="162"/>
      <c r="O217" s="162"/>
      <c r="P217" s="162"/>
      <c r="Q217" s="1579"/>
      <c r="R217" s="1097"/>
      <c r="S217" s="89"/>
      <c r="U217" s="35"/>
      <c r="BO217" s="1594"/>
      <c r="CF217" s="1594"/>
      <c r="CU217" s="906"/>
      <c r="CV217" s="875"/>
      <c r="CW217" s="875"/>
      <c r="CX217" s="856"/>
      <c r="CY217" s="856"/>
      <c r="CZ217" s="856"/>
      <c r="DA217" s="126"/>
      <c r="DB217" s="126"/>
      <c r="DC217" s="126"/>
      <c r="DD217" s="126"/>
      <c r="DE217" s="856"/>
      <c r="DF217" s="856"/>
      <c r="DG217" s="856"/>
      <c r="DH217" s="856"/>
      <c r="DI217" s="856"/>
      <c r="DJ217" s="856"/>
      <c r="DK217" s="856"/>
      <c r="DL217" s="856"/>
      <c r="DM217" s="988"/>
      <c r="DN217" s="988"/>
      <c r="DO217" s="988"/>
      <c r="DP217" s="988"/>
      <c r="DQ217" s="988"/>
    </row>
    <row r="218" spans="1:121" s="135" customFormat="1" x14ac:dyDescent="0.2">
      <c r="A218" s="164"/>
      <c r="B218" s="164"/>
      <c r="C218" s="33" t="str">
        <f t="shared" si="222"/>
        <v>*) wird aus Tabelle "7 Finanzierung|Financing" übernommen (auf ganze Euro gerundet!)</v>
      </c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576"/>
      <c r="R218" s="1097"/>
      <c r="U218" s="35"/>
      <c r="BO218" s="1594"/>
      <c r="CF218" s="1594"/>
      <c r="CU218" s="876"/>
      <c r="CV218" s="875"/>
      <c r="CW218" s="875"/>
      <c r="CX218" s="856"/>
      <c r="CY218" s="856"/>
      <c r="CZ218" s="856"/>
      <c r="DA218" s="126"/>
      <c r="DB218" s="126"/>
      <c r="DC218" s="126"/>
      <c r="DD218" s="126"/>
      <c r="DE218" s="856"/>
      <c r="DF218" s="856"/>
      <c r="DG218" s="856"/>
      <c r="DH218" s="856"/>
      <c r="DI218" s="856"/>
      <c r="DJ218" s="856"/>
      <c r="DK218" s="856"/>
      <c r="DL218" s="856"/>
      <c r="DM218" s="988"/>
      <c r="DN218" s="988"/>
      <c r="DO218" s="988"/>
      <c r="DP218" s="988"/>
      <c r="DQ218" s="988"/>
    </row>
    <row r="219" spans="1:121" s="135" customFormat="1" x14ac:dyDescent="0.2">
      <c r="A219" s="164"/>
      <c r="B219" s="164"/>
      <c r="C219" s="33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576"/>
      <c r="R219" s="1097"/>
      <c r="U219" s="35"/>
      <c r="BO219" s="1594"/>
      <c r="CF219" s="1594"/>
      <c r="CU219" s="876"/>
      <c r="CV219" s="875"/>
      <c r="CW219" s="875"/>
      <c r="CX219" s="856"/>
      <c r="CY219" s="856"/>
      <c r="CZ219" s="856"/>
      <c r="DA219" s="126"/>
      <c r="DB219" s="126"/>
      <c r="DC219" s="126"/>
      <c r="DD219" s="126"/>
      <c r="DE219" s="856"/>
      <c r="DF219" s="856"/>
      <c r="DG219" s="856"/>
      <c r="DH219" s="856"/>
      <c r="DI219" s="856"/>
      <c r="DJ219" s="856"/>
      <c r="DK219" s="856"/>
      <c r="DL219" s="856"/>
      <c r="DM219" s="988"/>
      <c r="DN219" s="988"/>
      <c r="DO219" s="988"/>
      <c r="DP219" s="988"/>
      <c r="DQ219" s="988"/>
    </row>
    <row r="220" spans="1:121" s="135" customFormat="1" ht="18.75" thickBot="1" x14ac:dyDescent="0.25">
      <c r="A220" s="164"/>
      <c r="C220" s="111" t="str">
        <f>IF($C$2="English",CV216,CU216)</f>
        <v>4b-2  Anhang: Ausweis der MwSt in EURO aus der Differenz zwischen den Tabellen 4b-2 und 4d-2</v>
      </c>
      <c r="D220" s="112"/>
      <c r="E220" s="112"/>
      <c r="F220" s="112"/>
      <c r="G220" s="112"/>
      <c r="H220" s="112"/>
      <c r="I220" s="162"/>
      <c r="J220" s="162"/>
      <c r="K220" s="162"/>
      <c r="L220" s="162"/>
      <c r="M220" s="162"/>
      <c r="N220" s="162"/>
      <c r="O220" s="162"/>
      <c r="P220" s="162"/>
      <c r="Q220" s="1576"/>
      <c r="R220" s="1097"/>
      <c r="U220" s="35"/>
      <c r="BO220" s="1594"/>
      <c r="CF220" s="1594"/>
      <c r="CU220" s="876"/>
      <c r="CV220" s="875"/>
      <c r="CW220" s="875"/>
      <c r="CX220" s="856"/>
      <c r="CY220" s="856"/>
      <c r="CZ220" s="856"/>
      <c r="DA220" s="126"/>
      <c r="DB220" s="126"/>
      <c r="DC220" s="126"/>
      <c r="DD220" s="126"/>
      <c r="DE220" s="856"/>
      <c r="DF220" s="856"/>
      <c r="DG220" s="856"/>
      <c r="DH220" s="856"/>
      <c r="DI220" s="856"/>
      <c r="DJ220" s="856"/>
      <c r="DK220" s="856"/>
      <c r="DL220" s="856"/>
      <c r="DM220" s="988"/>
      <c r="DN220" s="988"/>
      <c r="DO220" s="988"/>
      <c r="DP220" s="988"/>
      <c r="DQ220" s="988"/>
    </row>
    <row r="221" spans="1:121" s="135" customFormat="1" x14ac:dyDescent="0.2">
      <c r="A221" s="164"/>
      <c r="C221" s="115" t="str">
        <f>C147</f>
        <v>Summe der angefallenen MwSt  19%</v>
      </c>
      <c r="D221" s="116">
        <f>BC215</f>
        <v>0</v>
      </c>
      <c r="E221" s="116">
        <f t="shared" ref="E221:H221" si="249">BD215</f>
        <v>0</v>
      </c>
      <c r="F221" s="116">
        <f t="shared" si="249"/>
        <v>0</v>
      </c>
      <c r="G221" s="116">
        <f t="shared" si="249"/>
        <v>0</v>
      </c>
      <c r="H221" s="1581">
        <f t="shared" si="249"/>
        <v>0</v>
      </c>
      <c r="I221" s="162"/>
      <c r="J221" s="162"/>
      <c r="K221" s="162"/>
      <c r="L221" s="162"/>
      <c r="M221" s="162"/>
      <c r="N221" s="162"/>
      <c r="O221" s="162"/>
      <c r="P221" s="162"/>
      <c r="Q221" s="1576"/>
      <c r="R221" s="1097"/>
      <c r="S221" s="623" t="s">
        <v>247</v>
      </c>
      <c r="U221" s="35"/>
      <c r="BO221" s="1594"/>
      <c r="CF221" s="1594"/>
      <c r="CU221" s="876"/>
      <c r="CV221" s="875"/>
      <c r="CW221" s="875"/>
      <c r="CX221" s="856"/>
      <c r="CY221" s="856"/>
      <c r="CZ221" s="856"/>
      <c r="DA221" s="126"/>
      <c r="DB221" s="126"/>
      <c r="DC221" s="126"/>
      <c r="DD221" s="126"/>
      <c r="DE221" s="856"/>
      <c r="DF221" s="856"/>
      <c r="DG221" s="856"/>
      <c r="DH221" s="856"/>
      <c r="DI221" s="856"/>
      <c r="DJ221" s="856"/>
      <c r="DK221" s="856"/>
      <c r="DL221" s="856"/>
      <c r="DM221" s="988"/>
      <c r="DN221" s="988"/>
      <c r="DO221" s="988"/>
      <c r="DP221" s="988"/>
      <c r="DQ221" s="988"/>
    </row>
    <row r="222" spans="1:121" s="135" customFormat="1" ht="15" thickBot="1" x14ac:dyDescent="0.25">
      <c r="A222" s="164"/>
      <c r="C222" s="119" t="str">
        <f>C148</f>
        <v>Summe der angefallenen MwSt  7%</v>
      </c>
      <c r="D222" s="120">
        <f>BT215</f>
        <v>0</v>
      </c>
      <c r="E222" s="120">
        <f t="shared" ref="E222:H222" si="250">BU215</f>
        <v>0</v>
      </c>
      <c r="F222" s="120">
        <f t="shared" si="250"/>
        <v>0</v>
      </c>
      <c r="G222" s="120">
        <f t="shared" si="250"/>
        <v>0</v>
      </c>
      <c r="H222" s="1582">
        <f t="shared" si="250"/>
        <v>0</v>
      </c>
      <c r="I222" s="162"/>
      <c r="J222" s="162"/>
      <c r="K222" s="162"/>
      <c r="L222" s="162"/>
      <c r="M222" s="162"/>
      <c r="N222" s="162"/>
      <c r="O222" s="162"/>
      <c r="P222" s="162"/>
      <c r="Q222" s="1576"/>
      <c r="R222" s="1097"/>
      <c r="U222" s="35"/>
      <c r="BO222" s="1594"/>
      <c r="CF222" s="1594"/>
      <c r="CU222" s="876"/>
      <c r="CV222" s="875"/>
      <c r="CW222" s="875"/>
      <c r="CX222" s="856"/>
      <c r="CY222" s="856"/>
      <c r="CZ222" s="856"/>
      <c r="DA222" s="126"/>
      <c r="DB222" s="126"/>
      <c r="DC222" s="126"/>
      <c r="DD222" s="126"/>
      <c r="DE222" s="856"/>
      <c r="DF222" s="856"/>
      <c r="DG222" s="856"/>
      <c r="DH222" s="856"/>
      <c r="DI222" s="856"/>
      <c r="DJ222" s="856"/>
      <c r="DK222" s="856"/>
      <c r="DL222" s="856"/>
      <c r="DM222" s="988"/>
      <c r="DN222" s="988"/>
      <c r="DO222" s="988"/>
      <c r="DP222" s="988"/>
      <c r="DQ222" s="988"/>
    </row>
    <row r="223" spans="1:121" s="135" customFormat="1" ht="15.75" thickTop="1" thickBot="1" x14ac:dyDescent="0.25">
      <c r="A223" s="164"/>
      <c r="C223" s="122" t="str">
        <f>C149</f>
        <v>Gesamtsumme angefallener MwSt</v>
      </c>
      <c r="D223" s="123">
        <f>D222+D221</f>
        <v>0</v>
      </c>
      <c r="E223" s="123">
        <f>E222+E221</f>
        <v>0</v>
      </c>
      <c r="F223" s="123">
        <f>F222+F221</f>
        <v>0</v>
      </c>
      <c r="G223" s="123">
        <f>G222+G221</f>
        <v>0</v>
      </c>
      <c r="H223" s="1085">
        <f>H222+H221</f>
        <v>0</v>
      </c>
      <c r="I223" s="162"/>
      <c r="J223" s="162"/>
      <c r="K223" s="162"/>
      <c r="L223" s="162"/>
      <c r="M223" s="162"/>
      <c r="N223" s="162"/>
      <c r="O223" s="162"/>
      <c r="P223" s="162"/>
      <c r="Q223" s="1576"/>
      <c r="R223" s="1097"/>
      <c r="S223" s="431"/>
      <c r="U223" s="35"/>
      <c r="BO223" s="1594"/>
      <c r="CF223" s="1594"/>
      <c r="CU223" s="876"/>
      <c r="CV223" s="875"/>
      <c r="CW223" s="875"/>
      <c r="CX223" s="856"/>
      <c r="CY223" s="856"/>
      <c r="CZ223" s="856"/>
      <c r="DA223" s="126"/>
      <c r="DB223" s="126"/>
      <c r="DC223" s="126"/>
      <c r="DD223" s="126"/>
      <c r="DE223" s="856"/>
      <c r="DF223" s="856"/>
      <c r="DG223" s="856"/>
      <c r="DH223" s="856"/>
      <c r="DI223" s="856"/>
      <c r="DJ223" s="856"/>
      <c r="DK223" s="856"/>
      <c r="DL223" s="856"/>
      <c r="DM223" s="988"/>
      <c r="DN223" s="988"/>
      <c r="DO223" s="988"/>
      <c r="DP223" s="988"/>
      <c r="DQ223" s="988"/>
    </row>
    <row r="224" spans="1:121" s="135" customFormat="1" x14ac:dyDescent="0.2">
      <c r="A224" s="164"/>
      <c r="C224" s="166"/>
      <c r="D224" s="154"/>
      <c r="E224" s="154"/>
      <c r="F224" s="154"/>
      <c r="G224" s="154"/>
      <c r="H224" s="154"/>
      <c r="I224" s="162"/>
      <c r="J224" s="162"/>
      <c r="K224" s="162"/>
      <c r="L224" s="162"/>
      <c r="M224" s="162"/>
      <c r="N224" s="162"/>
      <c r="O224" s="162"/>
      <c r="P224" s="162"/>
      <c r="Q224" s="1576"/>
      <c r="R224" s="1097"/>
      <c r="U224" s="35"/>
      <c r="BO224" s="1594"/>
      <c r="CF224" s="1594"/>
      <c r="CU224" s="876"/>
      <c r="CV224" s="875"/>
      <c r="CW224" s="875"/>
      <c r="CX224" s="856"/>
      <c r="CY224" s="856"/>
      <c r="CZ224" s="856"/>
      <c r="DA224" s="126"/>
      <c r="DB224" s="126"/>
      <c r="DC224" s="126"/>
      <c r="DD224" s="126"/>
      <c r="DE224" s="856"/>
      <c r="DF224" s="856"/>
      <c r="DG224" s="856"/>
      <c r="DH224" s="856"/>
      <c r="DI224" s="856"/>
      <c r="DJ224" s="856"/>
      <c r="DK224" s="856"/>
      <c r="DL224" s="856"/>
      <c r="DM224" s="988"/>
      <c r="DN224" s="988"/>
      <c r="DO224" s="988"/>
      <c r="DP224" s="988"/>
      <c r="DQ224" s="988"/>
    </row>
    <row r="225" spans="1:121" s="135" customFormat="1" x14ac:dyDescent="0.2">
      <c r="A225" s="164"/>
      <c r="C225" s="166"/>
      <c r="D225" s="154"/>
      <c r="E225" s="154"/>
      <c r="F225" s="154"/>
      <c r="G225" s="154"/>
      <c r="H225" s="154"/>
      <c r="I225" s="162"/>
      <c r="J225" s="162"/>
      <c r="K225" s="162"/>
      <c r="L225" s="162"/>
      <c r="M225" s="162"/>
      <c r="N225" s="162"/>
      <c r="O225" s="162"/>
      <c r="P225" s="162"/>
      <c r="Q225" s="1576"/>
      <c r="R225" s="1097"/>
      <c r="U225" s="35"/>
      <c r="BO225" s="1594"/>
      <c r="CF225" s="1594"/>
      <c r="CU225" s="876"/>
      <c r="CV225" s="875"/>
      <c r="CW225" s="875"/>
      <c r="CX225" s="856"/>
      <c r="CY225" s="856"/>
      <c r="CZ225" s="856"/>
      <c r="DA225" s="126"/>
      <c r="DB225" s="126"/>
      <c r="DC225" s="126"/>
      <c r="DD225" s="126"/>
      <c r="DE225" s="856"/>
      <c r="DF225" s="856"/>
      <c r="DG225" s="856"/>
      <c r="DH225" s="856"/>
      <c r="DI225" s="856"/>
      <c r="DJ225" s="856"/>
      <c r="DK225" s="856"/>
      <c r="DL225" s="856"/>
      <c r="DM225" s="988"/>
      <c r="DN225" s="988"/>
      <c r="DO225" s="988"/>
      <c r="DP225" s="988"/>
      <c r="DQ225" s="988"/>
    </row>
    <row r="226" spans="1:121" s="135" customFormat="1" x14ac:dyDescent="0.2">
      <c r="A226" s="164"/>
      <c r="C226" s="166"/>
      <c r="D226" s="154"/>
      <c r="E226" s="154"/>
      <c r="F226" s="154"/>
      <c r="G226" s="154"/>
      <c r="H226" s="154"/>
      <c r="I226" s="162"/>
      <c r="J226" s="162"/>
      <c r="K226" s="162"/>
      <c r="L226" s="162"/>
      <c r="M226" s="162"/>
      <c r="N226" s="162"/>
      <c r="O226" s="162"/>
      <c r="P226" s="162"/>
      <c r="Q226" s="1576"/>
      <c r="R226" s="1097"/>
      <c r="U226" s="35"/>
      <c r="BO226" s="1594"/>
      <c r="CF226" s="1594"/>
      <c r="CU226" s="876"/>
      <c r="CV226" s="875"/>
      <c r="CW226" s="875"/>
      <c r="CX226" s="856"/>
      <c r="CY226" s="856"/>
      <c r="CZ226" s="856"/>
      <c r="DA226" s="126"/>
      <c r="DB226" s="126"/>
      <c r="DC226" s="126"/>
      <c r="DD226" s="126"/>
      <c r="DE226" s="856"/>
      <c r="DF226" s="856"/>
      <c r="DG226" s="856"/>
      <c r="DH226" s="856"/>
      <c r="DI226" s="856"/>
      <c r="DJ226" s="856"/>
      <c r="DK226" s="856"/>
      <c r="DL226" s="856"/>
      <c r="DM226" s="988"/>
      <c r="DN226" s="988"/>
      <c r="DO226" s="988"/>
      <c r="DP226" s="988"/>
      <c r="DQ226" s="988"/>
    </row>
    <row r="227" spans="1:121" s="135" customFormat="1" x14ac:dyDescent="0.2">
      <c r="A227" s="164"/>
      <c r="C227" s="166"/>
      <c r="D227" s="154"/>
      <c r="E227" s="154"/>
      <c r="F227" s="154"/>
      <c r="G227" s="154"/>
      <c r="H227" s="154"/>
      <c r="I227" s="162"/>
      <c r="J227" s="162"/>
      <c r="K227" s="162"/>
      <c r="L227" s="162"/>
      <c r="M227" s="162"/>
      <c r="N227" s="162"/>
      <c r="O227" s="162"/>
      <c r="P227" s="162"/>
      <c r="Q227" s="1576"/>
      <c r="R227" s="1097"/>
      <c r="U227" s="35"/>
      <c r="BO227" s="1594"/>
      <c r="CF227" s="1594"/>
      <c r="CU227" s="876"/>
      <c r="CV227" s="875"/>
      <c r="CW227" s="875"/>
      <c r="CX227" s="856"/>
      <c r="CY227" s="856"/>
      <c r="CZ227" s="856"/>
      <c r="DA227" s="126"/>
      <c r="DB227" s="126"/>
      <c r="DC227" s="126"/>
      <c r="DD227" s="126"/>
      <c r="DE227" s="856"/>
      <c r="DF227" s="856"/>
      <c r="DG227" s="856"/>
      <c r="DH227" s="856"/>
      <c r="DI227" s="856"/>
      <c r="DJ227" s="856"/>
      <c r="DK227" s="856"/>
      <c r="DL227" s="856"/>
      <c r="DM227" s="988"/>
      <c r="DN227" s="988"/>
      <c r="DO227" s="988"/>
      <c r="DP227" s="988"/>
      <c r="DQ227" s="988"/>
    </row>
    <row r="228" spans="1:121" s="135" customFormat="1" x14ac:dyDescent="0.2">
      <c r="A228" s="164"/>
      <c r="C228" s="166"/>
      <c r="D228" s="154"/>
      <c r="E228" s="154"/>
      <c r="F228" s="154"/>
      <c r="G228" s="154"/>
      <c r="H228" s="154"/>
      <c r="I228" s="162"/>
      <c r="J228" s="162"/>
      <c r="K228" s="162"/>
      <c r="L228" s="162"/>
      <c r="M228" s="162"/>
      <c r="N228" s="162"/>
      <c r="O228" s="162"/>
      <c r="P228" s="162"/>
      <c r="Q228" s="1576"/>
      <c r="R228" s="1097"/>
      <c r="U228" s="35"/>
      <c r="BO228" s="1594"/>
      <c r="CF228" s="1594"/>
      <c r="CU228" s="876"/>
      <c r="CV228" s="875"/>
      <c r="CW228" s="875"/>
      <c r="CX228" s="856"/>
      <c r="CY228" s="856"/>
      <c r="CZ228" s="856"/>
      <c r="DA228" s="126"/>
      <c r="DB228" s="126"/>
      <c r="DC228" s="126"/>
      <c r="DD228" s="126"/>
      <c r="DE228" s="856"/>
      <c r="DF228" s="856"/>
      <c r="DG228" s="856"/>
      <c r="DH228" s="856"/>
      <c r="DI228" s="856"/>
      <c r="DJ228" s="856"/>
      <c r="DK228" s="856"/>
      <c r="DL228" s="856"/>
      <c r="DM228" s="988"/>
      <c r="DN228" s="988"/>
      <c r="DO228" s="988"/>
      <c r="DP228" s="988"/>
      <c r="DQ228" s="988"/>
    </row>
    <row r="229" spans="1:121" s="135" customFormat="1" x14ac:dyDescent="0.2">
      <c r="A229" s="164"/>
      <c r="C229" s="166"/>
      <c r="D229" s="154"/>
      <c r="E229" s="154"/>
      <c r="F229" s="154"/>
      <c r="G229" s="154"/>
      <c r="H229" s="154"/>
      <c r="I229" s="162"/>
      <c r="J229" s="162"/>
      <c r="K229" s="162"/>
      <c r="L229" s="162"/>
      <c r="M229" s="162"/>
      <c r="N229" s="162"/>
      <c r="O229" s="162"/>
      <c r="P229" s="162"/>
      <c r="Q229" s="1576"/>
      <c r="R229" s="1097"/>
      <c r="U229" s="35"/>
      <c r="BO229" s="1594"/>
      <c r="CF229" s="1594"/>
      <c r="CU229" s="876"/>
      <c r="CV229" s="875"/>
      <c r="CW229" s="875"/>
      <c r="CX229" s="856"/>
      <c r="CY229" s="856"/>
      <c r="CZ229" s="856"/>
      <c r="DA229" s="126"/>
      <c r="DB229" s="126"/>
      <c r="DC229" s="126"/>
      <c r="DD229" s="126"/>
      <c r="DE229" s="856"/>
      <c r="DF229" s="856"/>
      <c r="DG229" s="856"/>
      <c r="DH229" s="856"/>
      <c r="DI229" s="856"/>
      <c r="DJ229" s="856"/>
      <c r="DK229" s="856"/>
      <c r="DL229" s="856"/>
      <c r="DM229" s="988"/>
      <c r="DN229" s="988"/>
      <c r="DO229" s="988"/>
      <c r="DP229" s="988"/>
      <c r="DQ229" s="988"/>
    </row>
    <row r="230" spans="1:121" s="135" customFormat="1" x14ac:dyDescent="0.2">
      <c r="A230" s="164"/>
      <c r="C230" s="166"/>
      <c r="D230" s="154"/>
      <c r="E230" s="154"/>
      <c r="F230" s="154"/>
      <c r="G230" s="154"/>
      <c r="H230" s="154"/>
      <c r="I230" s="162"/>
      <c r="J230" s="162"/>
      <c r="K230" s="162"/>
      <c r="L230" s="162"/>
      <c r="M230" s="162"/>
      <c r="N230" s="162"/>
      <c r="O230" s="162"/>
      <c r="P230" s="162"/>
      <c r="Q230" s="1576"/>
      <c r="R230" s="1097"/>
      <c r="U230" s="35"/>
      <c r="BO230" s="1594"/>
      <c r="CF230" s="1594"/>
      <c r="CU230" s="907"/>
      <c r="CV230" s="875"/>
      <c r="CW230" s="875"/>
      <c r="CX230" s="856"/>
      <c r="CY230" s="856"/>
      <c r="CZ230" s="856"/>
      <c r="DA230" s="126"/>
      <c r="DB230" s="126"/>
      <c r="DC230" s="126"/>
      <c r="DD230" s="126"/>
      <c r="DE230" s="856"/>
      <c r="DF230" s="856"/>
      <c r="DG230" s="856"/>
      <c r="DH230" s="856"/>
      <c r="DI230" s="856"/>
      <c r="DJ230" s="856"/>
      <c r="DK230" s="856"/>
      <c r="DL230" s="856"/>
      <c r="DM230" s="988"/>
      <c r="DN230" s="988"/>
      <c r="DO230" s="988"/>
      <c r="DP230" s="988"/>
      <c r="DQ230" s="988"/>
    </row>
    <row r="231" spans="1:121" s="35" customFormat="1" x14ac:dyDescent="0.2">
      <c r="A231" s="34"/>
      <c r="B231" s="135"/>
      <c r="C231" s="13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578"/>
      <c r="R231" s="1097"/>
      <c r="BO231" s="68"/>
      <c r="CF231" s="68"/>
      <c r="CU231" s="897"/>
      <c r="CV231" s="875"/>
      <c r="CW231" s="875"/>
      <c r="CX231" s="856"/>
      <c r="CY231" s="856"/>
      <c r="CZ231" s="856"/>
      <c r="DA231" s="126"/>
      <c r="DB231" s="126"/>
      <c r="DC231" s="126"/>
      <c r="DD231" s="126"/>
      <c r="DE231" s="856"/>
      <c r="DF231" s="856"/>
      <c r="DG231" s="856"/>
      <c r="DH231" s="856"/>
      <c r="DI231" s="856"/>
      <c r="DJ231" s="856"/>
      <c r="DK231" s="856"/>
      <c r="DL231" s="856"/>
      <c r="DM231" s="152"/>
      <c r="DN231" s="152"/>
      <c r="DO231" s="152"/>
      <c r="DP231" s="152"/>
      <c r="DQ231" s="152"/>
    </row>
    <row r="232" spans="1:121" s="35" customFormat="1" x14ac:dyDescent="0.2">
      <c r="A232" s="34"/>
      <c r="B232" s="135"/>
      <c r="C232" s="13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578"/>
      <c r="R232" s="1097"/>
      <c r="BO232" s="68"/>
      <c r="CF232" s="68"/>
      <c r="CU232" s="908"/>
      <c r="CV232" s="875"/>
      <c r="CW232" s="875"/>
      <c r="CX232" s="856"/>
      <c r="CY232" s="856"/>
      <c r="CZ232" s="856"/>
      <c r="DA232" s="126"/>
      <c r="DB232" s="126"/>
      <c r="DC232" s="126"/>
      <c r="DD232" s="126"/>
      <c r="DE232" s="856"/>
      <c r="DF232" s="856"/>
      <c r="DG232" s="856"/>
      <c r="DH232" s="856"/>
      <c r="DI232" s="856"/>
      <c r="DJ232" s="856"/>
      <c r="DK232" s="856"/>
      <c r="DL232" s="856"/>
      <c r="DM232" s="152"/>
      <c r="DN232" s="152"/>
      <c r="DO232" s="152"/>
      <c r="DP232" s="152"/>
      <c r="DQ232" s="152"/>
    </row>
    <row r="233" spans="1:121" s="35" customFormat="1" ht="24.75" x14ac:dyDescent="0.2">
      <c r="A233" s="34"/>
      <c r="B233" s="41" t="str">
        <f ca="1">IF($C$2="English",CV233,CU233)</f>
        <v xml:space="preserve">4c-1Betriebskosten für das Jahr 2019 in EUR  (mit MwSt) </v>
      </c>
      <c r="C233" s="42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9"/>
      <c r="Q233" s="1578"/>
      <c r="R233" s="1097"/>
      <c r="CF233" s="68"/>
      <c r="CU233" s="894" t="str">
        <f ca="1">"4c-1Betriebskosten für das Jahr " &amp;'1 Pers.Ausgaben|Pers Expenses'!$C$4&amp;" in EUR" &amp; "  (" &amp; 'Deckblatt Gruender|Data Founder'!$J$2&amp; ") "</f>
        <v xml:space="preserve">4c-1Betriebskosten für das Jahr 2019 in EUR  (mit MwSt) </v>
      </c>
      <c r="CV233" s="895" t="str">
        <f ca="1">"4c-1 Operating Expense for Year " &amp;'1 Pers.Ausgaben|Pers Expenses'!$C$4&amp;" in EUR" &amp; "  (" &amp; 'Deckblatt Gruender|Data Founder'!$K$2&amp; ") "</f>
        <v xml:space="preserve">4c-1 Operating Expense for Year 2019 in EUR  (incl VAT) </v>
      </c>
      <c r="CW233" s="875"/>
      <c r="CX233" s="856"/>
      <c r="CY233" s="856"/>
      <c r="CZ233" s="856"/>
      <c r="DA233" s="126"/>
      <c r="DB233" s="126"/>
      <c r="DC233" s="126"/>
      <c r="DD233" s="126"/>
      <c r="DE233" s="856"/>
      <c r="DF233" s="856"/>
      <c r="DG233" s="856"/>
      <c r="DH233" s="856"/>
      <c r="DI233" s="856"/>
      <c r="DJ233" s="856"/>
      <c r="DK233" s="856"/>
      <c r="DL233" s="856"/>
      <c r="DM233" s="152"/>
      <c r="DN233" s="152"/>
      <c r="DO233" s="152"/>
      <c r="DP233" s="152"/>
      <c r="DQ233" s="152"/>
    </row>
    <row r="234" spans="1:121" s="35" customFormat="1" ht="15" thickBot="1" x14ac:dyDescent="0.25">
      <c r="A234" s="34"/>
      <c r="B234" s="155" t="str">
        <f>IF($C$2="English",CV234,CU234)</f>
        <v/>
      </c>
      <c r="D234" s="150">
        <f>IF('Deckblatt Gruender|Data Founder'!J1="mit MwSt",-1,1)</f>
        <v>1</v>
      </c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577"/>
      <c r="R234" s="1097"/>
      <c r="CF234" s="68"/>
      <c r="CU234" s="875" t="str">
        <f>IF($D$4=-1,"   ┌   MwSt-Satz der jeweiligen Kostenart","")</f>
        <v/>
      </c>
      <c r="CV234" s="875" t="str">
        <f>IF($D$4=-1,"   ┌   VAT for Cost Type","")</f>
        <v/>
      </c>
      <c r="CW234" s="875"/>
      <c r="CX234" s="856"/>
      <c r="CY234" s="856"/>
      <c r="CZ234" s="856"/>
      <c r="DA234" s="126"/>
      <c r="DB234" s="126"/>
      <c r="DC234" s="126"/>
      <c r="DD234" s="126"/>
      <c r="DE234" s="856"/>
      <c r="DF234" s="856"/>
      <c r="DG234" s="856"/>
      <c r="DH234" s="856"/>
      <c r="DI234" s="856"/>
      <c r="DJ234" s="856"/>
      <c r="DK234" s="856"/>
      <c r="DL234" s="856"/>
      <c r="DM234" s="152"/>
      <c r="DN234" s="152"/>
      <c r="DO234" s="152"/>
      <c r="DP234" s="152"/>
      <c r="DQ234" s="152"/>
    </row>
    <row r="235" spans="1:121" ht="15.75" thickBot="1" x14ac:dyDescent="0.25">
      <c r="A235" s="129"/>
      <c r="B235" s="51" t="str">
        <f t="shared" ref="B235:P235" si="251">B5</f>
        <v>No.</v>
      </c>
      <c r="C235" s="52" t="str">
        <f t="shared" si="251"/>
        <v>Kostenart</v>
      </c>
      <c r="D235" s="53" t="str">
        <f t="shared" si="251"/>
        <v>Jan.</v>
      </c>
      <c r="E235" s="53" t="str">
        <f t="shared" si="251"/>
        <v>Febr.</v>
      </c>
      <c r="F235" s="53" t="str">
        <f t="shared" si="251"/>
        <v>März</v>
      </c>
      <c r="G235" s="53" t="str">
        <f t="shared" si="251"/>
        <v>April</v>
      </c>
      <c r="H235" s="53" t="str">
        <f t="shared" si="251"/>
        <v>Mai</v>
      </c>
      <c r="I235" s="53" t="str">
        <f t="shared" si="251"/>
        <v>Juni</v>
      </c>
      <c r="J235" s="53" t="str">
        <f t="shared" si="251"/>
        <v>Juli</v>
      </c>
      <c r="K235" s="53" t="str">
        <f t="shared" si="251"/>
        <v>Aug.</v>
      </c>
      <c r="L235" s="53" t="str">
        <f t="shared" si="251"/>
        <v>Sept.</v>
      </c>
      <c r="M235" s="53" t="str">
        <f t="shared" si="251"/>
        <v>Okt.</v>
      </c>
      <c r="N235" s="53" t="str">
        <f t="shared" si="251"/>
        <v>Nov.</v>
      </c>
      <c r="O235" s="53" t="str">
        <f t="shared" si="251"/>
        <v>Dez.</v>
      </c>
      <c r="P235" s="54" t="str">
        <f t="shared" ca="1" si="251"/>
        <v>Jahr 2019</v>
      </c>
      <c r="Q235" s="1574"/>
      <c r="S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CF235" s="68"/>
      <c r="CU235" s="903" t="str">
        <f ca="1">"4d  Betriebskosten für die Jahre "&amp;'1 Pers.Ausgaben|Pers Expenses'!$C$4&amp;" - "&amp; '1 Pers.Ausgaben|Pers Expenses'!$C$4+4&amp;" in EUR"&amp; IF( 'Deckblatt Gruender|Data Founder'!$J$2 ="ohne $Q$2"," ( "&amp;'Deckblatt Gruender|Data Founder'!$J$2&amp;"; nur zur Kenntnis)","")</f>
        <v>4d  Betriebskosten für die Jahre 2019 - 2023 in EUR</v>
      </c>
      <c r="CV235" s="875" t="str">
        <f ca="1">"4d  Operating Expense for Years "&amp;'1 Pers.Ausgaben|Pers Expenses'!$C$4&amp;" - "&amp; '1 Pers.Ausgaben|Pers Expenses'!$C$4+4&amp;" in EUR"&amp; IF( 'Deckblatt Gruender|Data Founder'!$K$2 ="w/o VAT"," (" &amp;'Deckblatt Gruender|Data Founder'!$K$2 &amp; "; only for knowledge)","")</f>
        <v>4d  Operating Expense for Years 2019 - 2023 in EUR</v>
      </c>
    </row>
    <row r="236" spans="1:121" ht="15" x14ac:dyDescent="0.2">
      <c r="A236" s="168"/>
      <c r="B236" s="991">
        <f>B6</f>
        <v>1</v>
      </c>
      <c r="C236" s="63" t="str">
        <f>C6</f>
        <v>Bürokosten</v>
      </c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5"/>
      <c r="Q236" s="1578"/>
      <c r="S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CF236" s="68"/>
      <c r="CU236" s="896" t="str">
        <f>IF($D$4=-1,"","   ┌   MwSt-Satz der jeweiligen Kostenart")</f>
        <v xml:space="preserve">   ┌   MwSt-Satz der jeweiligen Kostenart</v>
      </c>
      <c r="CV236" s="875" t="str">
        <f>IF($D$4=-1,"","   ┌   VAT for Cost Type")</f>
        <v xml:space="preserve">   ┌   VAT for Cost Type</v>
      </c>
    </row>
    <row r="237" spans="1:121" x14ac:dyDescent="0.2">
      <c r="A237" s="169">
        <f t="shared" ref="A237:A242" si="252">IF(B7="",B237,B7)</f>
        <v>0.19</v>
      </c>
      <c r="B237" s="992">
        <f t="shared" ref="B237:B242" si="253">A7</f>
        <v>0.19</v>
      </c>
      <c r="C237" s="73" t="str">
        <f t="shared" ref="C237:C268" si="254">C7</f>
        <v>Raummiete</v>
      </c>
      <c r="D237" s="134">
        <f t="shared" ref="D237:O237" si="255">D7*POWER((1+$A237),$D$234)</f>
        <v>0</v>
      </c>
      <c r="E237" s="134">
        <f t="shared" si="255"/>
        <v>0</v>
      </c>
      <c r="F237" s="134">
        <f t="shared" si="255"/>
        <v>0</v>
      </c>
      <c r="G237" s="134">
        <f t="shared" si="255"/>
        <v>0</v>
      </c>
      <c r="H237" s="134">
        <f t="shared" si="255"/>
        <v>0</v>
      </c>
      <c r="I237" s="134">
        <f t="shared" si="255"/>
        <v>0</v>
      </c>
      <c r="J237" s="134">
        <f t="shared" si="255"/>
        <v>0</v>
      </c>
      <c r="K237" s="134">
        <f t="shared" si="255"/>
        <v>0</v>
      </c>
      <c r="L237" s="134">
        <f t="shared" si="255"/>
        <v>0</v>
      </c>
      <c r="M237" s="134">
        <f t="shared" si="255"/>
        <v>0</v>
      </c>
      <c r="N237" s="134">
        <f t="shared" si="255"/>
        <v>0</v>
      </c>
      <c r="O237" s="134">
        <f t="shared" si="255"/>
        <v>0</v>
      </c>
      <c r="P237" s="308">
        <f t="shared" ref="P237:P242" si="256">SUM(D237:O237)</f>
        <v>0</v>
      </c>
      <c r="Q237" s="1578"/>
      <c r="S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CF237" s="68"/>
      <c r="CU237" s="905"/>
    </row>
    <row r="238" spans="1:121" x14ac:dyDescent="0.2">
      <c r="A238" s="169">
        <f t="shared" si="252"/>
        <v>0.19</v>
      </c>
      <c r="B238" s="992">
        <f t="shared" si="253"/>
        <v>0.19</v>
      </c>
      <c r="C238" s="73" t="str">
        <f t="shared" si="254"/>
        <v>Strom, Wasser, Heizung, sonst. Nebenkosten</v>
      </c>
      <c r="D238" s="134">
        <f t="shared" ref="D238:O238" si="257">D8*POWER((1+$A238),$D$234)</f>
        <v>0</v>
      </c>
      <c r="E238" s="134">
        <f t="shared" si="257"/>
        <v>0</v>
      </c>
      <c r="F238" s="134">
        <f t="shared" si="257"/>
        <v>0</v>
      </c>
      <c r="G238" s="134">
        <f t="shared" si="257"/>
        <v>0</v>
      </c>
      <c r="H238" s="134">
        <f t="shared" si="257"/>
        <v>0</v>
      </c>
      <c r="I238" s="134">
        <f t="shared" si="257"/>
        <v>0</v>
      </c>
      <c r="J238" s="134">
        <f t="shared" si="257"/>
        <v>0</v>
      </c>
      <c r="K238" s="134">
        <f t="shared" si="257"/>
        <v>0</v>
      </c>
      <c r="L238" s="134">
        <f t="shared" si="257"/>
        <v>0</v>
      </c>
      <c r="M238" s="134">
        <f t="shared" si="257"/>
        <v>0</v>
      </c>
      <c r="N238" s="134">
        <f t="shared" si="257"/>
        <v>0</v>
      </c>
      <c r="O238" s="134">
        <f t="shared" si="257"/>
        <v>0</v>
      </c>
      <c r="P238" s="308">
        <f t="shared" si="256"/>
        <v>0</v>
      </c>
      <c r="Q238" s="1578"/>
      <c r="S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CF238" s="68"/>
      <c r="CU238" s="906"/>
    </row>
    <row r="239" spans="1:121" x14ac:dyDescent="0.2">
      <c r="A239" s="169">
        <f t="shared" si="252"/>
        <v>0.19</v>
      </c>
      <c r="B239" s="992">
        <f t="shared" si="253"/>
        <v>0.19</v>
      </c>
      <c r="C239" s="73" t="str">
        <f t="shared" si="254"/>
        <v>Telefon, Fax, Internet, Porto</v>
      </c>
      <c r="D239" s="134">
        <f t="shared" ref="D239:O239" si="258">D9*POWER((1+$A239),$D$234)</f>
        <v>0</v>
      </c>
      <c r="E239" s="134">
        <f t="shared" si="258"/>
        <v>0</v>
      </c>
      <c r="F239" s="134">
        <f t="shared" si="258"/>
        <v>0</v>
      </c>
      <c r="G239" s="134">
        <f t="shared" si="258"/>
        <v>0</v>
      </c>
      <c r="H239" s="134">
        <f t="shared" si="258"/>
        <v>0</v>
      </c>
      <c r="I239" s="134">
        <f t="shared" si="258"/>
        <v>0</v>
      </c>
      <c r="J239" s="134">
        <f t="shared" si="258"/>
        <v>0</v>
      </c>
      <c r="K239" s="134">
        <f t="shared" si="258"/>
        <v>0</v>
      </c>
      <c r="L239" s="134">
        <f t="shared" si="258"/>
        <v>0</v>
      </c>
      <c r="M239" s="134">
        <f t="shared" si="258"/>
        <v>0</v>
      </c>
      <c r="N239" s="134">
        <f t="shared" si="258"/>
        <v>0</v>
      </c>
      <c r="O239" s="134">
        <f t="shared" si="258"/>
        <v>0</v>
      </c>
      <c r="P239" s="308">
        <f t="shared" si="256"/>
        <v>0</v>
      </c>
      <c r="Q239" s="1578"/>
      <c r="S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CF239" s="68"/>
      <c r="CU239" s="876"/>
    </row>
    <row r="240" spans="1:121" x14ac:dyDescent="0.2">
      <c r="A240" s="169">
        <f t="shared" si="252"/>
        <v>0.19</v>
      </c>
      <c r="B240" s="992">
        <f t="shared" si="253"/>
        <v>0.19</v>
      </c>
      <c r="C240" s="73" t="str">
        <f t="shared" si="254"/>
        <v>Geringw. Wirtschaftsgüter (Büromöbel, Einrichtungen,...)</v>
      </c>
      <c r="D240" s="134">
        <f t="shared" ref="D240:O240" si="259">D10*POWER((1+$A240),$D$234)</f>
        <v>0</v>
      </c>
      <c r="E240" s="134">
        <f t="shared" si="259"/>
        <v>0</v>
      </c>
      <c r="F240" s="134">
        <f t="shared" si="259"/>
        <v>0</v>
      </c>
      <c r="G240" s="134">
        <f t="shared" si="259"/>
        <v>0</v>
      </c>
      <c r="H240" s="134">
        <f t="shared" si="259"/>
        <v>0</v>
      </c>
      <c r="I240" s="134">
        <f t="shared" si="259"/>
        <v>0</v>
      </c>
      <c r="J240" s="134">
        <f t="shared" si="259"/>
        <v>0</v>
      </c>
      <c r="K240" s="134">
        <f t="shared" si="259"/>
        <v>0</v>
      </c>
      <c r="L240" s="134">
        <f t="shared" si="259"/>
        <v>0</v>
      </c>
      <c r="M240" s="134">
        <f>M10*POWER((1+$A240),$D$234)</f>
        <v>0</v>
      </c>
      <c r="N240" s="134">
        <f t="shared" si="259"/>
        <v>0</v>
      </c>
      <c r="O240" s="134">
        <f t="shared" si="259"/>
        <v>0</v>
      </c>
      <c r="P240" s="308">
        <f t="shared" si="256"/>
        <v>0</v>
      </c>
      <c r="Q240" s="1578"/>
      <c r="S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CF240" s="68"/>
      <c r="CU240" s="876"/>
    </row>
    <row r="241" spans="1:99" x14ac:dyDescent="0.2">
      <c r="A241" s="169">
        <f t="shared" si="252"/>
        <v>0.19</v>
      </c>
      <c r="B241" s="992">
        <f t="shared" si="253"/>
        <v>0.19</v>
      </c>
      <c r="C241" s="73" t="str">
        <f t="shared" si="254"/>
        <v>IT (Lizenzen, Windows, Office, Wartung)</v>
      </c>
      <c r="D241" s="134">
        <f t="shared" ref="D241:O241" si="260">D11*POWER((1+$A241),$D$234)</f>
        <v>0</v>
      </c>
      <c r="E241" s="134">
        <f t="shared" si="260"/>
        <v>0</v>
      </c>
      <c r="F241" s="134">
        <f t="shared" si="260"/>
        <v>0</v>
      </c>
      <c r="G241" s="134">
        <f t="shared" si="260"/>
        <v>0</v>
      </c>
      <c r="H241" s="134">
        <f t="shared" si="260"/>
        <v>0</v>
      </c>
      <c r="I241" s="134">
        <f t="shared" si="260"/>
        <v>0</v>
      </c>
      <c r="J241" s="134">
        <f t="shared" si="260"/>
        <v>0</v>
      </c>
      <c r="K241" s="134">
        <f t="shared" si="260"/>
        <v>0</v>
      </c>
      <c r="L241" s="134">
        <f t="shared" si="260"/>
        <v>0</v>
      </c>
      <c r="M241" s="134">
        <f>M11*POWER((1+$A241),$D$234)</f>
        <v>0</v>
      </c>
      <c r="N241" s="134">
        <f t="shared" si="260"/>
        <v>0</v>
      </c>
      <c r="O241" s="134">
        <f t="shared" si="260"/>
        <v>0</v>
      </c>
      <c r="P241" s="308">
        <f t="shared" si="256"/>
        <v>0</v>
      </c>
      <c r="Q241" s="1578"/>
      <c r="S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CF241" s="68"/>
      <c r="CU241" s="876"/>
    </row>
    <row r="242" spans="1:99" x14ac:dyDescent="0.2">
      <c r="A242" s="169">
        <f t="shared" si="252"/>
        <v>0.19</v>
      </c>
      <c r="B242" s="992">
        <f t="shared" si="253"/>
        <v>0.19</v>
      </c>
      <c r="C242" s="73" t="str">
        <f t="shared" si="254"/>
        <v>Sonstiges</v>
      </c>
      <c r="D242" s="880">
        <f t="shared" ref="D242:O242" si="261">D12*POWER((1+$A242),$D$234)</f>
        <v>0</v>
      </c>
      <c r="E242" s="880">
        <f t="shared" si="261"/>
        <v>0</v>
      </c>
      <c r="F242" s="880">
        <f t="shared" si="261"/>
        <v>0</v>
      </c>
      <c r="G242" s="880">
        <f t="shared" si="261"/>
        <v>0</v>
      </c>
      <c r="H242" s="880">
        <f t="shared" si="261"/>
        <v>0</v>
      </c>
      <c r="I242" s="880">
        <f t="shared" si="261"/>
        <v>0</v>
      </c>
      <c r="J242" s="880">
        <f t="shared" si="261"/>
        <v>0</v>
      </c>
      <c r="K242" s="880">
        <f t="shared" si="261"/>
        <v>0</v>
      </c>
      <c r="L242" s="880">
        <f t="shared" si="261"/>
        <v>0</v>
      </c>
      <c r="M242" s="880">
        <f t="shared" si="261"/>
        <v>0</v>
      </c>
      <c r="N242" s="880">
        <f t="shared" si="261"/>
        <v>0</v>
      </c>
      <c r="O242" s="880">
        <f t="shared" si="261"/>
        <v>0</v>
      </c>
      <c r="P242" s="1001">
        <f t="shared" si="256"/>
        <v>0</v>
      </c>
      <c r="Q242" s="1578"/>
      <c r="S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CF242" s="68"/>
      <c r="CU242" s="876"/>
    </row>
    <row r="243" spans="1:99" x14ac:dyDescent="0.2">
      <c r="A243" s="169"/>
      <c r="B243" s="993"/>
      <c r="C243" s="81" t="str">
        <f t="shared" si="254"/>
        <v>Summe Bürokosten</v>
      </c>
      <c r="D243" s="133">
        <f>SUM(D237:D242)</f>
        <v>0</v>
      </c>
      <c r="E243" s="133">
        <f t="shared" ref="E243:O243" si="262">SUM(E237:E242)</f>
        <v>0</v>
      </c>
      <c r="F243" s="133">
        <f t="shared" si="262"/>
        <v>0</v>
      </c>
      <c r="G243" s="133">
        <f t="shared" si="262"/>
        <v>0</v>
      </c>
      <c r="H243" s="133">
        <f t="shared" si="262"/>
        <v>0</v>
      </c>
      <c r="I243" s="133">
        <f t="shared" si="262"/>
        <v>0</v>
      </c>
      <c r="J243" s="133">
        <f t="shared" si="262"/>
        <v>0</v>
      </c>
      <c r="K243" s="133">
        <f t="shared" si="262"/>
        <v>0</v>
      </c>
      <c r="L243" s="133">
        <f t="shared" si="262"/>
        <v>0</v>
      </c>
      <c r="M243" s="133">
        <f t="shared" si="262"/>
        <v>0</v>
      </c>
      <c r="N243" s="133">
        <f t="shared" si="262"/>
        <v>0</v>
      </c>
      <c r="O243" s="133">
        <f t="shared" si="262"/>
        <v>0</v>
      </c>
      <c r="P243" s="998">
        <f>SUM(D243:O243)</f>
        <v>0</v>
      </c>
      <c r="Q243" s="1578"/>
      <c r="S243" s="139"/>
      <c r="T243" s="139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CF243" s="68"/>
      <c r="CU243" s="876"/>
    </row>
    <row r="244" spans="1:99" x14ac:dyDescent="0.2">
      <c r="A244" s="169"/>
      <c r="B244" s="991">
        <f>B14</f>
        <v>2</v>
      </c>
      <c r="C244" s="86" t="str">
        <f t="shared" si="254"/>
        <v>Produktionskosten</v>
      </c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8"/>
      <c r="Q244" s="1578"/>
      <c r="S244" s="139"/>
      <c r="T244" s="139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CF244" s="68"/>
      <c r="CU244" s="876"/>
    </row>
    <row r="245" spans="1:99" x14ac:dyDescent="0.2">
      <c r="A245" s="169">
        <f t="shared" ref="A245:A252" si="263">IF(B15="",B245,B15)</f>
        <v>0.19</v>
      </c>
      <c r="B245" s="992">
        <f t="shared" ref="B245:B252" si="264">A15</f>
        <v>0.19</v>
      </c>
      <c r="C245" s="73" t="str">
        <f t="shared" si="254"/>
        <v>Raummiete</v>
      </c>
      <c r="D245" s="134">
        <f t="shared" ref="D245:O245" si="265">D15*POWER((1+$A245),$D$234)</f>
        <v>0</v>
      </c>
      <c r="E245" s="134">
        <f t="shared" si="265"/>
        <v>0</v>
      </c>
      <c r="F245" s="134">
        <f t="shared" si="265"/>
        <v>0</v>
      </c>
      <c r="G245" s="134">
        <f t="shared" si="265"/>
        <v>0</v>
      </c>
      <c r="H245" s="134">
        <f t="shared" si="265"/>
        <v>0</v>
      </c>
      <c r="I245" s="134">
        <f t="shared" si="265"/>
        <v>0</v>
      </c>
      <c r="J245" s="134">
        <f t="shared" si="265"/>
        <v>0</v>
      </c>
      <c r="K245" s="134">
        <f t="shared" si="265"/>
        <v>0</v>
      </c>
      <c r="L245" s="134">
        <f t="shared" si="265"/>
        <v>0</v>
      </c>
      <c r="M245" s="134">
        <f t="shared" si="265"/>
        <v>0</v>
      </c>
      <c r="N245" s="134">
        <f t="shared" si="265"/>
        <v>0</v>
      </c>
      <c r="O245" s="134">
        <f t="shared" si="265"/>
        <v>0</v>
      </c>
      <c r="P245" s="308">
        <f>SUM(D245:O245)</f>
        <v>0</v>
      </c>
      <c r="Q245" s="1578"/>
      <c r="S245" s="139"/>
      <c r="T245" s="139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CF245" s="68"/>
      <c r="CU245" s="876"/>
    </row>
    <row r="246" spans="1:99" x14ac:dyDescent="0.2">
      <c r="A246" s="169">
        <f t="shared" si="263"/>
        <v>0.19</v>
      </c>
      <c r="B246" s="992">
        <f t="shared" si="264"/>
        <v>0.19</v>
      </c>
      <c r="C246" s="73" t="str">
        <f t="shared" si="254"/>
        <v>Strom, Wasser, Heizung, sonst. Nebenkosten</v>
      </c>
      <c r="D246" s="134">
        <f t="shared" ref="D246:O246" si="266">D16*POWER((1+$A246),$D$234)</f>
        <v>0</v>
      </c>
      <c r="E246" s="134">
        <f t="shared" si="266"/>
        <v>0</v>
      </c>
      <c r="F246" s="134">
        <f t="shared" si="266"/>
        <v>0</v>
      </c>
      <c r="G246" s="134">
        <f t="shared" si="266"/>
        <v>0</v>
      </c>
      <c r="H246" s="134">
        <f t="shared" si="266"/>
        <v>0</v>
      </c>
      <c r="I246" s="134">
        <f t="shared" si="266"/>
        <v>0</v>
      </c>
      <c r="J246" s="134">
        <f t="shared" si="266"/>
        <v>0</v>
      </c>
      <c r="K246" s="134">
        <f t="shared" si="266"/>
        <v>0</v>
      </c>
      <c r="L246" s="134">
        <f t="shared" si="266"/>
        <v>0</v>
      </c>
      <c r="M246" s="134">
        <f t="shared" si="266"/>
        <v>0</v>
      </c>
      <c r="N246" s="134">
        <f t="shared" si="266"/>
        <v>0</v>
      </c>
      <c r="O246" s="134">
        <f t="shared" si="266"/>
        <v>0</v>
      </c>
      <c r="P246" s="308">
        <f t="shared" ref="P246:P253" si="267">SUM(D246:O246)</f>
        <v>0</v>
      </c>
      <c r="Q246" s="1578"/>
      <c r="S246" s="139"/>
      <c r="T246" s="139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CF246" s="68"/>
      <c r="CU246" s="876"/>
    </row>
    <row r="247" spans="1:99" x14ac:dyDescent="0.2">
      <c r="A247" s="169">
        <f t="shared" si="263"/>
        <v>0.19</v>
      </c>
      <c r="B247" s="992">
        <f t="shared" si="264"/>
        <v>0.19</v>
      </c>
      <c r="C247" s="73" t="str">
        <f t="shared" si="254"/>
        <v>Materialaufwand zur Produktion (19%)</v>
      </c>
      <c r="D247" s="134">
        <f t="shared" ref="D247:O247" si="268">D17*POWER((1+$A247),$D$234)</f>
        <v>0</v>
      </c>
      <c r="E247" s="134">
        <f t="shared" si="268"/>
        <v>0</v>
      </c>
      <c r="F247" s="134">
        <f t="shared" si="268"/>
        <v>0</v>
      </c>
      <c r="G247" s="134">
        <f t="shared" si="268"/>
        <v>0</v>
      </c>
      <c r="H247" s="134">
        <f t="shared" si="268"/>
        <v>0</v>
      </c>
      <c r="I247" s="134">
        <f t="shared" si="268"/>
        <v>0</v>
      </c>
      <c r="J247" s="134">
        <f t="shared" si="268"/>
        <v>0</v>
      </c>
      <c r="K247" s="134">
        <f t="shared" si="268"/>
        <v>0</v>
      </c>
      <c r="L247" s="134">
        <f t="shared" si="268"/>
        <v>0</v>
      </c>
      <c r="M247" s="134">
        <f t="shared" si="268"/>
        <v>0</v>
      </c>
      <c r="N247" s="134">
        <f t="shared" si="268"/>
        <v>0</v>
      </c>
      <c r="O247" s="134">
        <f t="shared" si="268"/>
        <v>0</v>
      </c>
      <c r="P247" s="308">
        <f t="shared" si="267"/>
        <v>0</v>
      </c>
      <c r="Q247" s="1578"/>
      <c r="S247" s="139"/>
      <c r="T247" s="139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CF247" s="68"/>
      <c r="CU247" s="906"/>
    </row>
    <row r="248" spans="1:99" x14ac:dyDescent="0.2">
      <c r="A248" s="169">
        <f t="shared" si="263"/>
        <v>7.0000000000000007E-2</v>
      </c>
      <c r="B248" s="992">
        <f t="shared" si="264"/>
        <v>7.0000000000000007E-2</v>
      </c>
      <c r="C248" s="73" t="str">
        <f t="shared" si="254"/>
        <v>Materialaufwand zur Produktion (7%)</v>
      </c>
      <c r="D248" s="134">
        <f t="shared" ref="D248:O248" si="269">D18*POWER((1+$A248),$D$234)</f>
        <v>0</v>
      </c>
      <c r="E248" s="134">
        <f t="shared" si="269"/>
        <v>0</v>
      </c>
      <c r="F248" s="134">
        <f t="shared" si="269"/>
        <v>0</v>
      </c>
      <c r="G248" s="134">
        <f t="shared" si="269"/>
        <v>0</v>
      </c>
      <c r="H248" s="134">
        <f t="shared" si="269"/>
        <v>0</v>
      </c>
      <c r="I248" s="134">
        <f t="shared" si="269"/>
        <v>0</v>
      </c>
      <c r="J248" s="134">
        <f t="shared" si="269"/>
        <v>0</v>
      </c>
      <c r="K248" s="134">
        <f t="shared" si="269"/>
        <v>0</v>
      </c>
      <c r="L248" s="134">
        <f t="shared" si="269"/>
        <v>0</v>
      </c>
      <c r="M248" s="134">
        <f t="shared" si="269"/>
        <v>0</v>
      </c>
      <c r="N248" s="134">
        <f t="shared" si="269"/>
        <v>0</v>
      </c>
      <c r="O248" s="134">
        <f t="shared" si="269"/>
        <v>0</v>
      </c>
      <c r="P248" s="308">
        <f t="shared" si="267"/>
        <v>0</v>
      </c>
      <c r="Q248" s="1578"/>
      <c r="S248" s="139"/>
      <c r="T248" s="139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CF248" s="68"/>
      <c r="CU248" s="876"/>
    </row>
    <row r="249" spans="1:99" x14ac:dyDescent="0.2">
      <c r="A249" s="169">
        <f t="shared" si="263"/>
        <v>0.19</v>
      </c>
      <c r="B249" s="992">
        <f t="shared" si="264"/>
        <v>0.19</v>
      </c>
      <c r="C249" s="73" t="str">
        <f t="shared" si="254"/>
        <v>Produktionsbedarf, geringwertige Wirtschaftsgüter</v>
      </c>
      <c r="D249" s="134">
        <f t="shared" ref="D249:O249" si="270">D19*POWER((1+$A249),$D$234)</f>
        <v>0</v>
      </c>
      <c r="E249" s="134">
        <f t="shared" si="270"/>
        <v>0</v>
      </c>
      <c r="F249" s="134">
        <f t="shared" si="270"/>
        <v>0</v>
      </c>
      <c r="G249" s="134">
        <f t="shared" si="270"/>
        <v>0</v>
      </c>
      <c r="H249" s="134">
        <f t="shared" si="270"/>
        <v>0</v>
      </c>
      <c r="I249" s="134">
        <f t="shared" si="270"/>
        <v>0</v>
      </c>
      <c r="J249" s="134">
        <f t="shared" si="270"/>
        <v>0</v>
      </c>
      <c r="K249" s="134">
        <f t="shared" si="270"/>
        <v>0</v>
      </c>
      <c r="L249" s="134">
        <f t="shared" si="270"/>
        <v>0</v>
      </c>
      <c r="M249" s="134">
        <f t="shared" si="270"/>
        <v>0</v>
      </c>
      <c r="N249" s="134">
        <f t="shared" si="270"/>
        <v>0</v>
      </c>
      <c r="O249" s="134">
        <f t="shared" si="270"/>
        <v>0</v>
      </c>
      <c r="P249" s="308">
        <f t="shared" si="267"/>
        <v>0</v>
      </c>
      <c r="Q249" s="1578"/>
      <c r="S249" s="139"/>
      <c r="T249" s="139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CF249" s="68"/>
      <c r="CU249" s="876"/>
    </row>
    <row r="250" spans="1:99" x14ac:dyDescent="0.2">
      <c r="A250" s="169">
        <f t="shared" si="263"/>
        <v>0.19</v>
      </c>
      <c r="B250" s="992">
        <f t="shared" si="264"/>
        <v>0.19</v>
      </c>
      <c r="C250" s="73" t="str">
        <f t="shared" si="254"/>
        <v>Leasingraten für Produktionsanlagen, -maschinen</v>
      </c>
      <c r="D250" s="134">
        <f t="shared" ref="D250:M250" si="271">D20*POWER((1+$A250),$D$234)</f>
        <v>0</v>
      </c>
      <c r="E250" s="134">
        <f t="shared" si="271"/>
        <v>0</v>
      </c>
      <c r="F250" s="134">
        <f t="shared" si="271"/>
        <v>0</v>
      </c>
      <c r="G250" s="134">
        <f t="shared" si="271"/>
        <v>0</v>
      </c>
      <c r="H250" s="134">
        <f t="shared" si="271"/>
        <v>0</v>
      </c>
      <c r="I250" s="134">
        <f t="shared" si="271"/>
        <v>0</v>
      </c>
      <c r="J250" s="134">
        <f t="shared" si="271"/>
        <v>0</v>
      </c>
      <c r="K250" s="134">
        <f t="shared" si="271"/>
        <v>0</v>
      </c>
      <c r="L250" s="134">
        <f t="shared" si="271"/>
        <v>0</v>
      </c>
      <c r="M250" s="134">
        <f t="shared" si="271"/>
        <v>0</v>
      </c>
      <c r="N250" s="134">
        <f>N20*POWER((1+$A250),$D$234)</f>
        <v>0</v>
      </c>
      <c r="O250" s="134">
        <f>O20*POWER((1+$A250),$D$234)</f>
        <v>0</v>
      </c>
      <c r="P250" s="308">
        <f t="shared" si="267"/>
        <v>0</v>
      </c>
      <c r="Q250" s="1578"/>
      <c r="S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CF250" s="68"/>
      <c r="CU250" s="876"/>
    </row>
    <row r="251" spans="1:99" x14ac:dyDescent="0.2">
      <c r="A251" s="169">
        <f t="shared" si="263"/>
        <v>0.19</v>
      </c>
      <c r="B251" s="992">
        <f t="shared" si="264"/>
        <v>0.19</v>
      </c>
      <c r="C251" s="73" t="str">
        <f t="shared" si="254"/>
        <v>Instandhaltung und Reparaturen</v>
      </c>
      <c r="D251" s="134">
        <f t="shared" ref="D251:M251" si="272">D21*POWER((1+$A251),$D$234)</f>
        <v>0</v>
      </c>
      <c r="E251" s="134">
        <f t="shared" si="272"/>
        <v>0</v>
      </c>
      <c r="F251" s="134">
        <f t="shared" si="272"/>
        <v>0</v>
      </c>
      <c r="G251" s="134">
        <f t="shared" si="272"/>
        <v>0</v>
      </c>
      <c r="H251" s="134">
        <f t="shared" si="272"/>
        <v>0</v>
      </c>
      <c r="I251" s="134">
        <f t="shared" si="272"/>
        <v>0</v>
      </c>
      <c r="J251" s="134">
        <f t="shared" si="272"/>
        <v>0</v>
      </c>
      <c r="K251" s="134">
        <f t="shared" si="272"/>
        <v>0</v>
      </c>
      <c r="L251" s="134">
        <f t="shared" si="272"/>
        <v>0</v>
      </c>
      <c r="M251" s="134">
        <f t="shared" si="272"/>
        <v>0</v>
      </c>
      <c r="N251" s="134">
        <f>N21*POWER((1+$A251),$D$234)</f>
        <v>0</v>
      </c>
      <c r="O251" s="134">
        <f>O21*POWER((1+$A251),$D$234)</f>
        <v>0</v>
      </c>
      <c r="P251" s="308">
        <f t="shared" si="267"/>
        <v>0</v>
      </c>
      <c r="Q251" s="1578"/>
      <c r="S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CF251" s="68"/>
      <c r="CU251" s="876"/>
    </row>
    <row r="252" spans="1:99" x14ac:dyDescent="0.2">
      <c r="A252" s="169">
        <f t="shared" si="263"/>
        <v>0.19</v>
      </c>
      <c r="B252" s="992">
        <f t="shared" si="264"/>
        <v>0.19</v>
      </c>
      <c r="C252" s="73" t="str">
        <f t="shared" si="254"/>
        <v>Sonstiges</v>
      </c>
      <c r="D252" s="880">
        <f t="shared" ref="D252:O252" si="273">D22*POWER((1+$A252),$D$234)</f>
        <v>0</v>
      </c>
      <c r="E252" s="880">
        <f t="shared" si="273"/>
        <v>0</v>
      </c>
      <c r="F252" s="880">
        <f t="shared" si="273"/>
        <v>0</v>
      </c>
      <c r="G252" s="880">
        <f t="shared" si="273"/>
        <v>0</v>
      </c>
      <c r="H252" s="880">
        <f t="shared" si="273"/>
        <v>0</v>
      </c>
      <c r="I252" s="880">
        <f t="shared" si="273"/>
        <v>0</v>
      </c>
      <c r="J252" s="880">
        <f t="shared" si="273"/>
        <v>0</v>
      </c>
      <c r="K252" s="880">
        <f t="shared" si="273"/>
        <v>0</v>
      </c>
      <c r="L252" s="880">
        <f t="shared" si="273"/>
        <v>0</v>
      </c>
      <c r="M252" s="880">
        <f t="shared" si="273"/>
        <v>0</v>
      </c>
      <c r="N252" s="880">
        <f t="shared" si="273"/>
        <v>0</v>
      </c>
      <c r="O252" s="880">
        <f t="shared" si="273"/>
        <v>0</v>
      </c>
      <c r="P252" s="1001">
        <f t="shared" si="267"/>
        <v>0</v>
      </c>
      <c r="Q252" s="1578"/>
      <c r="S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CF252" s="68"/>
      <c r="CU252" s="906"/>
    </row>
    <row r="253" spans="1:99" x14ac:dyDescent="0.2">
      <c r="A253" s="169"/>
      <c r="B253" s="993"/>
      <c r="C253" s="96" t="str">
        <f t="shared" si="254"/>
        <v>Summe Produktionskosten</v>
      </c>
      <c r="D253" s="133">
        <f>SUM(D245:D252)</f>
        <v>0</v>
      </c>
      <c r="E253" s="133">
        <f t="shared" ref="E253:O253" si="274">SUM(E245:E252)</f>
        <v>0</v>
      </c>
      <c r="F253" s="133">
        <f t="shared" si="274"/>
        <v>0</v>
      </c>
      <c r="G253" s="133">
        <f t="shared" si="274"/>
        <v>0</v>
      </c>
      <c r="H253" s="133">
        <f t="shared" si="274"/>
        <v>0</v>
      </c>
      <c r="I253" s="133">
        <f t="shared" si="274"/>
        <v>0</v>
      </c>
      <c r="J253" s="133">
        <f t="shared" si="274"/>
        <v>0</v>
      </c>
      <c r="K253" s="133">
        <f t="shared" si="274"/>
        <v>0</v>
      </c>
      <c r="L253" s="133">
        <f t="shared" si="274"/>
        <v>0</v>
      </c>
      <c r="M253" s="133">
        <f t="shared" si="274"/>
        <v>0</v>
      </c>
      <c r="N253" s="133">
        <f t="shared" si="274"/>
        <v>0</v>
      </c>
      <c r="O253" s="133">
        <f t="shared" si="274"/>
        <v>0</v>
      </c>
      <c r="P253" s="998">
        <f t="shared" si="267"/>
        <v>0</v>
      </c>
      <c r="Q253" s="1578"/>
      <c r="S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CF253" s="68"/>
      <c r="CU253" s="876"/>
    </row>
    <row r="254" spans="1:99" x14ac:dyDescent="0.2">
      <c r="A254" s="169"/>
      <c r="B254" s="991">
        <f>B24</f>
        <v>3</v>
      </c>
      <c r="C254" s="86" t="str">
        <f t="shared" si="254"/>
        <v>Personalkosten (nur Angestellte)</v>
      </c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8"/>
      <c r="Q254" s="1578"/>
      <c r="S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CF254" s="68"/>
      <c r="CU254" s="876"/>
    </row>
    <row r="255" spans="1:99" x14ac:dyDescent="0.2">
      <c r="A255" s="169">
        <f>IF(B25="",B255,B25)</f>
        <v>0</v>
      </c>
      <c r="B255" s="992">
        <f>A25</f>
        <v>0</v>
      </c>
      <c r="C255" s="73" t="str">
        <f t="shared" si="254"/>
        <v>Löhne, Gehälter mit Nebenkosten (s. Nebenrechnung)</v>
      </c>
      <c r="D255" s="134">
        <f t="shared" ref="D255:N255" si="275">D25*POWER((1+$A255),$D$234)</f>
        <v>0</v>
      </c>
      <c r="E255" s="134">
        <f t="shared" si="275"/>
        <v>0</v>
      </c>
      <c r="F255" s="134">
        <f t="shared" si="275"/>
        <v>0</v>
      </c>
      <c r="G255" s="134">
        <f t="shared" si="275"/>
        <v>0</v>
      </c>
      <c r="H255" s="134">
        <f t="shared" si="275"/>
        <v>0</v>
      </c>
      <c r="I255" s="134">
        <f t="shared" si="275"/>
        <v>0</v>
      </c>
      <c r="J255" s="134">
        <f t="shared" si="275"/>
        <v>0</v>
      </c>
      <c r="K255" s="134">
        <f t="shared" si="275"/>
        <v>0</v>
      </c>
      <c r="L255" s="134">
        <f t="shared" si="275"/>
        <v>0</v>
      </c>
      <c r="M255" s="134">
        <f t="shared" si="275"/>
        <v>0</v>
      </c>
      <c r="N255" s="134">
        <f t="shared" si="275"/>
        <v>0</v>
      </c>
      <c r="O255" s="134">
        <f>O25*POWER((1+$A255),$D$234)</f>
        <v>0</v>
      </c>
      <c r="P255" s="308">
        <f>SUM(D255:O255)</f>
        <v>0</v>
      </c>
      <c r="Q255" s="1578"/>
      <c r="S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CF255" s="68"/>
      <c r="CU255" s="906"/>
    </row>
    <row r="256" spans="1:99" x14ac:dyDescent="0.2">
      <c r="A256" s="169">
        <f>IF(B26="",B256,B26)</f>
        <v>0</v>
      </c>
      <c r="B256" s="992">
        <f>A26</f>
        <v>0</v>
      </c>
      <c r="C256" s="131" t="str">
        <f t="shared" si="254"/>
        <v>Sonstiges</v>
      </c>
      <c r="D256" s="880">
        <f t="shared" ref="D256:N256" si="276">D26*POWER((1+$A256),$D$234)</f>
        <v>0</v>
      </c>
      <c r="E256" s="880">
        <f t="shared" si="276"/>
        <v>0</v>
      </c>
      <c r="F256" s="880">
        <f t="shared" si="276"/>
        <v>0</v>
      </c>
      <c r="G256" s="880">
        <f t="shared" si="276"/>
        <v>0</v>
      </c>
      <c r="H256" s="880">
        <f t="shared" si="276"/>
        <v>0</v>
      </c>
      <c r="I256" s="880">
        <f t="shared" si="276"/>
        <v>0</v>
      </c>
      <c r="J256" s="880">
        <f t="shared" si="276"/>
        <v>0</v>
      </c>
      <c r="K256" s="880">
        <f t="shared" si="276"/>
        <v>0</v>
      </c>
      <c r="L256" s="880">
        <f t="shared" si="276"/>
        <v>0</v>
      </c>
      <c r="M256" s="880">
        <f t="shared" si="276"/>
        <v>0</v>
      </c>
      <c r="N256" s="880">
        <f t="shared" si="276"/>
        <v>0</v>
      </c>
      <c r="O256" s="880">
        <f>O26*POWER((1+$A256),$D$234)</f>
        <v>0</v>
      </c>
      <c r="P256" s="1001">
        <f>SUM(D256:O256)</f>
        <v>0</v>
      </c>
      <c r="Q256" s="1578"/>
      <c r="S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CF256" s="68"/>
      <c r="CU256" s="876"/>
    </row>
    <row r="257" spans="1:99" x14ac:dyDescent="0.2">
      <c r="A257" s="169"/>
      <c r="B257" s="993"/>
      <c r="C257" s="96" t="str">
        <f t="shared" si="254"/>
        <v>Summe Personalkosten</v>
      </c>
      <c r="D257" s="133">
        <f>SUM(D255:D256)</f>
        <v>0</v>
      </c>
      <c r="E257" s="133">
        <f t="shared" ref="E257:O257" si="277">SUM(E255:E256)</f>
        <v>0</v>
      </c>
      <c r="F257" s="133">
        <f t="shared" si="277"/>
        <v>0</v>
      </c>
      <c r="G257" s="133">
        <f t="shared" si="277"/>
        <v>0</v>
      </c>
      <c r="H257" s="133">
        <f t="shared" si="277"/>
        <v>0</v>
      </c>
      <c r="I257" s="133">
        <f t="shared" si="277"/>
        <v>0</v>
      </c>
      <c r="J257" s="133">
        <f t="shared" si="277"/>
        <v>0</v>
      </c>
      <c r="K257" s="133">
        <f t="shared" si="277"/>
        <v>0</v>
      </c>
      <c r="L257" s="133">
        <f t="shared" si="277"/>
        <v>0</v>
      </c>
      <c r="M257" s="133">
        <f t="shared" si="277"/>
        <v>0</v>
      </c>
      <c r="N257" s="133">
        <f t="shared" si="277"/>
        <v>0</v>
      </c>
      <c r="O257" s="133">
        <f t="shared" si="277"/>
        <v>0</v>
      </c>
      <c r="P257" s="998">
        <f>SUM(D257:O257)</f>
        <v>0</v>
      </c>
      <c r="Q257" s="1578"/>
      <c r="S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CF257" s="68"/>
      <c r="CU257" s="876"/>
    </row>
    <row r="258" spans="1:99" x14ac:dyDescent="0.2">
      <c r="A258" s="169"/>
      <c r="B258" s="991">
        <f>B28</f>
        <v>4</v>
      </c>
      <c r="C258" s="86" t="str">
        <f t="shared" si="254"/>
        <v>Reisekosten</v>
      </c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8"/>
      <c r="Q258" s="1578"/>
      <c r="S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CF258" s="68"/>
      <c r="CU258" s="876"/>
    </row>
    <row r="259" spans="1:99" x14ac:dyDescent="0.2">
      <c r="A259" s="169">
        <f>IF(B29="",B259,B29)</f>
        <v>0.19</v>
      </c>
      <c r="B259" s="992">
        <f>A29</f>
        <v>0.19</v>
      </c>
      <c r="C259" s="73" t="str">
        <f t="shared" si="254"/>
        <v>Fahrtkosten</v>
      </c>
      <c r="D259" s="134">
        <f t="shared" ref="D259:O259" si="278">D29*POWER((1+$A259),$D$234)</f>
        <v>0</v>
      </c>
      <c r="E259" s="134">
        <f t="shared" si="278"/>
        <v>0</v>
      </c>
      <c r="F259" s="134">
        <f t="shared" si="278"/>
        <v>0</v>
      </c>
      <c r="G259" s="134">
        <f t="shared" si="278"/>
        <v>0</v>
      </c>
      <c r="H259" s="134">
        <f t="shared" si="278"/>
        <v>0</v>
      </c>
      <c r="I259" s="134">
        <f t="shared" si="278"/>
        <v>0</v>
      </c>
      <c r="J259" s="134">
        <f t="shared" si="278"/>
        <v>0</v>
      </c>
      <c r="K259" s="134">
        <f t="shared" si="278"/>
        <v>0</v>
      </c>
      <c r="L259" s="134">
        <f t="shared" si="278"/>
        <v>0</v>
      </c>
      <c r="M259" s="134">
        <f t="shared" si="278"/>
        <v>0</v>
      </c>
      <c r="N259" s="134">
        <f t="shared" si="278"/>
        <v>0</v>
      </c>
      <c r="O259" s="134">
        <f t="shared" si="278"/>
        <v>0</v>
      </c>
      <c r="P259" s="308">
        <f t="shared" ref="P259:P295" si="279">SUM(D259:O259)</f>
        <v>0</v>
      </c>
      <c r="Q259" s="1578"/>
      <c r="S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CF259" s="68"/>
      <c r="CU259" s="876"/>
    </row>
    <row r="260" spans="1:99" x14ac:dyDescent="0.2">
      <c r="A260" s="169">
        <f>IF(B30="",B260,B30)</f>
        <v>0.19</v>
      </c>
      <c r="B260" s="992">
        <f>A30</f>
        <v>0.19</v>
      </c>
      <c r="C260" s="73" t="str">
        <f t="shared" si="254"/>
        <v>Reisekostenpauschalen</v>
      </c>
      <c r="D260" s="134">
        <f t="shared" ref="D260:O260" si="280">D30*POWER((1+$A260),$D$234)</f>
        <v>0</v>
      </c>
      <c r="E260" s="134">
        <f t="shared" si="280"/>
        <v>0</v>
      </c>
      <c r="F260" s="134">
        <f t="shared" si="280"/>
        <v>0</v>
      </c>
      <c r="G260" s="134">
        <f t="shared" si="280"/>
        <v>0</v>
      </c>
      <c r="H260" s="134">
        <f t="shared" si="280"/>
        <v>0</v>
      </c>
      <c r="I260" s="134">
        <f t="shared" si="280"/>
        <v>0</v>
      </c>
      <c r="J260" s="134">
        <f t="shared" si="280"/>
        <v>0</v>
      </c>
      <c r="K260" s="134">
        <f t="shared" si="280"/>
        <v>0</v>
      </c>
      <c r="L260" s="134">
        <f t="shared" si="280"/>
        <v>0</v>
      </c>
      <c r="M260" s="134">
        <f t="shared" si="280"/>
        <v>0</v>
      </c>
      <c r="N260" s="134">
        <f t="shared" si="280"/>
        <v>0</v>
      </c>
      <c r="O260" s="134">
        <f t="shared" si="280"/>
        <v>0</v>
      </c>
      <c r="P260" s="308">
        <f t="shared" si="279"/>
        <v>0</v>
      </c>
      <c r="Q260" s="1578"/>
      <c r="S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CF260" s="68"/>
      <c r="CU260" s="876"/>
    </row>
    <row r="261" spans="1:99" x14ac:dyDescent="0.2">
      <c r="A261" s="169">
        <f>IF(B31="",B261,B31)</f>
        <v>7.0000000000000007E-2</v>
      </c>
      <c r="B261" s="992">
        <f>A31</f>
        <v>7.0000000000000007E-2</v>
      </c>
      <c r="C261" s="73" t="str">
        <f t="shared" si="254"/>
        <v>Übernachtungen</v>
      </c>
      <c r="D261" s="134">
        <f t="shared" ref="D261:O261" si="281">D31*POWER((1+$A261),$D$234)</f>
        <v>0</v>
      </c>
      <c r="E261" s="134">
        <f t="shared" si="281"/>
        <v>0</v>
      </c>
      <c r="F261" s="134">
        <f t="shared" si="281"/>
        <v>0</v>
      </c>
      <c r="G261" s="134">
        <f t="shared" si="281"/>
        <v>0</v>
      </c>
      <c r="H261" s="134">
        <f t="shared" si="281"/>
        <v>0</v>
      </c>
      <c r="I261" s="134">
        <f t="shared" si="281"/>
        <v>0</v>
      </c>
      <c r="J261" s="134">
        <f t="shared" si="281"/>
        <v>0</v>
      </c>
      <c r="K261" s="134">
        <f t="shared" si="281"/>
        <v>0</v>
      </c>
      <c r="L261" s="134">
        <f t="shared" si="281"/>
        <v>0</v>
      </c>
      <c r="M261" s="134">
        <f t="shared" si="281"/>
        <v>0</v>
      </c>
      <c r="N261" s="134">
        <f t="shared" si="281"/>
        <v>0</v>
      </c>
      <c r="O261" s="134">
        <f t="shared" si="281"/>
        <v>0</v>
      </c>
      <c r="P261" s="308">
        <f t="shared" si="279"/>
        <v>0</v>
      </c>
      <c r="Q261" s="1578"/>
      <c r="S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CF261" s="68"/>
      <c r="CU261" s="906"/>
    </row>
    <row r="262" spans="1:99" x14ac:dyDescent="0.2">
      <c r="A262" s="169">
        <f>IF(B32="",B262,B32)</f>
        <v>0.19</v>
      </c>
      <c r="B262" s="992">
        <f>A32</f>
        <v>0.19</v>
      </c>
      <c r="C262" s="73" t="str">
        <f t="shared" si="254"/>
        <v>Sonstiges</v>
      </c>
      <c r="D262" s="880">
        <f t="shared" ref="D262:O262" si="282">D32*POWER((1+$A262),$D$234)</f>
        <v>0</v>
      </c>
      <c r="E262" s="880">
        <f t="shared" si="282"/>
        <v>0</v>
      </c>
      <c r="F262" s="880">
        <f t="shared" si="282"/>
        <v>0</v>
      </c>
      <c r="G262" s="880">
        <f t="shared" si="282"/>
        <v>0</v>
      </c>
      <c r="H262" s="880">
        <f t="shared" si="282"/>
        <v>0</v>
      </c>
      <c r="I262" s="880">
        <f t="shared" si="282"/>
        <v>0</v>
      </c>
      <c r="J262" s="880">
        <f t="shared" si="282"/>
        <v>0</v>
      </c>
      <c r="K262" s="880">
        <f t="shared" si="282"/>
        <v>0</v>
      </c>
      <c r="L262" s="880">
        <f t="shared" si="282"/>
        <v>0</v>
      </c>
      <c r="M262" s="880">
        <f t="shared" si="282"/>
        <v>0</v>
      </c>
      <c r="N262" s="880">
        <f t="shared" si="282"/>
        <v>0</v>
      </c>
      <c r="O262" s="880">
        <f t="shared" si="282"/>
        <v>0</v>
      </c>
      <c r="P262" s="1001">
        <f t="shared" si="279"/>
        <v>0</v>
      </c>
      <c r="Q262" s="1578"/>
      <c r="S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CF262" s="68"/>
      <c r="CU262" s="876"/>
    </row>
    <row r="263" spans="1:99" x14ac:dyDescent="0.2">
      <c r="A263" s="169"/>
      <c r="B263" s="993"/>
      <c r="C263" s="96" t="str">
        <f t="shared" si="254"/>
        <v>Summe Reisekosten</v>
      </c>
      <c r="D263" s="133">
        <f>SUM(D259:D262)</f>
        <v>0</v>
      </c>
      <c r="E263" s="133">
        <f t="shared" ref="E263:O263" si="283">SUM(E259:E262)</f>
        <v>0</v>
      </c>
      <c r="F263" s="133">
        <f t="shared" si="283"/>
        <v>0</v>
      </c>
      <c r="G263" s="133">
        <f t="shared" si="283"/>
        <v>0</v>
      </c>
      <c r="H263" s="133">
        <f t="shared" si="283"/>
        <v>0</v>
      </c>
      <c r="I263" s="133">
        <f t="shared" si="283"/>
        <v>0</v>
      </c>
      <c r="J263" s="133">
        <f t="shared" si="283"/>
        <v>0</v>
      </c>
      <c r="K263" s="133">
        <f t="shared" si="283"/>
        <v>0</v>
      </c>
      <c r="L263" s="133">
        <f t="shared" si="283"/>
        <v>0</v>
      </c>
      <c r="M263" s="133">
        <f t="shared" si="283"/>
        <v>0</v>
      </c>
      <c r="N263" s="133">
        <f t="shared" si="283"/>
        <v>0</v>
      </c>
      <c r="O263" s="133">
        <f t="shared" si="283"/>
        <v>0</v>
      </c>
      <c r="P263" s="998">
        <f t="shared" si="279"/>
        <v>0</v>
      </c>
      <c r="Q263" s="1578"/>
      <c r="S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CF263" s="68"/>
      <c r="CU263" s="876"/>
    </row>
    <row r="264" spans="1:99" x14ac:dyDescent="0.2">
      <c r="A264" s="169"/>
      <c r="B264" s="991">
        <f>B34</f>
        <v>5</v>
      </c>
      <c r="C264" s="86" t="str">
        <f t="shared" si="254"/>
        <v>Versicherungen und Beiträge (betrieblich!)</v>
      </c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8"/>
      <c r="Q264" s="1578"/>
      <c r="S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CF264" s="68"/>
      <c r="CU264" s="876"/>
    </row>
    <row r="265" spans="1:99" x14ac:dyDescent="0.2">
      <c r="A265" s="169">
        <f>IF(B35="",B265,B35)</f>
        <v>0.19</v>
      </c>
      <c r="B265" s="992">
        <f>A35</f>
        <v>0.19</v>
      </c>
      <c r="C265" s="73" t="str">
        <f t="shared" si="254"/>
        <v>Haftpflicht</v>
      </c>
      <c r="D265" s="134">
        <f t="shared" ref="D265:O265" si="284">D35*POWER((1+$A265),$D$234)</f>
        <v>0</v>
      </c>
      <c r="E265" s="134">
        <f t="shared" si="284"/>
        <v>0</v>
      </c>
      <c r="F265" s="134">
        <f t="shared" si="284"/>
        <v>0</v>
      </c>
      <c r="G265" s="134">
        <f t="shared" si="284"/>
        <v>0</v>
      </c>
      <c r="H265" s="134">
        <f t="shared" si="284"/>
        <v>0</v>
      </c>
      <c r="I265" s="134">
        <f t="shared" si="284"/>
        <v>0</v>
      </c>
      <c r="J265" s="134">
        <f t="shared" si="284"/>
        <v>0</v>
      </c>
      <c r="K265" s="134">
        <f t="shared" si="284"/>
        <v>0</v>
      </c>
      <c r="L265" s="134">
        <f t="shared" si="284"/>
        <v>0</v>
      </c>
      <c r="M265" s="134">
        <f t="shared" si="284"/>
        <v>0</v>
      </c>
      <c r="N265" s="134">
        <f t="shared" si="284"/>
        <v>0</v>
      </c>
      <c r="O265" s="134">
        <f t="shared" si="284"/>
        <v>0</v>
      </c>
      <c r="P265" s="308">
        <f t="shared" si="279"/>
        <v>0</v>
      </c>
      <c r="Q265" s="1578"/>
      <c r="S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CF265" s="68"/>
      <c r="CU265" s="906"/>
    </row>
    <row r="266" spans="1:99" x14ac:dyDescent="0.2">
      <c r="A266" s="169">
        <f>IF(B36="",B266,B36)</f>
        <v>0.19</v>
      </c>
      <c r="B266" s="992">
        <f>A36</f>
        <v>0.19</v>
      </c>
      <c r="C266" s="73" t="str">
        <f t="shared" si="254"/>
        <v>Rechtschutzversicherung</v>
      </c>
      <c r="D266" s="134">
        <f t="shared" ref="D266:O266" si="285">D36*POWER((1+$A266),$D$234)</f>
        <v>0</v>
      </c>
      <c r="E266" s="134">
        <f t="shared" si="285"/>
        <v>0</v>
      </c>
      <c r="F266" s="134">
        <f t="shared" si="285"/>
        <v>0</v>
      </c>
      <c r="G266" s="134">
        <f t="shared" si="285"/>
        <v>0</v>
      </c>
      <c r="H266" s="134">
        <f t="shared" si="285"/>
        <v>0</v>
      </c>
      <c r="I266" s="134">
        <f t="shared" si="285"/>
        <v>0</v>
      </c>
      <c r="J266" s="134">
        <f t="shared" si="285"/>
        <v>0</v>
      </c>
      <c r="K266" s="134">
        <f t="shared" si="285"/>
        <v>0</v>
      </c>
      <c r="L266" s="134">
        <f t="shared" si="285"/>
        <v>0</v>
      </c>
      <c r="M266" s="134">
        <f t="shared" si="285"/>
        <v>0</v>
      </c>
      <c r="N266" s="134">
        <f t="shared" si="285"/>
        <v>0</v>
      </c>
      <c r="O266" s="134">
        <f t="shared" si="285"/>
        <v>0</v>
      </c>
      <c r="P266" s="308">
        <f t="shared" si="279"/>
        <v>0</v>
      </c>
      <c r="Q266" s="1578"/>
      <c r="S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CF266" s="68"/>
      <c r="CU266" s="876"/>
    </row>
    <row r="267" spans="1:99" x14ac:dyDescent="0.2">
      <c r="A267" s="169">
        <f>IF(B37="",B267,B37)</f>
        <v>0.19</v>
      </c>
      <c r="B267" s="992">
        <f>A37</f>
        <v>0.19</v>
      </c>
      <c r="C267" s="73" t="str">
        <f t="shared" si="254"/>
        <v>Beiträge (IHK, Berufsverbände, ...)</v>
      </c>
      <c r="D267" s="134">
        <f t="shared" ref="D267:O267" si="286">D37*POWER((1+$A267),$D$234)</f>
        <v>0</v>
      </c>
      <c r="E267" s="134">
        <f t="shared" si="286"/>
        <v>0</v>
      </c>
      <c r="F267" s="134">
        <f t="shared" si="286"/>
        <v>0</v>
      </c>
      <c r="G267" s="134">
        <f t="shared" si="286"/>
        <v>0</v>
      </c>
      <c r="H267" s="134">
        <f t="shared" si="286"/>
        <v>0</v>
      </c>
      <c r="I267" s="134">
        <f t="shared" si="286"/>
        <v>0</v>
      </c>
      <c r="J267" s="134">
        <f t="shared" si="286"/>
        <v>0</v>
      </c>
      <c r="K267" s="134">
        <f t="shared" si="286"/>
        <v>0</v>
      </c>
      <c r="L267" s="134">
        <f t="shared" si="286"/>
        <v>0</v>
      </c>
      <c r="M267" s="134">
        <f t="shared" si="286"/>
        <v>0</v>
      </c>
      <c r="N267" s="134">
        <f t="shared" si="286"/>
        <v>0</v>
      </c>
      <c r="O267" s="134">
        <f t="shared" si="286"/>
        <v>0</v>
      </c>
      <c r="P267" s="308">
        <f t="shared" si="279"/>
        <v>0</v>
      </c>
      <c r="Q267" s="1578"/>
      <c r="S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CF267" s="68"/>
      <c r="CU267" s="876"/>
    </row>
    <row r="268" spans="1:99" x14ac:dyDescent="0.2">
      <c r="A268" s="169">
        <f>IF(B38="",B268,B38)</f>
        <v>0.19</v>
      </c>
      <c r="B268" s="992">
        <f>A38</f>
        <v>0.19</v>
      </c>
      <c r="C268" s="73" t="str">
        <f t="shared" si="254"/>
        <v>Sonstiges</v>
      </c>
      <c r="D268" s="134">
        <f t="shared" ref="D268:O268" si="287">D38*POWER((1+$A268),$D$234)</f>
        <v>0</v>
      </c>
      <c r="E268" s="134">
        <f t="shared" si="287"/>
        <v>0</v>
      </c>
      <c r="F268" s="134">
        <f t="shared" si="287"/>
        <v>0</v>
      </c>
      <c r="G268" s="134">
        <f t="shared" si="287"/>
        <v>0</v>
      </c>
      <c r="H268" s="134">
        <f t="shared" si="287"/>
        <v>0</v>
      </c>
      <c r="I268" s="134">
        <f t="shared" si="287"/>
        <v>0</v>
      </c>
      <c r="J268" s="134">
        <f t="shared" si="287"/>
        <v>0</v>
      </c>
      <c r="K268" s="134">
        <f t="shared" si="287"/>
        <v>0</v>
      </c>
      <c r="L268" s="134">
        <f t="shared" si="287"/>
        <v>0</v>
      </c>
      <c r="M268" s="134">
        <f t="shared" si="287"/>
        <v>0</v>
      </c>
      <c r="N268" s="134">
        <f t="shared" si="287"/>
        <v>0</v>
      </c>
      <c r="O268" s="134">
        <f t="shared" si="287"/>
        <v>0</v>
      </c>
      <c r="P268" s="308">
        <f t="shared" si="279"/>
        <v>0</v>
      </c>
      <c r="Q268" s="1578"/>
      <c r="S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CF268" s="68"/>
      <c r="CU268" s="876"/>
    </row>
    <row r="269" spans="1:99" x14ac:dyDescent="0.2">
      <c r="A269" s="169"/>
      <c r="B269" s="993"/>
      <c r="C269" s="96" t="str">
        <f t="shared" ref="C269:C300" si="288">C39</f>
        <v>Summe Versicherungen und Beiträge (betrieblich!)</v>
      </c>
      <c r="D269" s="133">
        <f>SUM(D265:D268)</f>
        <v>0</v>
      </c>
      <c r="E269" s="133">
        <f t="shared" ref="E269:O269" si="289">SUM(E265:E268)</f>
        <v>0</v>
      </c>
      <c r="F269" s="133">
        <f t="shared" si="289"/>
        <v>0</v>
      </c>
      <c r="G269" s="133">
        <f t="shared" si="289"/>
        <v>0</v>
      </c>
      <c r="H269" s="133">
        <f t="shared" si="289"/>
        <v>0</v>
      </c>
      <c r="I269" s="133">
        <f t="shared" si="289"/>
        <v>0</v>
      </c>
      <c r="J269" s="133">
        <f t="shared" si="289"/>
        <v>0</v>
      </c>
      <c r="K269" s="133">
        <f t="shared" si="289"/>
        <v>0</v>
      </c>
      <c r="L269" s="133">
        <f t="shared" si="289"/>
        <v>0</v>
      </c>
      <c r="M269" s="133">
        <f t="shared" si="289"/>
        <v>0</v>
      </c>
      <c r="N269" s="133">
        <f t="shared" si="289"/>
        <v>0</v>
      </c>
      <c r="O269" s="133">
        <f t="shared" si="289"/>
        <v>0</v>
      </c>
      <c r="P269" s="998">
        <f t="shared" si="279"/>
        <v>0</v>
      </c>
      <c r="Q269" s="1578"/>
      <c r="S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CF269" s="68"/>
      <c r="CU269" s="906"/>
    </row>
    <row r="270" spans="1:99" x14ac:dyDescent="0.2">
      <c r="A270" s="169"/>
      <c r="B270" s="991">
        <f>B40</f>
        <v>6</v>
      </c>
      <c r="C270" s="63" t="str">
        <f t="shared" si="288"/>
        <v>KFZ Kosten / Betriebliche Nutzung</v>
      </c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8"/>
      <c r="Q270" s="1578"/>
      <c r="S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CF270" s="68"/>
      <c r="CU270" s="906"/>
    </row>
    <row r="271" spans="1:99" x14ac:dyDescent="0.2">
      <c r="A271" s="169">
        <f>IF(B41="",B271,B41)</f>
        <v>0.19</v>
      </c>
      <c r="B271" s="992">
        <f>A41</f>
        <v>0.19</v>
      </c>
      <c r="C271" s="73" t="str">
        <f t="shared" si="288"/>
        <v>Leasingraten Kfz</v>
      </c>
      <c r="D271" s="134">
        <f t="shared" ref="D271:O271" si="290">D41*POWER((1+$A271),$D$234)</f>
        <v>0</v>
      </c>
      <c r="E271" s="134">
        <f t="shared" si="290"/>
        <v>0</v>
      </c>
      <c r="F271" s="134">
        <f t="shared" si="290"/>
        <v>0</v>
      </c>
      <c r="G271" s="134">
        <f t="shared" si="290"/>
        <v>0</v>
      </c>
      <c r="H271" s="134">
        <f t="shared" si="290"/>
        <v>0</v>
      </c>
      <c r="I271" s="134">
        <f t="shared" si="290"/>
        <v>0</v>
      </c>
      <c r="J271" s="134">
        <f t="shared" si="290"/>
        <v>0</v>
      </c>
      <c r="K271" s="134">
        <f t="shared" si="290"/>
        <v>0</v>
      </c>
      <c r="L271" s="134">
        <f t="shared" si="290"/>
        <v>0</v>
      </c>
      <c r="M271" s="134">
        <f t="shared" si="290"/>
        <v>0</v>
      </c>
      <c r="N271" s="134">
        <f t="shared" si="290"/>
        <v>0</v>
      </c>
      <c r="O271" s="134">
        <f t="shared" si="290"/>
        <v>0</v>
      </c>
      <c r="P271" s="308">
        <f t="shared" si="279"/>
        <v>0</v>
      </c>
      <c r="Q271" s="1578"/>
      <c r="S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CF271" s="68"/>
      <c r="CU271" s="906"/>
    </row>
    <row r="272" spans="1:99" x14ac:dyDescent="0.2">
      <c r="A272" s="169">
        <f>IF(B42="",B272,B42)</f>
        <v>0.19</v>
      </c>
      <c r="B272" s="992">
        <f>A42</f>
        <v>0.19</v>
      </c>
      <c r="C272" s="73" t="str">
        <f t="shared" si="288"/>
        <v>Versicherungen/Kfz-Steuer</v>
      </c>
      <c r="D272" s="134">
        <f t="shared" ref="D272:O272" si="291">D42*POWER((1+$A272),$D$234)</f>
        <v>0</v>
      </c>
      <c r="E272" s="134">
        <f t="shared" si="291"/>
        <v>0</v>
      </c>
      <c r="F272" s="134">
        <f t="shared" si="291"/>
        <v>0</v>
      </c>
      <c r="G272" s="134">
        <f t="shared" si="291"/>
        <v>0</v>
      </c>
      <c r="H272" s="134">
        <f t="shared" si="291"/>
        <v>0</v>
      </c>
      <c r="I272" s="134">
        <f t="shared" si="291"/>
        <v>0</v>
      </c>
      <c r="J272" s="134">
        <f t="shared" si="291"/>
        <v>0</v>
      </c>
      <c r="K272" s="134">
        <f t="shared" si="291"/>
        <v>0</v>
      </c>
      <c r="L272" s="134">
        <f t="shared" si="291"/>
        <v>0</v>
      </c>
      <c r="M272" s="134">
        <f t="shared" si="291"/>
        <v>0</v>
      </c>
      <c r="N272" s="134">
        <f t="shared" si="291"/>
        <v>0</v>
      </c>
      <c r="O272" s="134">
        <f t="shared" si="291"/>
        <v>0</v>
      </c>
      <c r="P272" s="308">
        <f t="shared" si="279"/>
        <v>0</v>
      </c>
      <c r="Q272" s="1578"/>
      <c r="S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CF272" s="68"/>
      <c r="CU272" s="906"/>
    </row>
    <row r="273" spans="1:99" x14ac:dyDescent="0.2">
      <c r="A273" s="169">
        <f>IF(B43="",B273,B43)</f>
        <v>0.19</v>
      </c>
      <c r="B273" s="992">
        <f>A43</f>
        <v>0.19</v>
      </c>
      <c r="C273" s="73" t="str">
        <f t="shared" si="288"/>
        <v>Fahrzeugkosten (Tanken und Reparatur)</v>
      </c>
      <c r="D273" s="134">
        <f t="shared" ref="D273:O273" si="292">D43*POWER((1+$A273),$D$234)</f>
        <v>0</v>
      </c>
      <c r="E273" s="134">
        <f t="shared" si="292"/>
        <v>0</v>
      </c>
      <c r="F273" s="134">
        <f t="shared" si="292"/>
        <v>0</v>
      </c>
      <c r="G273" s="134">
        <f t="shared" si="292"/>
        <v>0</v>
      </c>
      <c r="H273" s="134">
        <f t="shared" si="292"/>
        <v>0</v>
      </c>
      <c r="I273" s="134">
        <f t="shared" si="292"/>
        <v>0</v>
      </c>
      <c r="J273" s="134">
        <f t="shared" si="292"/>
        <v>0</v>
      </c>
      <c r="K273" s="134">
        <f t="shared" si="292"/>
        <v>0</v>
      </c>
      <c r="L273" s="134">
        <f t="shared" si="292"/>
        <v>0</v>
      </c>
      <c r="M273" s="134">
        <f t="shared" si="292"/>
        <v>0</v>
      </c>
      <c r="N273" s="134">
        <f t="shared" si="292"/>
        <v>0</v>
      </c>
      <c r="O273" s="134">
        <f t="shared" si="292"/>
        <v>0</v>
      </c>
      <c r="P273" s="308">
        <f t="shared" si="279"/>
        <v>0</v>
      </c>
      <c r="Q273" s="1578"/>
      <c r="S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CF273" s="68"/>
      <c r="CU273" s="906"/>
    </row>
    <row r="274" spans="1:99" x14ac:dyDescent="0.2">
      <c r="A274" s="169">
        <f>IF(B44="",B274,B44)</f>
        <v>0</v>
      </c>
      <c r="B274" s="992">
        <f>A44</f>
        <v>0</v>
      </c>
      <c r="C274" s="73" t="str">
        <f t="shared" si="288"/>
        <v>Abrechenbare Kilometerkosten</v>
      </c>
      <c r="D274" s="134">
        <f t="shared" ref="D274:O274" si="293">D44*POWER((1+$A274),$D$234)</f>
        <v>0</v>
      </c>
      <c r="E274" s="134">
        <f t="shared" si="293"/>
        <v>0</v>
      </c>
      <c r="F274" s="134">
        <f t="shared" si="293"/>
        <v>0</v>
      </c>
      <c r="G274" s="134">
        <f t="shared" si="293"/>
        <v>0</v>
      </c>
      <c r="H274" s="134">
        <f t="shared" si="293"/>
        <v>0</v>
      </c>
      <c r="I274" s="134">
        <f t="shared" si="293"/>
        <v>0</v>
      </c>
      <c r="J274" s="134">
        <f t="shared" si="293"/>
        <v>0</v>
      </c>
      <c r="K274" s="134">
        <f t="shared" si="293"/>
        <v>0</v>
      </c>
      <c r="L274" s="134">
        <f t="shared" si="293"/>
        <v>0</v>
      </c>
      <c r="M274" s="134">
        <f t="shared" si="293"/>
        <v>0</v>
      </c>
      <c r="N274" s="134">
        <f t="shared" si="293"/>
        <v>0</v>
      </c>
      <c r="O274" s="134">
        <f t="shared" si="293"/>
        <v>0</v>
      </c>
      <c r="P274" s="308">
        <f t="shared" si="279"/>
        <v>0</v>
      </c>
      <c r="Q274" s="1578"/>
      <c r="S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CF274" s="68"/>
      <c r="CU274" s="906"/>
    </row>
    <row r="275" spans="1:99" x14ac:dyDescent="0.2">
      <c r="A275" s="169">
        <f>IF(B45="",B275,B45)</f>
        <v>0.19</v>
      </c>
      <c r="B275" s="992">
        <f>A45</f>
        <v>0.19</v>
      </c>
      <c r="C275" s="73" t="str">
        <f t="shared" si="288"/>
        <v>Sonstiges</v>
      </c>
      <c r="D275" s="134">
        <f t="shared" ref="D275:O275" si="294">D45*POWER((1+$A275),$D$234)</f>
        <v>0</v>
      </c>
      <c r="E275" s="134">
        <f t="shared" si="294"/>
        <v>0</v>
      </c>
      <c r="F275" s="134">
        <f t="shared" si="294"/>
        <v>0</v>
      </c>
      <c r="G275" s="134">
        <f t="shared" si="294"/>
        <v>0</v>
      </c>
      <c r="H275" s="134">
        <f t="shared" si="294"/>
        <v>0</v>
      </c>
      <c r="I275" s="134">
        <f t="shared" si="294"/>
        <v>0</v>
      </c>
      <c r="J275" s="134">
        <f t="shared" si="294"/>
        <v>0</v>
      </c>
      <c r="K275" s="134">
        <f t="shared" si="294"/>
        <v>0</v>
      </c>
      <c r="L275" s="134">
        <f t="shared" si="294"/>
        <v>0</v>
      </c>
      <c r="M275" s="134">
        <f t="shared" si="294"/>
        <v>0</v>
      </c>
      <c r="N275" s="134">
        <f t="shared" si="294"/>
        <v>0</v>
      </c>
      <c r="O275" s="134">
        <f t="shared" si="294"/>
        <v>0</v>
      </c>
      <c r="P275" s="308">
        <f t="shared" si="279"/>
        <v>0</v>
      </c>
      <c r="Q275" s="1578"/>
      <c r="S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CF275" s="68"/>
      <c r="CU275" s="906"/>
    </row>
    <row r="276" spans="1:99" x14ac:dyDescent="0.2">
      <c r="A276" s="169"/>
      <c r="B276" s="993"/>
      <c r="C276" s="96" t="str">
        <f t="shared" si="288"/>
        <v>Summe KFZ Kosten / Betriebliche Nutzung</v>
      </c>
      <c r="D276" s="133">
        <f>SUM(D271:D275)</f>
        <v>0</v>
      </c>
      <c r="E276" s="133">
        <f t="shared" ref="E276:O276" si="295">SUM(E271:E275)</f>
        <v>0</v>
      </c>
      <c r="F276" s="133">
        <f t="shared" si="295"/>
        <v>0</v>
      </c>
      <c r="G276" s="133">
        <f t="shared" si="295"/>
        <v>0</v>
      </c>
      <c r="H276" s="133">
        <f t="shared" si="295"/>
        <v>0</v>
      </c>
      <c r="I276" s="133">
        <f t="shared" si="295"/>
        <v>0</v>
      </c>
      <c r="J276" s="133">
        <f t="shared" si="295"/>
        <v>0</v>
      </c>
      <c r="K276" s="133">
        <f t="shared" si="295"/>
        <v>0</v>
      </c>
      <c r="L276" s="133">
        <f t="shared" si="295"/>
        <v>0</v>
      </c>
      <c r="M276" s="133">
        <f t="shared" si="295"/>
        <v>0</v>
      </c>
      <c r="N276" s="133">
        <f t="shared" si="295"/>
        <v>0</v>
      </c>
      <c r="O276" s="133">
        <f t="shared" si="295"/>
        <v>0</v>
      </c>
      <c r="P276" s="998">
        <f t="shared" si="279"/>
        <v>0</v>
      </c>
      <c r="Q276" s="1578"/>
      <c r="S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CF276" s="68"/>
      <c r="CU276" s="906"/>
    </row>
    <row r="277" spans="1:99" x14ac:dyDescent="0.2">
      <c r="A277" s="169"/>
      <c r="B277" s="991">
        <f>B47</f>
        <v>7</v>
      </c>
      <c r="C277" s="86" t="str">
        <f t="shared" si="288"/>
        <v>Marketing  u. Werbung</v>
      </c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8"/>
      <c r="Q277" s="1578"/>
      <c r="S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CF277" s="68"/>
      <c r="CU277" s="906"/>
    </row>
    <row r="278" spans="1:99" x14ac:dyDescent="0.2">
      <c r="A278" s="169">
        <f t="shared" ref="A278:A283" si="296">IF(B48="",B278,B48)</f>
        <v>0.19</v>
      </c>
      <c r="B278" s="992">
        <f t="shared" ref="B278:B283" si="297">A48</f>
        <v>0.19</v>
      </c>
      <c r="C278" s="73" t="str">
        <f t="shared" si="288"/>
        <v>Marktforschung</v>
      </c>
      <c r="D278" s="134">
        <f t="shared" ref="D278:O278" si="298">D48*POWER((1+$A278),$D$234)</f>
        <v>0</v>
      </c>
      <c r="E278" s="134">
        <f t="shared" si="298"/>
        <v>0</v>
      </c>
      <c r="F278" s="134">
        <f t="shared" si="298"/>
        <v>0</v>
      </c>
      <c r="G278" s="134">
        <f t="shared" si="298"/>
        <v>0</v>
      </c>
      <c r="H278" s="134">
        <f t="shared" si="298"/>
        <v>0</v>
      </c>
      <c r="I278" s="134">
        <f t="shared" si="298"/>
        <v>0</v>
      </c>
      <c r="J278" s="134">
        <f t="shared" si="298"/>
        <v>0</v>
      </c>
      <c r="K278" s="134">
        <f t="shared" si="298"/>
        <v>0</v>
      </c>
      <c r="L278" s="134">
        <f t="shared" si="298"/>
        <v>0</v>
      </c>
      <c r="M278" s="134">
        <f t="shared" si="298"/>
        <v>0</v>
      </c>
      <c r="N278" s="134">
        <f t="shared" si="298"/>
        <v>0</v>
      </c>
      <c r="O278" s="134">
        <f t="shared" si="298"/>
        <v>0</v>
      </c>
      <c r="P278" s="308">
        <f t="shared" si="279"/>
        <v>0</v>
      </c>
      <c r="Q278" s="1578"/>
      <c r="S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CF278" s="68"/>
      <c r="CU278" s="906"/>
    </row>
    <row r="279" spans="1:99" x14ac:dyDescent="0.2">
      <c r="A279" s="169">
        <f t="shared" si="296"/>
        <v>0.19</v>
      </c>
      <c r="B279" s="992">
        <f t="shared" si="297"/>
        <v>0.19</v>
      </c>
      <c r="C279" s="73" t="str">
        <f t="shared" si="288"/>
        <v>Briefpapier, Visitenkarte, Stempel</v>
      </c>
      <c r="D279" s="134">
        <f t="shared" ref="D279:O279" si="299">D49*POWER((1+$A279),$D$234)</f>
        <v>0</v>
      </c>
      <c r="E279" s="134">
        <f t="shared" si="299"/>
        <v>0</v>
      </c>
      <c r="F279" s="134">
        <f t="shared" si="299"/>
        <v>0</v>
      </c>
      <c r="G279" s="134">
        <f t="shared" si="299"/>
        <v>0</v>
      </c>
      <c r="H279" s="134">
        <f t="shared" si="299"/>
        <v>0</v>
      </c>
      <c r="I279" s="134">
        <f t="shared" si="299"/>
        <v>0</v>
      </c>
      <c r="J279" s="134">
        <f t="shared" si="299"/>
        <v>0</v>
      </c>
      <c r="K279" s="134">
        <f t="shared" si="299"/>
        <v>0</v>
      </c>
      <c r="L279" s="134">
        <f t="shared" si="299"/>
        <v>0</v>
      </c>
      <c r="M279" s="134">
        <f t="shared" si="299"/>
        <v>0</v>
      </c>
      <c r="N279" s="134">
        <f t="shared" si="299"/>
        <v>0</v>
      </c>
      <c r="O279" s="134">
        <f t="shared" si="299"/>
        <v>0</v>
      </c>
      <c r="P279" s="308">
        <f t="shared" si="279"/>
        <v>0</v>
      </c>
      <c r="Q279" s="1578"/>
      <c r="S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CF279" s="68"/>
      <c r="CU279" s="906"/>
    </row>
    <row r="280" spans="1:99" x14ac:dyDescent="0.2">
      <c r="A280" s="169">
        <f t="shared" si="296"/>
        <v>0.19</v>
      </c>
      <c r="B280" s="992">
        <f t="shared" si="297"/>
        <v>0.19</v>
      </c>
      <c r="C280" s="73" t="str">
        <f t="shared" si="288"/>
        <v>Webseite, lfd. Webseitenpflege</v>
      </c>
      <c r="D280" s="134">
        <f t="shared" ref="D280:O280" si="300">D50*POWER((1+$A280),$D$234)</f>
        <v>0</v>
      </c>
      <c r="E280" s="134">
        <f t="shared" si="300"/>
        <v>0</v>
      </c>
      <c r="F280" s="134">
        <f t="shared" si="300"/>
        <v>0</v>
      </c>
      <c r="G280" s="134">
        <f t="shared" si="300"/>
        <v>0</v>
      </c>
      <c r="H280" s="134">
        <f t="shared" si="300"/>
        <v>0</v>
      </c>
      <c r="I280" s="134">
        <f t="shared" si="300"/>
        <v>0</v>
      </c>
      <c r="J280" s="134">
        <f t="shared" si="300"/>
        <v>0</v>
      </c>
      <c r="K280" s="134">
        <f t="shared" si="300"/>
        <v>0</v>
      </c>
      <c r="L280" s="134">
        <f t="shared" si="300"/>
        <v>0</v>
      </c>
      <c r="M280" s="134">
        <f t="shared" si="300"/>
        <v>0</v>
      </c>
      <c r="N280" s="134">
        <f t="shared" si="300"/>
        <v>0</v>
      </c>
      <c r="O280" s="134">
        <f t="shared" si="300"/>
        <v>0</v>
      </c>
      <c r="P280" s="308">
        <f t="shared" si="279"/>
        <v>0</v>
      </c>
      <c r="Q280" s="1578"/>
      <c r="S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CF280" s="68"/>
      <c r="CU280" s="906"/>
    </row>
    <row r="281" spans="1:99" x14ac:dyDescent="0.2">
      <c r="A281" s="169">
        <f t="shared" si="296"/>
        <v>0.19</v>
      </c>
      <c r="B281" s="992">
        <f t="shared" si="297"/>
        <v>0.19</v>
      </c>
      <c r="C281" s="73" t="str">
        <f t="shared" si="288"/>
        <v>Flyer, Prospekte, Broschüren, Anzeigen</v>
      </c>
      <c r="D281" s="134">
        <f t="shared" ref="D281:O281" si="301">D51*POWER((1+$A281),$D$234)</f>
        <v>0</v>
      </c>
      <c r="E281" s="134">
        <f t="shared" si="301"/>
        <v>0</v>
      </c>
      <c r="F281" s="134">
        <f t="shared" si="301"/>
        <v>0</v>
      </c>
      <c r="G281" s="134">
        <f t="shared" si="301"/>
        <v>0</v>
      </c>
      <c r="H281" s="134">
        <f t="shared" si="301"/>
        <v>0</v>
      </c>
      <c r="I281" s="134">
        <f t="shared" si="301"/>
        <v>0</v>
      </c>
      <c r="J281" s="134">
        <f t="shared" si="301"/>
        <v>0</v>
      </c>
      <c r="K281" s="134">
        <f t="shared" si="301"/>
        <v>0</v>
      </c>
      <c r="L281" s="134">
        <f t="shared" si="301"/>
        <v>0</v>
      </c>
      <c r="M281" s="134">
        <f t="shared" si="301"/>
        <v>0</v>
      </c>
      <c r="N281" s="134">
        <f t="shared" si="301"/>
        <v>0</v>
      </c>
      <c r="O281" s="134">
        <f t="shared" si="301"/>
        <v>0</v>
      </c>
      <c r="P281" s="308">
        <f t="shared" si="279"/>
        <v>0</v>
      </c>
      <c r="Q281" s="1578"/>
      <c r="S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CF281" s="68"/>
      <c r="CU281" s="906"/>
    </row>
    <row r="282" spans="1:99" x14ac:dyDescent="0.2">
      <c r="A282" s="169">
        <f t="shared" si="296"/>
        <v>0.19</v>
      </c>
      <c r="B282" s="992">
        <f t="shared" si="297"/>
        <v>0.19</v>
      </c>
      <c r="C282" s="73" t="str">
        <f t="shared" si="288"/>
        <v>Bewirtungskosten</v>
      </c>
      <c r="D282" s="134">
        <f t="shared" ref="D282:O282" si="302">D52*POWER((1+$A282),$D$234)</f>
        <v>0</v>
      </c>
      <c r="E282" s="134">
        <f t="shared" si="302"/>
        <v>0</v>
      </c>
      <c r="F282" s="134">
        <f t="shared" si="302"/>
        <v>0</v>
      </c>
      <c r="G282" s="134">
        <f t="shared" si="302"/>
        <v>0</v>
      </c>
      <c r="H282" s="134">
        <f t="shared" si="302"/>
        <v>0</v>
      </c>
      <c r="I282" s="134">
        <f t="shared" si="302"/>
        <v>0</v>
      </c>
      <c r="J282" s="134">
        <f t="shared" si="302"/>
        <v>0</v>
      </c>
      <c r="K282" s="134">
        <f t="shared" si="302"/>
        <v>0</v>
      </c>
      <c r="L282" s="134">
        <f t="shared" si="302"/>
        <v>0</v>
      </c>
      <c r="M282" s="134">
        <f t="shared" si="302"/>
        <v>0</v>
      </c>
      <c r="N282" s="134">
        <f t="shared" si="302"/>
        <v>0</v>
      </c>
      <c r="O282" s="134">
        <f t="shared" si="302"/>
        <v>0</v>
      </c>
      <c r="P282" s="308">
        <f t="shared" si="279"/>
        <v>0</v>
      </c>
      <c r="Q282" s="1578"/>
      <c r="S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CF282" s="68"/>
      <c r="CU282" s="906"/>
    </row>
    <row r="283" spans="1:99" x14ac:dyDescent="0.2">
      <c r="A283" s="169">
        <f t="shared" si="296"/>
        <v>7.0000000000000007E-2</v>
      </c>
      <c r="B283" s="992">
        <f t="shared" si="297"/>
        <v>7.0000000000000007E-2</v>
      </c>
      <c r="C283" s="73" t="str">
        <f t="shared" si="288"/>
        <v>Sonstiges, Messen, ...</v>
      </c>
      <c r="D283" s="880">
        <f t="shared" ref="D283:O283" si="303">D53*POWER((1+$A283),$D$234)</f>
        <v>0</v>
      </c>
      <c r="E283" s="880">
        <f t="shared" si="303"/>
        <v>0</v>
      </c>
      <c r="F283" s="880">
        <f t="shared" si="303"/>
        <v>0</v>
      </c>
      <c r="G283" s="880">
        <f t="shared" si="303"/>
        <v>0</v>
      </c>
      <c r="H283" s="880">
        <f t="shared" si="303"/>
        <v>0</v>
      </c>
      <c r="I283" s="880">
        <f t="shared" si="303"/>
        <v>0</v>
      </c>
      <c r="J283" s="880">
        <f t="shared" si="303"/>
        <v>0</v>
      </c>
      <c r="K283" s="880">
        <f t="shared" si="303"/>
        <v>0</v>
      </c>
      <c r="L283" s="880">
        <f t="shared" si="303"/>
        <v>0</v>
      </c>
      <c r="M283" s="880">
        <f t="shared" si="303"/>
        <v>0</v>
      </c>
      <c r="N283" s="880">
        <f t="shared" si="303"/>
        <v>0</v>
      </c>
      <c r="O283" s="880">
        <f t="shared" si="303"/>
        <v>0</v>
      </c>
      <c r="P283" s="1001">
        <f t="shared" si="279"/>
        <v>0</v>
      </c>
      <c r="Q283" s="1578"/>
      <c r="S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CF283" s="68"/>
      <c r="CU283" s="906"/>
    </row>
    <row r="284" spans="1:99" x14ac:dyDescent="0.2">
      <c r="A284" s="169"/>
      <c r="B284" s="993"/>
      <c r="C284" s="96" t="str">
        <f t="shared" si="288"/>
        <v>Summe Marketing  u. Werbung</v>
      </c>
      <c r="D284" s="133">
        <f>SUM(D278:D283)</f>
        <v>0</v>
      </c>
      <c r="E284" s="133">
        <f t="shared" ref="E284:O284" si="304">SUM(E278:E283)</f>
        <v>0</v>
      </c>
      <c r="F284" s="133">
        <f t="shared" si="304"/>
        <v>0</v>
      </c>
      <c r="G284" s="133">
        <f t="shared" si="304"/>
        <v>0</v>
      </c>
      <c r="H284" s="133">
        <f t="shared" si="304"/>
        <v>0</v>
      </c>
      <c r="I284" s="133">
        <f t="shared" si="304"/>
        <v>0</v>
      </c>
      <c r="J284" s="133">
        <f t="shared" si="304"/>
        <v>0</v>
      </c>
      <c r="K284" s="133">
        <f t="shared" si="304"/>
        <v>0</v>
      </c>
      <c r="L284" s="133">
        <f t="shared" si="304"/>
        <v>0</v>
      </c>
      <c r="M284" s="133">
        <f t="shared" si="304"/>
        <v>0</v>
      </c>
      <c r="N284" s="133">
        <f t="shared" si="304"/>
        <v>0</v>
      </c>
      <c r="O284" s="133">
        <f t="shared" si="304"/>
        <v>0</v>
      </c>
      <c r="P284" s="998">
        <f t="shared" si="279"/>
        <v>0</v>
      </c>
      <c r="Q284" s="1578"/>
      <c r="S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CF284" s="68"/>
      <c r="CU284" s="906"/>
    </row>
    <row r="285" spans="1:99" x14ac:dyDescent="0.2">
      <c r="A285" s="169"/>
      <c r="B285" s="991">
        <f>B55</f>
        <v>8</v>
      </c>
      <c r="C285" s="86" t="str">
        <f t="shared" si="288"/>
        <v>Rechts- und Beratungskosten</v>
      </c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8"/>
      <c r="Q285" s="1578"/>
      <c r="S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CF285" s="68"/>
      <c r="CU285" s="906"/>
    </row>
    <row r="286" spans="1:99" x14ac:dyDescent="0.2">
      <c r="A286" s="169">
        <f>IF(B56="",B286,B56)</f>
        <v>0.19</v>
      </c>
      <c r="B286" s="992">
        <f>A56</f>
        <v>0.19</v>
      </c>
      <c r="C286" s="73" t="str">
        <f t="shared" si="288"/>
        <v>Buchhaltung</v>
      </c>
      <c r="D286" s="134">
        <f t="shared" ref="D286:O286" si="305">D56*POWER((1+$A286),$D$234)</f>
        <v>0</v>
      </c>
      <c r="E286" s="134">
        <f t="shared" si="305"/>
        <v>0</v>
      </c>
      <c r="F286" s="134">
        <f t="shared" si="305"/>
        <v>0</v>
      </c>
      <c r="G286" s="134">
        <f t="shared" si="305"/>
        <v>0</v>
      </c>
      <c r="H286" s="134">
        <f t="shared" si="305"/>
        <v>0</v>
      </c>
      <c r="I286" s="134">
        <f t="shared" si="305"/>
        <v>0</v>
      </c>
      <c r="J286" s="134">
        <f t="shared" si="305"/>
        <v>0</v>
      </c>
      <c r="K286" s="134">
        <f t="shared" si="305"/>
        <v>0</v>
      </c>
      <c r="L286" s="134">
        <f t="shared" si="305"/>
        <v>0</v>
      </c>
      <c r="M286" s="134">
        <f t="shared" si="305"/>
        <v>0</v>
      </c>
      <c r="N286" s="134">
        <f t="shared" si="305"/>
        <v>0</v>
      </c>
      <c r="O286" s="134">
        <f t="shared" si="305"/>
        <v>0</v>
      </c>
      <c r="P286" s="308">
        <f t="shared" si="279"/>
        <v>0</v>
      </c>
      <c r="Q286" s="1578"/>
      <c r="S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CF286" s="68"/>
      <c r="CU286" s="876"/>
    </row>
    <row r="287" spans="1:99" x14ac:dyDescent="0.2">
      <c r="A287" s="169">
        <f>IF(B57="",B287,B57)</f>
        <v>0.19</v>
      </c>
      <c r="B287" s="992">
        <f>A57</f>
        <v>0.19</v>
      </c>
      <c r="C287" s="73" t="str">
        <f t="shared" si="288"/>
        <v>Steuerberatung, Abschluss, Prüfung</v>
      </c>
      <c r="D287" s="134">
        <f t="shared" ref="D287:O287" si="306">D57*POWER((1+$A287),$D$234)</f>
        <v>0</v>
      </c>
      <c r="E287" s="134">
        <f t="shared" si="306"/>
        <v>0</v>
      </c>
      <c r="F287" s="134">
        <f t="shared" si="306"/>
        <v>0</v>
      </c>
      <c r="G287" s="134">
        <f t="shared" si="306"/>
        <v>0</v>
      </c>
      <c r="H287" s="134">
        <f t="shared" si="306"/>
        <v>0</v>
      </c>
      <c r="I287" s="134">
        <f t="shared" si="306"/>
        <v>0</v>
      </c>
      <c r="J287" s="134">
        <f t="shared" si="306"/>
        <v>0</v>
      </c>
      <c r="K287" s="134">
        <f t="shared" si="306"/>
        <v>0</v>
      </c>
      <c r="L287" s="134">
        <f t="shared" si="306"/>
        <v>0</v>
      </c>
      <c r="M287" s="134">
        <f t="shared" si="306"/>
        <v>0</v>
      </c>
      <c r="N287" s="134">
        <f t="shared" si="306"/>
        <v>0</v>
      </c>
      <c r="O287" s="134">
        <f t="shared" si="306"/>
        <v>0</v>
      </c>
      <c r="P287" s="308">
        <f t="shared" si="279"/>
        <v>0</v>
      </c>
      <c r="Q287" s="1578"/>
      <c r="S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CF287" s="68"/>
      <c r="CU287" s="876"/>
    </row>
    <row r="288" spans="1:99" x14ac:dyDescent="0.2">
      <c r="A288" s="169">
        <f>IF(B58="",B288,B58)</f>
        <v>0.19</v>
      </c>
      <c r="B288" s="992">
        <f>A58</f>
        <v>0.19</v>
      </c>
      <c r="C288" s="73" t="str">
        <f t="shared" si="288"/>
        <v>Sonstiges</v>
      </c>
      <c r="D288" s="134">
        <f t="shared" ref="D288:O288" si="307">D58*POWER((1+$A288),$D$234)</f>
        <v>0</v>
      </c>
      <c r="E288" s="134">
        <f t="shared" si="307"/>
        <v>0</v>
      </c>
      <c r="F288" s="134">
        <f t="shared" si="307"/>
        <v>0</v>
      </c>
      <c r="G288" s="134">
        <f t="shared" si="307"/>
        <v>0</v>
      </c>
      <c r="H288" s="134">
        <f t="shared" si="307"/>
        <v>0</v>
      </c>
      <c r="I288" s="134">
        <f t="shared" si="307"/>
        <v>0</v>
      </c>
      <c r="J288" s="134">
        <f t="shared" si="307"/>
        <v>0</v>
      </c>
      <c r="K288" s="134">
        <f t="shared" si="307"/>
        <v>0</v>
      </c>
      <c r="L288" s="134">
        <f t="shared" si="307"/>
        <v>0</v>
      </c>
      <c r="M288" s="134">
        <f t="shared" si="307"/>
        <v>0</v>
      </c>
      <c r="N288" s="134">
        <f t="shared" si="307"/>
        <v>0</v>
      </c>
      <c r="O288" s="134">
        <f t="shared" si="307"/>
        <v>0</v>
      </c>
      <c r="P288" s="308">
        <f t="shared" si="279"/>
        <v>0</v>
      </c>
      <c r="Q288" s="1578"/>
      <c r="S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CF288" s="68"/>
      <c r="CU288" s="876"/>
    </row>
    <row r="289" spans="1:121" x14ac:dyDescent="0.2">
      <c r="A289" s="169"/>
      <c r="B289" s="993"/>
      <c r="C289" s="96" t="str">
        <f t="shared" si="288"/>
        <v>Summe Rechts- und Beratungskosten</v>
      </c>
      <c r="D289" s="133">
        <f>SUM(D286:D288)</f>
        <v>0</v>
      </c>
      <c r="E289" s="133">
        <f t="shared" ref="E289:O289" si="308">SUM(E286:E288)</f>
        <v>0</v>
      </c>
      <c r="F289" s="133">
        <f t="shared" si="308"/>
        <v>0</v>
      </c>
      <c r="G289" s="133">
        <f t="shared" si="308"/>
        <v>0</v>
      </c>
      <c r="H289" s="133">
        <f t="shared" si="308"/>
        <v>0</v>
      </c>
      <c r="I289" s="133">
        <f t="shared" si="308"/>
        <v>0</v>
      </c>
      <c r="J289" s="133">
        <f t="shared" si="308"/>
        <v>0</v>
      </c>
      <c r="K289" s="133">
        <f t="shared" si="308"/>
        <v>0</v>
      </c>
      <c r="L289" s="133">
        <f t="shared" si="308"/>
        <v>0</v>
      </c>
      <c r="M289" s="133">
        <f t="shared" si="308"/>
        <v>0</v>
      </c>
      <c r="N289" s="133">
        <f t="shared" si="308"/>
        <v>0</v>
      </c>
      <c r="O289" s="133">
        <f t="shared" si="308"/>
        <v>0</v>
      </c>
      <c r="P289" s="998">
        <f t="shared" si="279"/>
        <v>0</v>
      </c>
      <c r="Q289" s="1578"/>
      <c r="S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CF289" s="68"/>
      <c r="CU289" s="876"/>
    </row>
    <row r="290" spans="1:121" x14ac:dyDescent="0.2">
      <c r="A290" s="169"/>
      <c r="B290" s="991">
        <f>B60</f>
        <v>9</v>
      </c>
      <c r="C290" s="63" t="str">
        <f t="shared" si="288"/>
        <v>Verschiedenes</v>
      </c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8"/>
      <c r="Q290" s="1578"/>
      <c r="S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CF290" s="68"/>
      <c r="CU290" s="876"/>
    </row>
    <row r="291" spans="1:121" x14ac:dyDescent="0.2">
      <c r="A291" s="169">
        <f t="shared" ref="A291:A296" si="309">IF(B61="",B291,B61)</f>
        <v>0</v>
      </c>
      <c r="B291" s="992">
        <f>A61</f>
        <v>0</v>
      </c>
      <c r="C291" s="73" t="str">
        <f t="shared" si="288"/>
        <v>Finanzaufwand / Zinsen *)</v>
      </c>
      <c r="D291" s="153">
        <f t="shared" ref="D291:O291" si="310">D61*POWER((1+$A291),$D$234)</f>
        <v>0</v>
      </c>
      <c r="E291" s="153">
        <f t="shared" si="310"/>
        <v>0</v>
      </c>
      <c r="F291" s="153">
        <f t="shared" si="310"/>
        <v>0</v>
      </c>
      <c r="G291" s="153">
        <f t="shared" si="310"/>
        <v>0</v>
      </c>
      <c r="H291" s="153">
        <f t="shared" si="310"/>
        <v>0</v>
      </c>
      <c r="I291" s="153">
        <f t="shared" si="310"/>
        <v>0</v>
      </c>
      <c r="J291" s="153">
        <f t="shared" si="310"/>
        <v>0</v>
      </c>
      <c r="K291" s="153">
        <f t="shared" si="310"/>
        <v>0</v>
      </c>
      <c r="L291" s="153">
        <f t="shared" si="310"/>
        <v>0</v>
      </c>
      <c r="M291" s="153">
        <f t="shared" si="310"/>
        <v>0</v>
      </c>
      <c r="N291" s="153">
        <f t="shared" si="310"/>
        <v>0</v>
      </c>
      <c r="O291" s="153">
        <f t="shared" si="310"/>
        <v>0</v>
      </c>
      <c r="P291" s="75">
        <f t="shared" si="279"/>
        <v>0</v>
      </c>
      <c r="Q291" s="1578"/>
      <c r="S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CF291" s="68"/>
      <c r="CU291" s="876"/>
    </row>
    <row r="292" spans="1:121" x14ac:dyDescent="0.2">
      <c r="A292" s="169">
        <f t="shared" si="309"/>
        <v>0.19</v>
      </c>
      <c r="B292" s="992">
        <f>A62</f>
        <v>0.19</v>
      </c>
      <c r="C292" s="73" t="str">
        <f t="shared" si="288"/>
        <v>Reisekosten</v>
      </c>
      <c r="D292" s="134">
        <f t="shared" ref="D292:O292" si="311">D62*POWER((1+$A292),$D$234)</f>
        <v>0</v>
      </c>
      <c r="E292" s="134">
        <f t="shared" si="311"/>
        <v>0</v>
      </c>
      <c r="F292" s="134">
        <f t="shared" si="311"/>
        <v>0</v>
      </c>
      <c r="G292" s="134">
        <f t="shared" si="311"/>
        <v>0</v>
      </c>
      <c r="H292" s="134">
        <f t="shared" si="311"/>
        <v>0</v>
      </c>
      <c r="I292" s="134">
        <f t="shared" si="311"/>
        <v>0</v>
      </c>
      <c r="J292" s="134">
        <f t="shared" si="311"/>
        <v>0</v>
      </c>
      <c r="K292" s="134">
        <f t="shared" si="311"/>
        <v>0</v>
      </c>
      <c r="L292" s="134">
        <f t="shared" si="311"/>
        <v>0</v>
      </c>
      <c r="M292" s="134">
        <f t="shared" si="311"/>
        <v>0</v>
      </c>
      <c r="N292" s="134">
        <f t="shared" si="311"/>
        <v>0</v>
      </c>
      <c r="O292" s="134">
        <f t="shared" si="311"/>
        <v>0</v>
      </c>
      <c r="P292" s="308">
        <f t="shared" si="279"/>
        <v>0</v>
      </c>
      <c r="Q292" s="1578"/>
      <c r="S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CF292" s="68"/>
      <c r="CU292" s="906"/>
    </row>
    <row r="293" spans="1:121" x14ac:dyDescent="0.2">
      <c r="A293" s="169">
        <f t="shared" si="309"/>
        <v>7.0000000000000007E-2</v>
      </c>
      <c r="B293" s="992">
        <f>A63</f>
        <v>7.0000000000000007E-2</v>
      </c>
      <c r="C293" s="73" t="str">
        <f t="shared" si="288"/>
        <v>Fachliteratur, Bücher</v>
      </c>
      <c r="D293" s="134">
        <f t="shared" ref="D293:O293" si="312">D63*POWER((1+$A293),$D$234)</f>
        <v>0</v>
      </c>
      <c r="E293" s="134">
        <f t="shared" si="312"/>
        <v>0</v>
      </c>
      <c r="F293" s="134">
        <f t="shared" si="312"/>
        <v>0</v>
      </c>
      <c r="G293" s="134">
        <f t="shared" si="312"/>
        <v>0</v>
      </c>
      <c r="H293" s="134">
        <f t="shared" si="312"/>
        <v>0</v>
      </c>
      <c r="I293" s="134">
        <f t="shared" si="312"/>
        <v>0</v>
      </c>
      <c r="J293" s="134">
        <f t="shared" si="312"/>
        <v>0</v>
      </c>
      <c r="K293" s="134">
        <f t="shared" si="312"/>
        <v>0</v>
      </c>
      <c r="L293" s="134">
        <f t="shared" si="312"/>
        <v>0</v>
      </c>
      <c r="M293" s="134">
        <f t="shared" si="312"/>
        <v>0</v>
      </c>
      <c r="N293" s="134">
        <f t="shared" si="312"/>
        <v>0</v>
      </c>
      <c r="O293" s="134">
        <f t="shared" si="312"/>
        <v>0</v>
      </c>
      <c r="P293" s="308">
        <f t="shared" si="279"/>
        <v>0</v>
      </c>
      <c r="Q293" s="1578"/>
      <c r="S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CF293" s="68"/>
      <c r="CU293" s="876"/>
    </row>
    <row r="294" spans="1:121" x14ac:dyDescent="0.2">
      <c r="A294" s="169">
        <f t="shared" si="309"/>
        <v>0.19</v>
      </c>
      <c r="B294" s="992">
        <f>A64</f>
        <v>0.19</v>
      </c>
      <c r="C294" s="73" t="str">
        <f t="shared" si="288"/>
        <v>Schulungen</v>
      </c>
      <c r="D294" s="134">
        <f t="shared" ref="D294:O294" si="313">D64*POWER((1+$A294),$D$234)</f>
        <v>0</v>
      </c>
      <c r="E294" s="134">
        <f t="shared" si="313"/>
        <v>0</v>
      </c>
      <c r="F294" s="134">
        <f t="shared" si="313"/>
        <v>0</v>
      </c>
      <c r="G294" s="134">
        <f t="shared" si="313"/>
        <v>0</v>
      </c>
      <c r="H294" s="134">
        <f t="shared" si="313"/>
        <v>0</v>
      </c>
      <c r="I294" s="134">
        <f t="shared" si="313"/>
        <v>0</v>
      </c>
      <c r="J294" s="134">
        <f t="shared" si="313"/>
        <v>0</v>
      </c>
      <c r="K294" s="134">
        <f t="shared" si="313"/>
        <v>0</v>
      </c>
      <c r="L294" s="134">
        <f t="shared" si="313"/>
        <v>0</v>
      </c>
      <c r="M294" s="134">
        <f t="shared" si="313"/>
        <v>0</v>
      </c>
      <c r="N294" s="134">
        <f t="shared" si="313"/>
        <v>0</v>
      </c>
      <c r="O294" s="134">
        <f t="shared" si="313"/>
        <v>0</v>
      </c>
      <c r="P294" s="308">
        <f t="shared" si="279"/>
        <v>0</v>
      </c>
      <c r="Q294" s="1578"/>
      <c r="S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CF294" s="68"/>
      <c r="CU294" s="876"/>
    </row>
    <row r="295" spans="1:121" x14ac:dyDescent="0.2">
      <c r="A295" s="169">
        <f t="shared" si="309"/>
        <v>7.0000000000000007E-2</v>
      </c>
      <c r="B295" s="992">
        <f>A65</f>
        <v>7.0000000000000007E-2</v>
      </c>
      <c r="C295" s="73" t="str">
        <f t="shared" si="288"/>
        <v>Sonstiges</v>
      </c>
      <c r="D295" s="880">
        <f t="shared" ref="D295:O295" si="314">D65*POWER((1+$A295),$D$234)</f>
        <v>0</v>
      </c>
      <c r="E295" s="880">
        <f t="shared" si="314"/>
        <v>0</v>
      </c>
      <c r="F295" s="880">
        <f t="shared" si="314"/>
        <v>0</v>
      </c>
      <c r="G295" s="880">
        <f t="shared" si="314"/>
        <v>0</v>
      </c>
      <c r="H295" s="880">
        <f t="shared" si="314"/>
        <v>0</v>
      </c>
      <c r="I295" s="880">
        <f t="shared" si="314"/>
        <v>0</v>
      </c>
      <c r="J295" s="880">
        <f t="shared" si="314"/>
        <v>0</v>
      </c>
      <c r="K295" s="880">
        <f t="shared" si="314"/>
        <v>0</v>
      </c>
      <c r="L295" s="880">
        <f t="shared" si="314"/>
        <v>0</v>
      </c>
      <c r="M295" s="880">
        <f t="shared" si="314"/>
        <v>0</v>
      </c>
      <c r="N295" s="880">
        <f t="shared" si="314"/>
        <v>0</v>
      </c>
      <c r="O295" s="880">
        <f t="shared" si="314"/>
        <v>0</v>
      </c>
      <c r="P295" s="1001">
        <f t="shared" si="279"/>
        <v>0</v>
      </c>
      <c r="Q295" s="1578"/>
      <c r="S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CF295" s="68"/>
      <c r="CU295" s="876"/>
    </row>
    <row r="296" spans="1:121" ht="15" thickBot="1" x14ac:dyDescent="0.25">
      <c r="A296" s="169">
        <f t="shared" si="309"/>
        <v>0</v>
      </c>
      <c r="B296" s="994"/>
      <c r="C296" s="96" t="str">
        <f t="shared" si="288"/>
        <v>Summe Verschiedenes</v>
      </c>
      <c r="D296" s="133">
        <f>SUM(D291:D295)</f>
        <v>0</v>
      </c>
      <c r="E296" s="133">
        <f t="shared" ref="E296:O296" si="315">SUM(E291:E295)</f>
        <v>0</v>
      </c>
      <c r="F296" s="133">
        <f t="shared" si="315"/>
        <v>0</v>
      </c>
      <c r="G296" s="133">
        <f t="shared" si="315"/>
        <v>0</v>
      </c>
      <c r="H296" s="133">
        <f t="shared" si="315"/>
        <v>0</v>
      </c>
      <c r="I296" s="133">
        <f t="shared" si="315"/>
        <v>0</v>
      </c>
      <c r="J296" s="133">
        <f t="shared" si="315"/>
        <v>0</v>
      </c>
      <c r="K296" s="133">
        <f t="shared" si="315"/>
        <v>0</v>
      </c>
      <c r="L296" s="133">
        <f t="shared" si="315"/>
        <v>0</v>
      </c>
      <c r="M296" s="133">
        <f t="shared" si="315"/>
        <v>0</v>
      </c>
      <c r="N296" s="133">
        <f t="shared" si="315"/>
        <v>0</v>
      </c>
      <c r="O296" s="133">
        <f t="shared" si="315"/>
        <v>0</v>
      </c>
      <c r="P296" s="97">
        <f>SUM(D296:O296)</f>
        <v>0</v>
      </c>
      <c r="Q296" s="1578"/>
      <c r="S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CF296" s="68"/>
      <c r="CU296" s="876"/>
    </row>
    <row r="297" spans="1:121" ht="15" thickTop="1" x14ac:dyDescent="0.2">
      <c r="A297" s="170"/>
      <c r="B297" s="995"/>
      <c r="C297" s="99" t="str">
        <f t="shared" si="288"/>
        <v>Summe Betriebskosten I</v>
      </c>
      <c r="D297" s="100">
        <f>SUM(D237:D296)/2</f>
        <v>0</v>
      </c>
      <c r="E297" s="100">
        <f>SUM(E237:E296)/2</f>
        <v>0</v>
      </c>
      <c r="F297" s="100">
        <f t="shared" ref="F297:N297" si="316">SUM(F237:F296)/2</f>
        <v>0</v>
      </c>
      <c r="G297" s="100">
        <f t="shared" si="316"/>
        <v>0</v>
      </c>
      <c r="H297" s="100">
        <f t="shared" si="316"/>
        <v>0</v>
      </c>
      <c r="I297" s="100">
        <f t="shared" si="316"/>
        <v>0</v>
      </c>
      <c r="J297" s="100">
        <f t="shared" si="316"/>
        <v>0</v>
      </c>
      <c r="K297" s="100">
        <f t="shared" si="316"/>
        <v>0</v>
      </c>
      <c r="L297" s="100">
        <f t="shared" si="316"/>
        <v>0</v>
      </c>
      <c r="M297" s="100">
        <f t="shared" si="316"/>
        <v>0</v>
      </c>
      <c r="N297" s="100">
        <f t="shared" si="316"/>
        <v>0</v>
      </c>
      <c r="O297" s="100">
        <f>SUM(O237:O296)/2</f>
        <v>0</v>
      </c>
      <c r="P297" s="999">
        <f>SUM(P236:P296)/2</f>
        <v>0</v>
      </c>
      <c r="Q297" s="1576"/>
      <c r="S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CF297" s="68"/>
      <c r="CU297" s="876"/>
    </row>
    <row r="298" spans="1:121" ht="15" thickBot="1" x14ac:dyDescent="0.25">
      <c r="A298" s="171">
        <f>A217</f>
        <v>0</v>
      </c>
      <c r="B298" s="172"/>
      <c r="C298" s="102" t="str">
        <f t="shared" si="288"/>
        <v>Abschreibungen (aus "3 Anschaffungen|Investment")</v>
      </c>
      <c r="D298" s="103">
        <f>D68</f>
        <v>0</v>
      </c>
      <c r="E298" s="103">
        <f t="shared" ref="E298:O298" si="317">E68*POWER((1+$A298),$D$234)</f>
        <v>0</v>
      </c>
      <c r="F298" s="103">
        <f t="shared" si="317"/>
        <v>0</v>
      </c>
      <c r="G298" s="103">
        <f t="shared" si="317"/>
        <v>0</v>
      </c>
      <c r="H298" s="103">
        <f t="shared" si="317"/>
        <v>0</v>
      </c>
      <c r="I298" s="103">
        <f t="shared" si="317"/>
        <v>0</v>
      </c>
      <c r="J298" s="103">
        <f t="shared" si="317"/>
        <v>0</v>
      </c>
      <c r="K298" s="103">
        <f t="shared" si="317"/>
        <v>0</v>
      </c>
      <c r="L298" s="103">
        <f t="shared" si="317"/>
        <v>0</v>
      </c>
      <c r="M298" s="103">
        <f t="shared" si="317"/>
        <v>0</v>
      </c>
      <c r="N298" s="103">
        <f t="shared" si="317"/>
        <v>0</v>
      </c>
      <c r="O298" s="103">
        <f t="shared" si="317"/>
        <v>0</v>
      </c>
      <c r="P298" s="104">
        <f>P68</f>
        <v>0</v>
      </c>
      <c r="Q298" s="1578"/>
      <c r="S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CF298" s="68"/>
      <c r="CU298" s="876"/>
    </row>
    <row r="299" spans="1:121" ht="15.75" thickTop="1" thickBot="1" x14ac:dyDescent="0.25">
      <c r="A299" s="129"/>
      <c r="B299" s="996"/>
      <c r="C299" s="106" t="str">
        <f t="shared" si="288"/>
        <v>Summe Betriebskosten II</v>
      </c>
      <c r="D299" s="107">
        <f>SUM(D297:D298)</f>
        <v>0</v>
      </c>
      <c r="E299" s="107">
        <f>SUM(E297:E298)</f>
        <v>0</v>
      </c>
      <c r="F299" s="107">
        <f>SUM(F297:F298)</f>
        <v>0</v>
      </c>
      <c r="G299" s="107">
        <f t="shared" ref="G299:P299" si="318">SUM(G297:G298)</f>
        <v>0</v>
      </c>
      <c r="H299" s="107">
        <f t="shared" si="318"/>
        <v>0</v>
      </c>
      <c r="I299" s="107">
        <f t="shared" si="318"/>
        <v>0</v>
      </c>
      <c r="J299" s="107">
        <f t="shared" si="318"/>
        <v>0</v>
      </c>
      <c r="K299" s="107">
        <f t="shared" si="318"/>
        <v>0</v>
      </c>
      <c r="L299" s="107">
        <f t="shared" si="318"/>
        <v>0</v>
      </c>
      <c r="M299" s="107">
        <f t="shared" si="318"/>
        <v>0</v>
      </c>
      <c r="N299" s="107">
        <f t="shared" si="318"/>
        <v>0</v>
      </c>
      <c r="O299" s="107">
        <f t="shared" si="318"/>
        <v>0</v>
      </c>
      <c r="P299" s="108">
        <f t="shared" si="318"/>
        <v>0</v>
      </c>
      <c r="Q299" s="1576"/>
      <c r="S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CF299" s="68"/>
      <c r="CU299" s="907"/>
    </row>
    <row r="300" spans="1:121" s="35" customFormat="1" x14ac:dyDescent="0.2">
      <c r="A300" s="129"/>
      <c r="C300" s="33" t="str">
        <f t="shared" si="288"/>
        <v>*) wird aus Tabelle "7 Finanzierung|Financing" übernommen (auf ganze Euro gerundet!)</v>
      </c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577"/>
      <c r="R300" s="1097"/>
      <c r="CF300" s="68"/>
      <c r="CU300" s="897"/>
      <c r="CV300" s="875"/>
      <c r="CW300" s="875"/>
      <c r="CX300" s="856"/>
      <c r="CY300" s="856"/>
      <c r="CZ300" s="856"/>
      <c r="DA300" s="126"/>
      <c r="DB300" s="126"/>
      <c r="DC300" s="126"/>
      <c r="DD300" s="126"/>
      <c r="DE300" s="856"/>
      <c r="DF300" s="856"/>
      <c r="DG300" s="856"/>
      <c r="DH300" s="856"/>
      <c r="DI300" s="856"/>
      <c r="DJ300" s="856"/>
      <c r="DK300" s="856"/>
      <c r="DL300" s="856"/>
      <c r="DM300" s="152"/>
      <c r="DN300" s="152"/>
      <c r="DO300" s="152"/>
      <c r="DP300" s="152"/>
      <c r="DQ300" s="152"/>
    </row>
    <row r="301" spans="1:121" s="35" customFormat="1" x14ac:dyDescent="0.2">
      <c r="A301" s="129"/>
      <c r="C301" s="13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577"/>
      <c r="R301" s="1097"/>
      <c r="CF301" s="68"/>
      <c r="CU301" s="910"/>
      <c r="CV301" s="875"/>
      <c r="CW301" s="875"/>
      <c r="CX301" s="856"/>
      <c r="CY301" s="856"/>
      <c r="CZ301" s="856"/>
      <c r="DA301" s="126"/>
      <c r="DB301" s="126"/>
      <c r="DC301" s="126"/>
      <c r="DD301" s="126"/>
      <c r="DE301" s="856"/>
      <c r="DF301" s="856"/>
      <c r="DG301" s="856"/>
      <c r="DH301" s="856"/>
      <c r="DI301" s="856"/>
      <c r="DJ301" s="856"/>
      <c r="DK301" s="856"/>
      <c r="DL301" s="856"/>
      <c r="DM301" s="152"/>
      <c r="DN301" s="152"/>
      <c r="DO301" s="152"/>
      <c r="DP301" s="152"/>
      <c r="DQ301" s="152"/>
    </row>
    <row r="302" spans="1:121" s="35" customFormat="1" ht="24.75" x14ac:dyDescent="0.2">
      <c r="A302" s="129"/>
      <c r="B302" s="41" t="str">
        <f ca="1">IF($C$2="English",CV302,CU302)</f>
        <v xml:space="preserve">4c-2 Betriebskosten für das Jahr 2020 in EUR  (mit MwSt) </v>
      </c>
      <c r="C302" s="42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9"/>
      <c r="Q302" s="1577"/>
      <c r="R302" s="1097"/>
      <c r="CF302" s="68"/>
      <c r="CU302" s="894" t="str">
        <f ca="1">"4c-2 Betriebskosten für das Jahr " &amp;'1 Pers.Ausgaben|Pers Expenses'!$C$4+1&amp;" in EUR" &amp; "  (" &amp; 'Deckblatt Gruender|Data Founder'!$J$2&amp; ") "</f>
        <v xml:space="preserve">4c-2 Betriebskosten für das Jahr 2020 in EUR  (mit MwSt) </v>
      </c>
      <c r="CV302" s="895" t="str">
        <f ca="1">"4c-2 Operating Expense for Year " &amp;'1 Pers.Ausgaben|Pers Expenses'!$C$4+1&amp;" in EUR" &amp; "  (" &amp; 'Deckblatt Gruender|Data Founder'!$K$2&amp; ") "</f>
        <v xml:space="preserve">4c-2 Operating Expense for Year 2020 in EUR  (incl VAT) </v>
      </c>
      <c r="CW302" s="68"/>
      <c r="CX302" s="152"/>
      <c r="CY302" s="152"/>
      <c r="CZ302" s="152"/>
      <c r="DA302" s="34"/>
      <c r="DB302" s="34"/>
      <c r="DC302" s="34"/>
      <c r="DD302" s="34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</row>
    <row r="303" spans="1:121" s="35" customFormat="1" ht="15" thickBot="1" x14ac:dyDescent="0.25">
      <c r="A303" s="129"/>
      <c r="B303" s="155" t="str">
        <f>B234</f>
        <v/>
      </c>
      <c r="D303" s="150">
        <f>IF('Deckblatt Gruender|Data Founder'!J57="mit MwSt",2,0)</f>
        <v>0</v>
      </c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577"/>
      <c r="R303" s="1097"/>
      <c r="CF303" s="68"/>
      <c r="CU303" s="875"/>
      <c r="CV303" s="68"/>
      <c r="CW303" s="68"/>
      <c r="CX303" s="152"/>
      <c r="CY303" s="152"/>
      <c r="CZ303" s="152"/>
      <c r="DA303" s="34"/>
      <c r="DB303" s="34"/>
      <c r="DC303" s="34"/>
      <c r="DD303" s="34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</row>
    <row r="304" spans="1:121" ht="15" thickBot="1" x14ac:dyDescent="0.25">
      <c r="A304" s="129"/>
      <c r="B304" s="51" t="str">
        <f>B5</f>
        <v>No.</v>
      </c>
      <c r="C304" s="52" t="str">
        <f t="shared" ref="C304:C310" si="319">C235</f>
        <v>Kostenart</v>
      </c>
      <c r="D304" s="53" t="str">
        <f t="shared" ref="D304:O304" si="320">D235</f>
        <v>Jan.</v>
      </c>
      <c r="E304" s="53" t="str">
        <f t="shared" si="320"/>
        <v>Febr.</v>
      </c>
      <c r="F304" s="53" t="str">
        <f t="shared" si="320"/>
        <v>März</v>
      </c>
      <c r="G304" s="53" t="str">
        <f t="shared" si="320"/>
        <v>April</v>
      </c>
      <c r="H304" s="53" t="str">
        <f t="shared" si="320"/>
        <v>Mai</v>
      </c>
      <c r="I304" s="53" t="str">
        <f t="shared" si="320"/>
        <v>Juni</v>
      </c>
      <c r="J304" s="53" t="str">
        <f t="shared" si="320"/>
        <v>Juli</v>
      </c>
      <c r="K304" s="53" t="str">
        <f t="shared" si="320"/>
        <v>Aug.</v>
      </c>
      <c r="L304" s="53" t="str">
        <f t="shared" si="320"/>
        <v>Sept.</v>
      </c>
      <c r="M304" s="53" t="str">
        <f t="shared" si="320"/>
        <v>Okt.</v>
      </c>
      <c r="N304" s="53" t="str">
        <f t="shared" si="320"/>
        <v>Nov.</v>
      </c>
      <c r="O304" s="53" t="str">
        <f t="shared" si="320"/>
        <v>Dez.</v>
      </c>
      <c r="P304" s="54" t="str">
        <f ca="1">P79</f>
        <v>Jahr 2020</v>
      </c>
      <c r="Q304" s="1574"/>
      <c r="S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CF304" s="68"/>
      <c r="CV304" s="68"/>
      <c r="CW304" s="68"/>
      <c r="CX304" s="152"/>
      <c r="CY304" s="152"/>
      <c r="CZ304" s="152"/>
      <c r="DA304" s="34"/>
      <c r="DB304" s="34"/>
      <c r="DC304" s="34"/>
      <c r="DD304" s="34"/>
      <c r="DE304" s="152"/>
      <c r="DF304" s="152"/>
      <c r="DG304" s="152"/>
      <c r="DH304" s="152"/>
      <c r="DI304" s="152"/>
      <c r="DJ304" s="152"/>
      <c r="DK304" s="152"/>
      <c r="DL304" s="152"/>
    </row>
    <row r="305" spans="1:116" x14ac:dyDescent="0.2">
      <c r="A305" s="168"/>
      <c r="B305" s="991">
        <v>1</v>
      </c>
      <c r="C305" s="63" t="str">
        <f t="shared" si="319"/>
        <v>Bürokosten</v>
      </c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5"/>
      <c r="Q305" s="1578"/>
      <c r="S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CF305" s="68"/>
      <c r="CV305" s="68"/>
      <c r="CW305" s="68"/>
      <c r="CX305" s="152"/>
      <c r="CY305" s="152"/>
      <c r="CZ305" s="152"/>
      <c r="DA305" s="34"/>
      <c r="DB305" s="34"/>
      <c r="DC305" s="34"/>
      <c r="DD305" s="34"/>
      <c r="DE305" s="152"/>
      <c r="DF305" s="152"/>
      <c r="DG305" s="152"/>
      <c r="DH305" s="152"/>
      <c r="DI305" s="152"/>
      <c r="DJ305" s="152"/>
      <c r="DK305" s="152"/>
      <c r="DL305" s="152"/>
    </row>
    <row r="306" spans="1:116" x14ac:dyDescent="0.2">
      <c r="A306" s="169">
        <f t="shared" ref="A306:A311" si="321">IF(B7="",B306,B7)</f>
        <v>0.19</v>
      </c>
      <c r="B306" s="992">
        <f t="shared" ref="B306:B311" si="322">B237</f>
        <v>0.19</v>
      </c>
      <c r="C306" s="73" t="str">
        <f t="shared" si="319"/>
        <v>Raummiete</v>
      </c>
      <c r="D306" s="134">
        <f t="shared" ref="D306:O306" si="323">D81*POWER((1+$A306),$D$234)</f>
        <v>0</v>
      </c>
      <c r="E306" s="134">
        <f t="shared" si="323"/>
        <v>0</v>
      </c>
      <c r="F306" s="134">
        <f t="shared" si="323"/>
        <v>0</v>
      </c>
      <c r="G306" s="134">
        <f t="shared" si="323"/>
        <v>0</v>
      </c>
      <c r="H306" s="134">
        <f t="shared" si="323"/>
        <v>0</v>
      </c>
      <c r="I306" s="134">
        <f t="shared" si="323"/>
        <v>0</v>
      </c>
      <c r="J306" s="134">
        <f t="shared" si="323"/>
        <v>0</v>
      </c>
      <c r="K306" s="134">
        <f t="shared" si="323"/>
        <v>0</v>
      </c>
      <c r="L306" s="134">
        <f t="shared" si="323"/>
        <v>0</v>
      </c>
      <c r="M306" s="134">
        <f t="shared" si="323"/>
        <v>0</v>
      </c>
      <c r="N306" s="134">
        <f t="shared" si="323"/>
        <v>0</v>
      </c>
      <c r="O306" s="134">
        <f t="shared" si="323"/>
        <v>0</v>
      </c>
      <c r="P306" s="308">
        <f t="shared" ref="P306:P311" si="324">SUM(D306:O306)</f>
        <v>0</v>
      </c>
      <c r="Q306" s="1578"/>
      <c r="S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CF306" s="68"/>
      <c r="CV306" s="68"/>
      <c r="CW306" s="68"/>
      <c r="CX306" s="152"/>
      <c r="CY306" s="152"/>
      <c r="CZ306" s="152"/>
      <c r="DA306" s="34"/>
      <c r="DB306" s="34"/>
      <c r="DC306" s="34"/>
      <c r="DD306" s="34"/>
      <c r="DE306" s="152"/>
      <c r="DF306" s="152"/>
      <c r="DG306" s="152"/>
      <c r="DH306" s="152"/>
      <c r="DI306" s="152"/>
      <c r="DJ306" s="152"/>
      <c r="DK306" s="152"/>
      <c r="DL306" s="152"/>
    </row>
    <row r="307" spans="1:116" x14ac:dyDescent="0.2">
      <c r="A307" s="169">
        <f t="shared" si="321"/>
        <v>0.19</v>
      </c>
      <c r="B307" s="992">
        <f t="shared" si="322"/>
        <v>0.19</v>
      </c>
      <c r="C307" s="73" t="str">
        <f t="shared" si="319"/>
        <v>Strom, Wasser, Heizung, sonst. Nebenkosten</v>
      </c>
      <c r="D307" s="134">
        <f t="shared" ref="D307:O307" si="325">D82*POWER((1+$A307),$D$234)</f>
        <v>0</v>
      </c>
      <c r="E307" s="134">
        <f t="shared" si="325"/>
        <v>0</v>
      </c>
      <c r="F307" s="134">
        <f t="shared" si="325"/>
        <v>0</v>
      </c>
      <c r="G307" s="134">
        <f t="shared" si="325"/>
        <v>0</v>
      </c>
      <c r="H307" s="134">
        <f t="shared" si="325"/>
        <v>0</v>
      </c>
      <c r="I307" s="134">
        <f t="shared" si="325"/>
        <v>0</v>
      </c>
      <c r="J307" s="134">
        <f t="shared" si="325"/>
        <v>0</v>
      </c>
      <c r="K307" s="134">
        <f t="shared" si="325"/>
        <v>0</v>
      </c>
      <c r="L307" s="134">
        <f t="shared" si="325"/>
        <v>0</v>
      </c>
      <c r="M307" s="134">
        <f t="shared" si="325"/>
        <v>0</v>
      </c>
      <c r="N307" s="134">
        <f t="shared" si="325"/>
        <v>0</v>
      </c>
      <c r="O307" s="134">
        <f t="shared" si="325"/>
        <v>0</v>
      </c>
      <c r="P307" s="308">
        <f t="shared" si="324"/>
        <v>0</v>
      </c>
      <c r="Q307" s="1578"/>
      <c r="S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CF307" s="68"/>
      <c r="CV307" s="68"/>
      <c r="CW307" s="68"/>
      <c r="CX307" s="152"/>
      <c r="CY307" s="152"/>
      <c r="CZ307" s="152"/>
      <c r="DA307" s="34"/>
      <c r="DB307" s="34"/>
      <c r="DC307" s="34"/>
      <c r="DD307" s="34"/>
      <c r="DE307" s="152"/>
      <c r="DF307" s="152"/>
      <c r="DG307" s="152"/>
      <c r="DH307" s="152"/>
      <c r="DI307" s="152"/>
      <c r="DJ307" s="152"/>
      <c r="DK307" s="152"/>
      <c r="DL307" s="152"/>
    </row>
    <row r="308" spans="1:116" x14ac:dyDescent="0.2">
      <c r="A308" s="169">
        <f t="shared" si="321"/>
        <v>0.19</v>
      </c>
      <c r="B308" s="992">
        <f t="shared" si="322"/>
        <v>0.19</v>
      </c>
      <c r="C308" s="73" t="str">
        <f t="shared" si="319"/>
        <v>Telefon, Fax, Internet, Porto</v>
      </c>
      <c r="D308" s="134">
        <f t="shared" ref="D308:O308" si="326">D83*POWER((1+$A308),$D$234)</f>
        <v>0</v>
      </c>
      <c r="E308" s="134">
        <f t="shared" si="326"/>
        <v>0</v>
      </c>
      <c r="F308" s="134">
        <f t="shared" si="326"/>
        <v>0</v>
      </c>
      <c r="G308" s="134">
        <f t="shared" si="326"/>
        <v>0</v>
      </c>
      <c r="H308" s="134">
        <f t="shared" si="326"/>
        <v>0</v>
      </c>
      <c r="I308" s="134">
        <f t="shared" si="326"/>
        <v>0</v>
      </c>
      <c r="J308" s="134">
        <f t="shared" si="326"/>
        <v>0</v>
      </c>
      <c r="K308" s="134">
        <f t="shared" si="326"/>
        <v>0</v>
      </c>
      <c r="L308" s="134">
        <f t="shared" si="326"/>
        <v>0</v>
      </c>
      <c r="M308" s="134">
        <f t="shared" si="326"/>
        <v>0</v>
      </c>
      <c r="N308" s="134">
        <f t="shared" si="326"/>
        <v>0</v>
      </c>
      <c r="O308" s="134">
        <f t="shared" si="326"/>
        <v>0</v>
      </c>
      <c r="P308" s="308">
        <f t="shared" si="324"/>
        <v>0</v>
      </c>
      <c r="Q308" s="1578"/>
      <c r="S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CF308" s="68"/>
      <c r="CV308" s="68"/>
      <c r="CW308" s="68"/>
      <c r="CX308" s="152"/>
      <c r="CY308" s="152"/>
      <c r="CZ308" s="152"/>
      <c r="DA308" s="34"/>
      <c r="DB308" s="34"/>
      <c r="DC308" s="34"/>
      <c r="DD308" s="34"/>
      <c r="DE308" s="152"/>
      <c r="DF308" s="152"/>
      <c r="DG308" s="152"/>
      <c r="DH308" s="152"/>
      <c r="DI308" s="152"/>
      <c r="DJ308" s="152"/>
      <c r="DK308" s="152"/>
      <c r="DL308" s="152"/>
    </row>
    <row r="309" spans="1:116" x14ac:dyDescent="0.2">
      <c r="A309" s="169">
        <f t="shared" si="321"/>
        <v>0.19</v>
      </c>
      <c r="B309" s="992">
        <f t="shared" si="322"/>
        <v>0.19</v>
      </c>
      <c r="C309" s="73" t="str">
        <f t="shared" si="319"/>
        <v>Geringw. Wirtschaftsgüter (Büromöbel, Einrichtungen,...)</v>
      </c>
      <c r="D309" s="134">
        <f t="shared" ref="D309:O309" si="327">D84*POWER((1+$A309),$D$234)</f>
        <v>0</v>
      </c>
      <c r="E309" s="134">
        <f t="shared" si="327"/>
        <v>0</v>
      </c>
      <c r="F309" s="134">
        <f t="shared" si="327"/>
        <v>0</v>
      </c>
      <c r="G309" s="134">
        <f t="shared" si="327"/>
        <v>0</v>
      </c>
      <c r="H309" s="134">
        <f t="shared" si="327"/>
        <v>0</v>
      </c>
      <c r="I309" s="134">
        <f t="shared" si="327"/>
        <v>0</v>
      </c>
      <c r="J309" s="134">
        <f t="shared" si="327"/>
        <v>0</v>
      </c>
      <c r="K309" s="134">
        <f t="shared" si="327"/>
        <v>0</v>
      </c>
      <c r="L309" s="134">
        <f t="shared" si="327"/>
        <v>0</v>
      </c>
      <c r="M309" s="134">
        <f t="shared" si="327"/>
        <v>0</v>
      </c>
      <c r="N309" s="134">
        <f t="shared" si="327"/>
        <v>0</v>
      </c>
      <c r="O309" s="134">
        <f t="shared" si="327"/>
        <v>0</v>
      </c>
      <c r="P309" s="308">
        <f t="shared" si="324"/>
        <v>0</v>
      </c>
      <c r="Q309" s="1578"/>
      <c r="S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CF309" s="68"/>
      <c r="CV309" s="68"/>
      <c r="CW309" s="68"/>
      <c r="CX309" s="152"/>
      <c r="CY309" s="152"/>
      <c r="CZ309" s="152"/>
      <c r="DA309" s="34"/>
      <c r="DB309" s="34"/>
      <c r="DC309" s="34"/>
      <c r="DD309" s="34"/>
      <c r="DE309" s="152"/>
      <c r="DF309" s="152"/>
      <c r="DG309" s="152"/>
      <c r="DH309" s="152"/>
      <c r="DI309" s="152"/>
      <c r="DJ309" s="152"/>
      <c r="DK309" s="152"/>
      <c r="DL309" s="152"/>
    </row>
    <row r="310" spans="1:116" x14ac:dyDescent="0.2">
      <c r="A310" s="169">
        <f t="shared" si="321"/>
        <v>0.19</v>
      </c>
      <c r="B310" s="992">
        <f t="shared" si="322"/>
        <v>0.19</v>
      </c>
      <c r="C310" s="73" t="str">
        <f t="shared" si="319"/>
        <v>IT (Lizenzen, Windows, Office, Wartung)</v>
      </c>
      <c r="D310" s="134">
        <f t="shared" ref="D310:O310" si="328">D85*POWER((1+$A310),$D$234)</f>
        <v>0</v>
      </c>
      <c r="E310" s="134">
        <f t="shared" si="328"/>
        <v>0</v>
      </c>
      <c r="F310" s="134">
        <f t="shared" si="328"/>
        <v>0</v>
      </c>
      <c r="G310" s="134">
        <f t="shared" si="328"/>
        <v>0</v>
      </c>
      <c r="H310" s="134">
        <f t="shared" si="328"/>
        <v>0</v>
      </c>
      <c r="I310" s="134">
        <f t="shared" si="328"/>
        <v>0</v>
      </c>
      <c r="J310" s="134">
        <f t="shared" si="328"/>
        <v>0</v>
      </c>
      <c r="K310" s="134">
        <f t="shared" si="328"/>
        <v>0</v>
      </c>
      <c r="L310" s="134">
        <f t="shared" si="328"/>
        <v>0</v>
      </c>
      <c r="M310" s="134">
        <f t="shared" si="328"/>
        <v>0</v>
      </c>
      <c r="N310" s="134">
        <f t="shared" si="328"/>
        <v>0</v>
      </c>
      <c r="O310" s="134">
        <f t="shared" si="328"/>
        <v>0</v>
      </c>
      <c r="P310" s="308">
        <f t="shared" si="324"/>
        <v>0</v>
      </c>
      <c r="Q310" s="1578"/>
      <c r="S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CF310" s="68"/>
      <c r="CV310" s="68"/>
      <c r="CW310" s="68"/>
      <c r="CX310" s="152"/>
      <c r="CY310" s="152"/>
      <c r="CZ310" s="152"/>
      <c r="DA310" s="34"/>
      <c r="DB310" s="34"/>
      <c r="DC310" s="34"/>
      <c r="DD310" s="34"/>
      <c r="DE310" s="152"/>
      <c r="DF310" s="152"/>
      <c r="DG310" s="152"/>
      <c r="DH310" s="152"/>
      <c r="DI310" s="152"/>
      <c r="DJ310" s="152"/>
      <c r="DK310" s="152"/>
      <c r="DL310" s="152"/>
    </row>
    <row r="311" spans="1:116" x14ac:dyDescent="0.2">
      <c r="A311" s="169">
        <f t="shared" si="321"/>
        <v>0.19</v>
      </c>
      <c r="B311" s="992">
        <f t="shared" si="322"/>
        <v>0.19</v>
      </c>
      <c r="C311" s="73" t="str">
        <f>C12</f>
        <v>Sonstiges</v>
      </c>
      <c r="D311" s="880">
        <f t="shared" ref="D311:O311" si="329">D86*POWER((1+$A311),$D$234)</f>
        <v>0</v>
      </c>
      <c r="E311" s="880">
        <f t="shared" si="329"/>
        <v>0</v>
      </c>
      <c r="F311" s="880">
        <f t="shared" si="329"/>
        <v>0</v>
      </c>
      <c r="G311" s="880">
        <f t="shared" si="329"/>
        <v>0</v>
      </c>
      <c r="H311" s="880">
        <f t="shared" si="329"/>
        <v>0</v>
      </c>
      <c r="I311" s="880">
        <f t="shared" si="329"/>
        <v>0</v>
      </c>
      <c r="J311" s="880">
        <f t="shared" si="329"/>
        <v>0</v>
      </c>
      <c r="K311" s="880">
        <f t="shared" si="329"/>
        <v>0</v>
      </c>
      <c r="L311" s="880">
        <f t="shared" si="329"/>
        <v>0</v>
      </c>
      <c r="M311" s="880">
        <f t="shared" si="329"/>
        <v>0</v>
      </c>
      <c r="N311" s="880">
        <f t="shared" si="329"/>
        <v>0</v>
      </c>
      <c r="O311" s="880">
        <f t="shared" si="329"/>
        <v>0</v>
      </c>
      <c r="P311" s="1001">
        <f t="shared" si="324"/>
        <v>0</v>
      </c>
      <c r="Q311" s="1578"/>
      <c r="S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CF311" s="68"/>
      <c r="CV311" s="68"/>
      <c r="CW311" s="68"/>
      <c r="CX311" s="152"/>
      <c r="CY311" s="152"/>
      <c r="CZ311" s="152"/>
      <c r="DA311" s="34"/>
      <c r="DB311" s="34"/>
      <c r="DC311" s="34"/>
      <c r="DD311" s="34"/>
      <c r="DE311" s="152"/>
      <c r="DF311" s="152"/>
      <c r="DG311" s="152"/>
      <c r="DH311" s="152"/>
      <c r="DI311" s="152"/>
      <c r="DJ311" s="152"/>
      <c r="DK311" s="152"/>
      <c r="DL311" s="152"/>
    </row>
    <row r="312" spans="1:116" x14ac:dyDescent="0.2">
      <c r="A312" s="169"/>
      <c r="B312" s="993"/>
      <c r="C312" s="81" t="str">
        <f t="shared" ref="C312:C320" si="330">C243</f>
        <v>Summe Bürokosten</v>
      </c>
      <c r="D312" s="133">
        <f t="shared" ref="D312:O312" si="331">SUM(D306:D311)</f>
        <v>0</v>
      </c>
      <c r="E312" s="133">
        <f t="shared" si="331"/>
        <v>0</v>
      </c>
      <c r="F312" s="133">
        <f t="shared" si="331"/>
        <v>0</v>
      </c>
      <c r="G312" s="133">
        <f t="shared" si="331"/>
        <v>0</v>
      </c>
      <c r="H312" s="133">
        <f t="shared" si="331"/>
        <v>0</v>
      </c>
      <c r="I312" s="133">
        <f t="shared" si="331"/>
        <v>0</v>
      </c>
      <c r="J312" s="133">
        <f t="shared" si="331"/>
        <v>0</v>
      </c>
      <c r="K312" s="133">
        <f t="shared" si="331"/>
        <v>0</v>
      </c>
      <c r="L312" s="133">
        <f t="shared" si="331"/>
        <v>0</v>
      </c>
      <c r="M312" s="133">
        <f t="shared" si="331"/>
        <v>0</v>
      </c>
      <c r="N312" s="133">
        <f t="shared" si="331"/>
        <v>0</v>
      </c>
      <c r="O312" s="133">
        <f t="shared" si="331"/>
        <v>0</v>
      </c>
      <c r="P312" s="998">
        <f>SUM(D312:O312)</f>
        <v>0</v>
      </c>
      <c r="Q312" s="1578"/>
      <c r="S312" s="139"/>
      <c r="T312" s="139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CF312" s="68"/>
      <c r="CV312" s="68"/>
      <c r="CW312" s="68"/>
      <c r="CX312" s="152"/>
      <c r="CY312" s="152"/>
      <c r="CZ312" s="152"/>
      <c r="DA312" s="34"/>
      <c r="DB312" s="34"/>
      <c r="DC312" s="34"/>
      <c r="DD312" s="34"/>
      <c r="DE312" s="152"/>
      <c r="DF312" s="152"/>
      <c r="DG312" s="152"/>
      <c r="DH312" s="152"/>
      <c r="DI312" s="152"/>
      <c r="DJ312" s="152"/>
      <c r="DK312" s="152"/>
      <c r="DL312" s="152"/>
    </row>
    <row r="313" spans="1:116" x14ac:dyDescent="0.2">
      <c r="A313" s="169"/>
      <c r="B313" s="991">
        <f t="shared" ref="B313:B321" si="332">B244</f>
        <v>2</v>
      </c>
      <c r="C313" s="86" t="str">
        <f t="shared" si="330"/>
        <v>Produktionskosten</v>
      </c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8"/>
      <c r="Q313" s="1578"/>
      <c r="S313" s="139"/>
      <c r="T313" s="139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CF313" s="68"/>
      <c r="CV313" s="68"/>
      <c r="CW313" s="68"/>
      <c r="CX313" s="152"/>
      <c r="CY313" s="152"/>
      <c r="CZ313" s="152"/>
      <c r="DA313" s="34"/>
      <c r="DB313" s="34"/>
      <c r="DC313" s="34"/>
      <c r="DD313" s="34"/>
      <c r="DE313" s="152"/>
      <c r="DF313" s="152"/>
      <c r="DG313" s="152"/>
      <c r="DH313" s="152"/>
      <c r="DI313" s="152"/>
      <c r="DJ313" s="152"/>
      <c r="DK313" s="152"/>
      <c r="DL313" s="152"/>
    </row>
    <row r="314" spans="1:116" x14ac:dyDescent="0.2">
      <c r="A314" s="169">
        <f t="shared" ref="A314:A321" si="333">IF(B15="",B314,B15)</f>
        <v>0.19</v>
      </c>
      <c r="B314" s="992">
        <f t="shared" si="332"/>
        <v>0.19</v>
      </c>
      <c r="C314" s="73" t="str">
        <f t="shared" si="330"/>
        <v>Raummiete</v>
      </c>
      <c r="D314" s="134">
        <f t="shared" ref="D314:O314" si="334">D89*POWER((1+$A314),$D$234)</f>
        <v>0</v>
      </c>
      <c r="E314" s="134">
        <f t="shared" si="334"/>
        <v>0</v>
      </c>
      <c r="F314" s="134">
        <f t="shared" si="334"/>
        <v>0</v>
      </c>
      <c r="G314" s="134">
        <f t="shared" si="334"/>
        <v>0</v>
      </c>
      <c r="H314" s="134">
        <f t="shared" si="334"/>
        <v>0</v>
      </c>
      <c r="I314" s="134">
        <f t="shared" si="334"/>
        <v>0</v>
      </c>
      <c r="J314" s="134">
        <f t="shared" si="334"/>
        <v>0</v>
      </c>
      <c r="K314" s="134">
        <f t="shared" si="334"/>
        <v>0</v>
      </c>
      <c r="L314" s="134">
        <f t="shared" si="334"/>
        <v>0</v>
      </c>
      <c r="M314" s="134">
        <f t="shared" si="334"/>
        <v>0</v>
      </c>
      <c r="N314" s="134">
        <f t="shared" si="334"/>
        <v>0</v>
      </c>
      <c r="O314" s="134">
        <f t="shared" si="334"/>
        <v>0</v>
      </c>
      <c r="P314" s="308">
        <f>SUM(D314:O314)</f>
        <v>0</v>
      </c>
      <c r="Q314" s="1578"/>
      <c r="S314" s="139"/>
      <c r="T314" s="139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CF314" s="68"/>
      <c r="CV314" s="68"/>
      <c r="CW314" s="68"/>
      <c r="CX314" s="152"/>
      <c r="CY314" s="152"/>
      <c r="CZ314" s="152"/>
      <c r="DA314" s="34"/>
      <c r="DB314" s="34"/>
      <c r="DC314" s="34"/>
      <c r="DD314" s="34"/>
      <c r="DE314" s="152"/>
      <c r="DF314" s="152"/>
      <c r="DG314" s="152"/>
      <c r="DH314" s="152"/>
      <c r="DI314" s="152"/>
      <c r="DJ314" s="152"/>
      <c r="DK314" s="152"/>
      <c r="DL314" s="152"/>
    </row>
    <row r="315" spans="1:116" x14ac:dyDescent="0.2">
      <c r="A315" s="169">
        <f t="shared" si="333"/>
        <v>0.19</v>
      </c>
      <c r="B315" s="992">
        <f t="shared" si="332"/>
        <v>0.19</v>
      </c>
      <c r="C315" s="73" t="str">
        <f t="shared" si="330"/>
        <v>Strom, Wasser, Heizung, sonst. Nebenkosten</v>
      </c>
      <c r="D315" s="134">
        <f t="shared" ref="D315:O315" si="335">D90*POWER((1+$A315),$D$234)</f>
        <v>0</v>
      </c>
      <c r="E315" s="134">
        <f t="shared" si="335"/>
        <v>0</v>
      </c>
      <c r="F315" s="134">
        <f t="shared" si="335"/>
        <v>0</v>
      </c>
      <c r="G315" s="134">
        <f t="shared" si="335"/>
        <v>0</v>
      </c>
      <c r="H315" s="134">
        <f t="shared" si="335"/>
        <v>0</v>
      </c>
      <c r="I315" s="134">
        <f t="shared" si="335"/>
        <v>0</v>
      </c>
      <c r="J315" s="134">
        <f t="shared" si="335"/>
        <v>0</v>
      </c>
      <c r="K315" s="134">
        <f t="shared" si="335"/>
        <v>0</v>
      </c>
      <c r="L315" s="134">
        <f t="shared" si="335"/>
        <v>0</v>
      </c>
      <c r="M315" s="134">
        <f t="shared" si="335"/>
        <v>0</v>
      </c>
      <c r="N315" s="134">
        <f t="shared" si="335"/>
        <v>0</v>
      </c>
      <c r="O315" s="134">
        <f t="shared" si="335"/>
        <v>0</v>
      </c>
      <c r="P315" s="308">
        <f t="shared" ref="P315:P365" si="336">SUM(D315:O315)</f>
        <v>0</v>
      </c>
      <c r="Q315" s="1578"/>
      <c r="S315" s="139"/>
      <c r="T315" s="139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CF315" s="68"/>
      <c r="CV315" s="68"/>
      <c r="CW315" s="68"/>
      <c r="CX315" s="152"/>
      <c r="CY315" s="152"/>
      <c r="CZ315" s="152"/>
      <c r="DA315" s="34"/>
      <c r="DB315" s="34"/>
      <c r="DC315" s="34"/>
      <c r="DD315" s="34"/>
      <c r="DE315" s="152"/>
      <c r="DF315" s="152"/>
      <c r="DG315" s="152"/>
      <c r="DH315" s="152"/>
      <c r="DI315" s="152"/>
      <c r="DJ315" s="152"/>
      <c r="DK315" s="152"/>
      <c r="DL315" s="152"/>
    </row>
    <row r="316" spans="1:116" x14ac:dyDescent="0.2">
      <c r="A316" s="169">
        <f t="shared" si="333"/>
        <v>0.19</v>
      </c>
      <c r="B316" s="992">
        <f t="shared" si="332"/>
        <v>0.19</v>
      </c>
      <c r="C316" s="73" t="str">
        <f t="shared" si="330"/>
        <v>Materialaufwand zur Produktion (19%)</v>
      </c>
      <c r="D316" s="134">
        <f t="shared" ref="D316:O316" si="337">D91*POWER((1+$A316),$D$234)</f>
        <v>0</v>
      </c>
      <c r="E316" s="134">
        <f t="shared" si="337"/>
        <v>0</v>
      </c>
      <c r="F316" s="134">
        <f t="shared" si="337"/>
        <v>0</v>
      </c>
      <c r="G316" s="134">
        <f t="shared" si="337"/>
        <v>0</v>
      </c>
      <c r="H316" s="134">
        <f t="shared" si="337"/>
        <v>0</v>
      </c>
      <c r="I316" s="134">
        <f t="shared" si="337"/>
        <v>0</v>
      </c>
      <c r="J316" s="134">
        <f t="shared" si="337"/>
        <v>0</v>
      </c>
      <c r="K316" s="134">
        <f t="shared" si="337"/>
        <v>0</v>
      </c>
      <c r="L316" s="134">
        <f t="shared" si="337"/>
        <v>0</v>
      </c>
      <c r="M316" s="134">
        <f t="shared" si="337"/>
        <v>0</v>
      </c>
      <c r="N316" s="134">
        <f t="shared" si="337"/>
        <v>0</v>
      </c>
      <c r="O316" s="134">
        <f t="shared" si="337"/>
        <v>0</v>
      </c>
      <c r="P316" s="308">
        <f t="shared" si="336"/>
        <v>0</v>
      </c>
      <c r="Q316" s="1575"/>
      <c r="S316" s="139"/>
      <c r="T316" s="139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CF316" s="68"/>
      <c r="CV316" s="68"/>
      <c r="CW316" s="68"/>
      <c r="CX316" s="152"/>
      <c r="CY316" s="152"/>
      <c r="CZ316" s="152"/>
      <c r="DA316" s="34"/>
      <c r="DB316" s="34"/>
      <c r="DC316" s="34"/>
      <c r="DD316" s="34"/>
      <c r="DE316" s="152"/>
      <c r="DF316" s="152"/>
      <c r="DG316" s="152"/>
      <c r="DH316" s="152"/>
      <c r="DI316" s="152"/>
      <c r="DJ316" s="152"/>
      <c r="DK316" s="152"/>
      <c r="DL316" s="152"/>
    </row>
    <row r="317" spans="1:116" x14ac:dyDescent="0.2">
      <c r="A317" s="169">
        <f t="shared" si="333"/>
        <v>7.0000000000000007E-2</v>
      </c>
      <c r="B317" s="992">
        <f t="shared" si="332"/>
        <v>7.0000000000000007E-2</v>
      </c>
      <c r="C317" s="73" t="str">
        <f t="shared" si="330"/>
        <v>Materialaufwand zur Produktion (7%)</v>
      </c>
      <c r="D317" s="134">
        <f t="shared" ref="D317:O317" si="338">D92*POWER((1+$A317),$D$234)</f>
        <v>0</v>
      </c>
      <c r="E317" s="134">
        <f t="shared" si="338"/>
        <v>0</v>
      </c>
      <c r="F317" s="134">
        <f t="shared" si="338"/>
        <v>0</v>
      </c>
      <c r="G317" s="134">
        <f t="shared" si="338"/>
        <v>0</v>
      </c>
      <c r="H317" s="134">
        <f t="shared" si="338"/>
        <v>0</v>
      </c>
      <c r="I317" s="134">
        <f t="shared" si="338"/>
        <v>0</v>
      </c>
      <c r="J317" s="134">
        <f t="shared" si="338"/>
        <v>0</v>
      </c>
      <c r="K317" s="134">
        <f t="shared" si="338"/>
        <v>0</v>
      </c>
      <c r="L317" s="134">
        <f t="shared" si="338"/>
        <v>0</v>
      </c>
      <c r="M317" s="134">
        <f t="shared" si="338"/>
        <v>0</v>
      </c>
      <c r="N317" s="134">
        <f t="shared" si="338"/>
        <v>0</v>
      </c>
      <c r="O317" s="134">
        <f t="shared" si="338"/>
        <v>0</v>
      </c>
      <c r="P317" s="308">
        <f t="shared" si="336"/>
        <v>0</v>
      </c>
      <c r="Q317" s="1575"/>
      <c r="S317" s="139"/>
      <c r="T317" s="139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CF317" s="68"/>
      <c r="CV317" s="68"/>
      <c r="CW317" s="68"/>
      <c r="CX317" s="152"/>
      <c r="CY317" s="152"/>
      <c r="CZ317" s="152"/>
      <c r="DA317" s="34"/>
      <c r="DB317" s="34"/>
      <c r="DC317" s="34"/>
      <c r="DD317" s="34"/>
      <c r="DE317" s="152"/>
      <c r="DF317" s="152"/>
      <c r="DG317" s="152"/>
      <c r="DH317" s="152"/>
      <c r="DI317" s="152"/>
      <c r="DJ317" s="152"/>
      <c r="DK317" s="152"/>
      <c r="DL317" s="152"/>
    </row>
    <row r="318" spans="1:116" x14ac:dyDescent="0.2">
      <c r="A318" s="169">
        <f t="shared" si="333"/>
        <v>0.19</v>
      </c>
      <c r="B318" s="992">
        <f t="shared" si="332"/>
        <v>0.19</v>
      </c>
      <c r="C318" s="73" t="str">
        <f t="shared" si="330"/>
        <v>Produktionsbedarf, geringwertige Wirtschaftsgüter</v>
      </c>
      <c r="D318" s="134">
        <f t="shared" ref="D318:O318" si="339">D93*POWER((1+$A318),$D$234)</f>
        <v>0</v>
      </c>
      <c r="E318" s="134">
        <f t="shared" si="339"/>
        <v>0</v>
      </c>
      <c r="F318" s="134">
        <f t="shared" si="339"/>
        <v>0</v>
      </c>
      <c r="G318" s="134">
        <f t="shared" si="339"/>
        <v>0</v>
      </c>
      <c r="H318" s="134">
        <f t="shared" si="339"/>
        <v>0</v>
      </c>
      <c r="I318" s="134">
        <f t="shared" si="339"/>
        <v>0</v>
      </c>
      <c r="J318" s="134">
        <f t="shared" si="339"/>
        <v>0</v>
      </c>
      <c r="K318" s="134">
        <f t="shared" si="339"/>
        <v>0</v>
      </c>
      <c r="L318" s="134">
        <f t="shared" si="339"/>
        <v>0</v>
      </c>
      <c r="M318" s="134">
        <f t="shared" si="339"/>
        <v>0</v>
      </c>
      <c r="N318" s="134">
        <f t="shared" si="339"/>
        <v>0</v>
      </c>
      <c r="O318" s="134">
        <f t="shared" si="339"/>
        <v>0</v>
      </c>
      <c r="P318" s="308">
        <f t="shared" si="336"/>
        <v>0</v>
      </c>
      <c r="Q318" s="1575"/>
      <c r="S318" s="139"/>
      <c r="T318" s="139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CF318" s="68"/>
      <c r="CV318" s="68"/>
      <c r="CW318" s="68"/>
      <c r="CX318" s="152"/>
      <c r="CY318" s="152"/>
      <c r="CZ318" s="152"/>
      <c r="DA318" s="34"/>
      <c r="DB318" s="34"/>
      <c r="DC318" s="34"/>
      <c r="DD318" s="34"/>
      <c r="DE318" s="152"/>
      <c r="DF318" s="152"/>
      <c r="DG318" s="152"/>
      <c r="DH318" s="152"/>
      <c r="DI318" s="152"/>
      <c r="DJ318" s="152"/>
      <c r="DK318" s="152"/>
      <c r="DL318" s="152"/>
    </row>
    <row r="319" spans="1:116" x14ac:dyDescent="0.2">
      <c r="A319" s="169">
        <f t="shared" si="333"/>
        <v>0.19</v>
      </c>
      <c r="B319" s="992">
        <f t="shared" si="332"/>
        <v>0.19</v>
      </c>
      <c r="C319" s="73" t="str">
        <f t="shared" si="330"/>
        <v>Leasingraten für Produktionsanlagen, -maschinen</v>
      </c>
      <c r="D319" s="134">
        <f t="shared" ref="D319:O319" si="340">D94*POWER((1+$A319),$D$234)</f>
        <v>0</v>
      </c>
      <c r="E319" s="134">
        <f t="shared" si="340"/>
        <v>0</v>
      </c>
      <c r="F319" s="134">
        <f t="shared" si="340"/>
        <v>0</v>
      </c>
      <c r="G319" s="134">
        <f t="shared" si="340"/>
        <v>0</v>
      </c>
      <c r="H319" s="134">
        <f t="shared" si="340"/>
        <v>0</v>
      </c>
      <c r="I319" s="134">
        <f t="shared" si="340"/>
        <v>0</v>
      </c>
      <c r="J319" s="134">
        <f t="shared" si="340"/>
        <v>0</v>
      </c>
      <c r="K319" s="134">
        <f t="shared" si="340"/>
        <v>0</v>
      </c>
      <c r="L319" s="134">
        <f t="shared" si="340"/>
        <v>0</v>
      </c>
      <c r="M319" s="134">
        <f t="shared" si="340"/>
        <v>0</v>
      </c>
      <c r="N319" s="134">
        <f t="shared" si="340"/>
        <v>0</v>
      </c>
      <c r="O319" s="134">
        <f t="shared" si="340"/>
        <v>0</v>
      </c>
      <c r="P319" s="308">
        <f t="shared" si="336"/>
        <v>0</v>
      </c>
      <c r="Q319" s="1575"/>
      <c r="S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CF319" s="68"/>
      <c r="CV319" s="68"/>
      <c r="CW319" s="68"/>
      <c r="CX319" s="152"/>
      <c r="CY319" s="152"/>
      <c r="CZ319" s="152"/>
      <c r="DA319" s="34"/>
      <c r="DB319" s="34"/>
      <c r="DC319" s="34"/>
      <c r="DD319" s="34"/>
      <c r="DE319" s="152"/>
      <c r="DF319" s="152"/>
      <c r="DG319" s="152"/>
      <c r="DH319" s="152"/>
      <c r="DI319" s="152"/>
      <c r="DJ319" s="152"/>
      <c r="DK319" s="152"/>
      <c r="DL319" s="152"/>
    </row>
    <row r="320" spans="1:116" x14ac:dyDescent="0.2">
      <c r="A320" s="169">
        <f t="shared" si="333"/>
        <v>0.19</v>
      </c>
      <c r="B320" s="992">
        <f t="shared" si="332"/>
        <v>0.19</v>
      </c>
      <c r="C320" s="73" t="str">
        <f t="shared" si="330"/>
        <v>Instandhaltung und Reparaturen</v>
      </c>
      <c r="D320" s="134">
        <f t="shared" ref="D320:O320" si="341">D95*POWER((1+$A320),$D$234)</f>
        <v>0</v>
      </c>
      <c r="E320" s="134">
        <f t="shared" si="341"/>
        <v>0</v>
      </c>
      <c r="F320" s="134">
        <f t="shared" si="341"/>
        <v>0</v>
      </c>
      <c r="G320" s="134">
        <f t="shared" si="341"/>
        <v>0</v>
      </c>
      <c r="H320" s="134">
        <f t="shared" si="341"/>
        <v>0</v>
      </c>
      <c r="I320" s="134">
        <f t="shared" si="341"/>
        <v>0</v>
      </c>
      <c r="J320" s="134">
        <f t="shared" si="341"/>
        <v>0</v>
      </c>
      <c r="K320" s="134">
        <f t="shared" si="341"/>
        <v>0</v>
      </c>
      <c r="L320" s="134">
        <f t="shared" si="341"/>
        <v>0</v>
      </c>
      <c r="M320" s="134">
        <f t="shared" si="341"/>
        <v>0</v>
      </c>
      <c r="N320" s="134">
        <f t="shared" si="341"/>
        <v>0</v>
      </c>
      <c r="O320" s="134">
        <f t="shared" si="341"/>
        <v>0</v>
      </c>
      <c r="P320" s="308">
        <f t="shared" si="336"/>
        <v>0</v>
      </c>
      <c r="Q320" s="1575"/>
      <c r="S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CF320" s="68"/>
      <c r="CV320" s="68"/>
      <c r="CW320" s="68"/>
      <c r="CX320" s="152"/>
      <c r="CY320" s="152"/>
      <c r="CZ320" s="152"/>
      <c r="DA320" s="34"/>
      <c r="DB320" s="34"/>
      <c r="DC320" s="34"/>
      <c r="DD320" s="34"/>
      <c r="DE320" s="152"/>
      <c r="DF320" s="152"/>
      <c r="DG320" s="152"/>
      <c r="DH320" s="152"/>
      <c r="DI320" s="152"/>
      <c r="DJ320" s="152"/>
      <c r="DK320" s="152"/>
      <c r="DL320" s="152"/>
    </row>
    <row r="321" spans="1:116" x14ac:dyDescent="0.2">
      <c r="A321" s="169">
        <f t="shared" si="333"/>
        <v>0.19</v>
      </c>
      <c r="B321" s="992">
        <f t="shared" si="332"/>
        <v>0.19</v>
      </c>
      <c r="C321" s="73" t="str">
        <f>C22</f>
        <v>Sonstiges</v>
      </c>
      <c r="D321" s="880">
        <f t="shared" ref="D321:O321" si="342">D96*POWER((1+$A321),$D$234)</f>
        <v>0</v>
      </c>
      <c r="E321" s="880">
        <f t="shared" si="342"/>
        <v>0</v>
      </c>
      <c r="F321" s="880">
        <f t="shared" si="342"/>
        <v>0</v>
      </c>
      <c r="G321" s="880">
        <f t="shared" si="342"/>
        <v>0</v>
      </c>
      <c r="H321" s="880">
        <f t="shared" si="342"/>
        <v>0</v>
      </c>
      <c r="I321" s="880">
        <f t="shared" si="342"/>
        <v>0</v>
      </c>
      <c r="J321" s="880">
        <f t="shared" si="342"/>
        <v>0</v>
      </c>
      <c r="K321" s="880">
        <f t="shared" si="342"/>
        <v>0</v>
      </c>
      <c r="L321" s="880">
        <f t="shared" si="342"/>
        <v>0</v>
      </c>
      <c r="M321" s="880">
        <f t="shared" si="342"/>
        <v>0</v>
      </c>
      <c r="N321" s="880">
        <f t="shared" si="342"/>
        <v>0</v>
      </c>
      <c r="O321" s="880">
        <f t="shared" si="342"/>
        <v>0</v>
      </c>
      <c r="P321" s="1001">
        <f t="shared" si="336"/>
        <v>0</v>
      </c>
      <c r="Q321" s="1575"/>
      <c r="S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CF321" s="68"/>
      <c r="CV321" s="68"/>
      <c r="CW321" s="68"/>
      <c r="CX321" s="152"/>
      <c r="CY321" s="152"/>
      <c r="CZ321" s="152"/>
      <c r="DA321" s="34"/>
      <c r="DB321" s="34"/>
      <c r="DC321" s="34"/>
      <c r="DD321" s="34"/>
      <c r="DE321" s="152"/>
      <c r="DF321" s="152"/>
      <c r="DG321" s="152"/>
      <c r="DH321" s="152"/>
      <c r="DI321" s="152"/>
      <c r="DJ321" s="152"/>
      <c r="DK321" s="152"/>
      <c r="DL321" s="152"/>
    </row>
    <row r="322" spans="1:116" x14ac:dyDescent="0.2">
      <c r="A322" s="169"/>
      <c r="B322" s="993"/>
      <c r="C322" s="96" t="str">
        <f>C253</f>
        <v>Summe Produktionskosten</v>
      </c>
      <c r="D322" s="133">
        <f t="shared" ref="D322:O322" si="343">SUM(D314:D321)</f>
        <v>0</v>
      </c>
      <c r="E322" s="133">
        <f t="shared" si="343"/>
        <v>0</v>
      </c>
      <c r="F322" s="133">
        <f t="shared" si="343"/>
        <v>0</v>
      </c>
      <c r="G322" s="133">
        <f t="shared" si="343"/>
        <v>0</v>
      </c>
      <c r="H322" s="133">
        <f t="shared" si="343"/>
        <v>0</v>
      </c>
      <c r="I322" s="133">
        <f t="shared" si="343"/>
        <v>0</v>
      </c>
      <c r="J322" s="133">
        <f t="shared" si="343"/>
        <v>0</v>
      </c>
      <c r="K322" s="133">
        <f t="shared" si="343"/>
        <v>0</v>
      </c>
      <c r="L322" s="133">
        <f t="shared" si="343"/>
        <v>0</v>
      </c>
      <c r="M322" s="133">
        <f t="shared" si="343"/>
        <v>0</v>
      </c>
      <c r="N322" s="133">
        <f t="shared" si="343"/>
        <v>0</v>
      </c>
      <c r="O322" s="133">
        <f t="shared" si="343"/>
        <v>0</v>
      </c>
      <c r="P322" s="998">
        <f t="shared" si="336"/>
        <v>0</v>
      </c>
      <c r="Q322" s="1575"/>
      <c r="S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CF322" s="68"/>
      <c r="CV322" s="68"/>
      <c r="CW322" s="68"/>
      <c r="CX322" s="152"/>
      <c r="CY322" s="152"/>
      <c r="CZ322" s="152"/>
      <c r="DA322" s="34"/>
      <c r="DB322" s="34"/>
      <c r="DC322" s="34"/>
      <c r="DD322" s="34"/>
      <c r="DE322" s="152"/>
      <c r="DF322" s="152"/>
      <c r="DG322" s="152"/>
      <c r="DH322" s="152"/>
      <c r="DI322" s="152"/>
      <c r="DJ322" s="152"/>
      <c r="DK322" s="152"/>
      <c r="DL322" s="152"/>
    </row>
    <row r="323" spans="1:116" x14ac:dyDescent="0.2">
      <c r="A323" s="169"/>
      <c r="B323" s="991">
        <f>B254</f>
        <v>3</v>
      </c>
      <c r="C323" s="86" t="str">
        <f>C254</f>
        <v>Personalkosten (nur Angestellte)</v>
      </c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8"/>
      <c r="Q323" s="1575"/>
      <c r="S323" s="173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CF323" s="68"/>
      <c r="CV323" s="68"/>
      <c r="CW323" s="68"/>
      <c r="CX323" s="152"/>
      <c r="CY323" s="152"/>
      <c r="CZ323" s="152"/>
      <c r="DA323" s="34"/>
      <c r="DB323" s="34"/>
      <c r="DC323" s="34"/>
      <c r="DD323" s="34"/>
      <c r="DE323" s="152"/>
      <c r="DF323" s="152"/>
      <c r="DG323" s="152"/>
      <c r="DH323" s="152"/>
      <c r="DI323" s="152"/>
      <c r="DJ323" s="152"/>
      <c r="DK323" s="152"/>
      <c r="DL323" s="152"/>
    </row>
    <row r="324" spans="1:116" x14ac:dyDescent="0.2">
      <c r="A324" s="169">
        <f>IF(B25="",B324,B25)</f>
        <v>0</v>
      </c>
      <c r="B324" s="992">
        <f>B255</f>
        <v>0</v>
      </c>
      <c r="C324" s="73" t="str">
        <f>C255</f>
        <v>Löhne, Gehälter mit Nebenkosten (s. Nebenrechnung)</v>
      </c>
      <c r="D324" s="134">
        <f t="shared" ref="D324:O324" si="344">D99*POWER((1+$A324),$D$234)</f>
        <v>0</v>
      </c>
      <c r="E324" s="134">
        <f t="shared" si="344"/>
        <v>0</v>
      </c>
      <c r="F324" s="134">
        <f t="shared" si="344"/>
        <v>0</v>
      </c>
      <c r="G324" s="134">
        <f t="shared" si="344"/>
        <v>0</v>
      </c>
      <c r="H324" s="134">
        <f t="shared" si="344"/>
        <v>0</v>
      </c>
      <c r="I324" s="134">
        <f t="shared" si="344"/>
        <v>0</v>
      </c>
      <c r="J324" s="134">
        <f t="shared" si="344"/>
        <v>0</v>
      </c>
      <c r="K324" s="134">
        <f t="shared" si="344"/>
        <v>0</v>
      </c>
      <c r="L324" s="134">
        <f t="shared" si="344"/>
        <v>0</v>
      </c>
      <c r="M324" s="134">
        <f t="shared" si="344"/>
        <v>0</v>
      </c>
      <c r="N324" s="134">
        <f t="shared" si="344"/>
        <v>0</v>
      </c>
      <c r="O324" s="134">
        <f t="shared" si="344"/>
        <v>0</v>
      </c>
      <c r="P324" s="308">
        <f t="shared" si="336"/>
        <v>0</v>
      </c>
      <c r="Q324" s="1575"/>
      <c r="S324" s="57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CF324" s="68"/>
      <c r="CV324" s="68"/>
      <c r="CW324" s="68"/>
      <c r="CX324" s="152"/>
      <c r="CY324" s="152"/>
      <c r="CZ324" s="152"/>
      <c r="DA324" s="34"/>
      <c r="DB324" s="34"/>
      <c r="DC324" s="34"/>
      <c r="DD324" s="34"/>
      <c r="DE324" s="152"/>
      <c r="DF324" s="152"/>
      <c r="DG324" s="152"/>
      <c r="DH324" s="152"/>
      <c r="DI324" s="152"/>
      <c r="DJ324" s="152"/>
      <c r="DK324" s="152"/>
      <c r="DL324" s="152"/>
    </row>
    <row r="325" spans="1:116" x14ac:dyDescent="0.2">
      <c r="A325" s="169">
        <f>IF(B26="",B325,B26)</f>
        <v>0</v>
      </c>
      <c r="B325" s="992">
        <f>B256</f>
        <v>0</v>
      </c>
      <c r="C325" s="73" t="str">
        <f>C26</f>
        <v>Sonstiges</v>
      </c>
      <c r="D325" s="880">
        <f t="shared" ref="D325:O325" si="345">D100*POWER((1+$A325),$D$234)</f>
        <v>0</v>
      </c>
      <c r="E325" s="880">
        <f t="shared" si="345"/>
        <v>0</v>
      </c>
      <c r="F325" s="880">
        <f t="shared" si="345"/>
        <v>0</v>
      </c>
      <c r="G325" s="880">
        <f t="shared" si="345"/>
        <v>0</v>
      </c>
      <c r="H325" s="880">
        <f t="shared" si="345"/>
        <v>0</v>
      </c>
      <c r="I325" s="880">
        <f t="shared" si="345"/>
        <v>0</v>
      </c>
      <c r="J325" s="880">
        <f t="shared" si="345"/>
        <v>0</v>
      </c>
      <c r="K325" s="880">
        <f t="shared" si="345"/>
        <v>0</v>
      </c>
      <c r="L325" s="880">
        <f t="shared" si="345"/>
        <v>0</v>
      </c>
      <c r="M325" s="880">
        <f t="shared" si="345"/>
        <v>0</v>
      </c>
      <c r="N325" s="880">
        <f t="shared" si="345"/>
        <v>0</v>
      </c>
      <c r="O325" s="880">
        <f t="shared" si="345"/>
        <v>0</v>
      </c>
      <c r="P325" s="1001">
        <f t="shared" si="336"/>
        <v>0</v>
      </c>
      <c r="Q325" s="1575"/>
      <c r="S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CF325" s="68"/>
      <c r="CV325" s="68"/>
      <c r="CW325" s="68"/>
      <c r="CX325" s="152"/>
      <c r="CY325" s="152"/>
      <c r="CZ325" s="152"/>
      <c r="DA325" s="34"/>
      <c r="DB325" s="34"/>
      <c r="DC325" s="34"/>
      <c r="DD325" s="34"/>
      <c r="DE325" s="152"/>
      <c r="DF325" s="152"/>
      <c r="DG325" s="152"/>
      <c r="DH325" s="152"/>
      <c r="DI325" s="152"/>
      <c r="DJ325" s="152"/>
      <c r="DK325" s="152"/>
      <c r="DL325" s="152"/>
    </row>
    <row r="326" spans="1:116" x14ac:dyDescent="0.2">
      <c r="A326" s="169"/>
      <c r="B326" s="993"/>
      <c r="C326" s="96" t="str">
        <f>C257</f>
        <v>Summe Personalkosten</v>
      </c>
      <c r="D326" s="133">
        <f t="shared" ref="D326:O326" si="346">SUM(D324:D325)</f>
        <v>0</v>
      </c>
      <c r="E326" s="133">
        <f t="shared" si="346"/>
        <v>0</v>
      </c>
      <c r="F326" s="133">
        <f t="shared" si="346"/>
        <v>0</v>
      </c>
      <c r="G326" s="133">
        <f t="shared" si="346"/>
        <v>0</v>
      </c>
      <c r="H326" s="133">
        <f t="shared" si="346"/>
        <v>0</v>
      </c>
      <c r="I326" s="133">
        <f t="shared" si="346"/>
        <v>0</v>
      </c>
      <c r="J326" s="133">
        <f t="shared" si="346"/>
        <v>0</v>
      </c>
      <c r="K326" s="133">
        <f t="shared" si="346"/>
        <v>0</v>
      </c>
      <c r="L326" s="133">
        <f t="shared" si="346"/>
        <v>0</v>
      </c>
      <c r="M326" s="133">
        <f t="shared" si="346"/>
        <v>0</v>
      </c>
      <c r="N326" s="133">
        <f t="shared" si="346"/>
        <v>0</v>
      </c>
      <c r="O326" s="133">
        <f t="shared" si="346"/>
        <v>0</v>
      </c>
      <c r="P326" s="998">
        <f t="shared" si="336"/>
        <v>0</v>
      </c>
      <c r="Q326" s="1575"/>
      <c r="S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CF326" s="68"/>
      <c r="CV326" s="68"/>
      <c r="CW326" s="68"/>
      <c r="CX326" s="152"/>
      <c r="CY326" s="152"/>
      <c r="CZ326" s="152"/>
      <c r="DA326" s="34"/>
      <c r="DB326" s="34"/>
      <c r="DC326" s="34"/>
      <c r="DD326" s="34"/>
      <c r="DE326" s="152"/>
      <c r="DF326" s="152"/>
      <c r="DG326" s="152"/>
      <c r="DH326" s="152"/>
      <c r="DI326" s="152"/>
      <c r="DJ326" s="152"/>
      <c r="DK326" s="152"/>
      <c r="DL326" s="152"/>
    </row>
    <row r="327" spans="1:116" x14ac:dyDescent="0.2">
      <c r="A327" s="169"/>
      <c r="B327" s="991">
        <f>B258</f>
        <v>4</v>
      </c>
      <c r="C327" s="86" t="str">
        <f>C258</f>
        <v>Reisekosten</v>
      </c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8"/>
      <c r="Q327" s="1575"/>
      <c r="S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CF327" s="68"/>
      <c r="CV327" s="68"/>
      <c r="CW327" s="68"/>
      <c r="CX327" s="152"/>
      <c r="CY327" s="152"/>
      <c r="CZ327" s="152"/>
      <c r="DA327" s="34"/>
      <c r="DB327" s="34"/>
      <c r="DC327" s="34"/>
      <c r="DD327" s="34"/>
      <c r="DE327" s="152"/>
      <c r="DF327" s="152"/>
      <c r="DG327" s="152"/>
      <c r="DH327" s="152"/>
      <c r="DI327" s="152"/>
      <c r="DJ327" s="152"/>
      <c r="DK327" s="152"/>
      <c r="DL327" s="152"/>
    </row>
    <row r="328" spans="1:116" x14ac:dyDescent="0.2">
      <c r="A328" s="169">
        <f>IF(B29="",B328,B29)</f>
        <v>0.19</v>
      </c>
      <c r="B328" s="992">
        <f>B259</f>
        <v>0.19</v>
      </c>
      <c r="C328" s="73" t="str">
        <f>C259</f>
        <v>Fahrtkosten</v>
      </c>
      <c r="D328" s="134" t="e">
        <f>#REF!*POWER((1+$A328),$D$234)</f>
        <v>#REF!</v>
      </c>
      <c r="E328" s="134">
        <f t="shared" ref="E328:O328" si="347">E103*POWER((1+$A328),$D$234)</f>
        <v>0</v>
      </c>
      <c r="F328" s="134">
        <f t="shared" si="347"/>
        <v>0</v>
      </c>
      <c r="G328" s="134">
        <f t="shared" si="347"/>
        <v>0</v>
      </c>
      <c r="H328" s="134">
        <f t="shared" si="347"/>
        <v>0</v>
      </c>
      <c r="I328" s="134">
        <f t="shared" si="347"/>
        <v>0</v>
      </c>
      <c r="J328" s="134">
        <f t="shared" si="347"/>
        <v>0</v>
      </c>
      <c r="K328" s="134">
        <f t="shared" si="347"/>
        <v>0</v>
      </c>
      <c r="L328" s="134">
        <f t="shared" si="347"/>
        <v>0</v>
      </c>
      <c r="M328" s="134">
        <f t="shared" si="347"/>
        <v>0</v>
      </c>
      <c r="N328" s="134">
        <f t="shared" si="347"/>
        <v>0</v>
      </c>
      <c r="O328" s="134">
        <f t="shared" si="347"/>
        <v>0</v>
      </c>
      <c r="P328" s="308" t="e">
        <f t="shared" si="336"/>
        <v>#REF!</v>
      </c>
      <c r="Q328" s="1575"/>
      <c r="S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CV328" s="68"/>
      <c r="CW328" s="68"/>
      <c r="CX328" s="152"/>
      <c r="CY328" s="152"/>
      <c r="CZ328" s="152"/>
      <c r="DA328" s="34"/>
      <c r="DB328" s="34"/>
      <c r="DC328" s="34"/>
      <c r="DD328" s="34"/>
      <c r="DE328" s="152"/>
      <c r="DF328" s="152"/>
      <c r="DG328" s="152"/>
      <c r="DH328" s="152"/>
      <c r="DI328" s="152"/>
      <c r="DJ328" s="152"/>
      <c r="DK328" s="152"/>
      <c r="DL328" s="152"/>
    </row>
    <row r="329" spans="1:116" x14ac:dyDescent="0.2">
      <c r="A329" s="169">
        <f>IF(B30="",B329,B30)</f>
        <v>0.19</v>
      </c>
      <c r="B329" s="992">
        <f>B260</f>
        <v>0.19</v>
      </c>
      <c r="C329" s="73" t="str">
        <f>C260</f>
        <v>Reisekostenpauschalen</v>
      </c>
      <c r="D329" s="134">
        <f>D103*POWER((1+$A329),$D$234)</f>
        <v>0</v>
      </c>
      <c r="E329" s="134">
        <f t="shared" ref="E329:O329" si="348">E104*POWER((1+$A329),$D$234)</f>
        <v>0</v>
      </c>
      <c r="F329" s="134">
        <f t="shared" si="348"/>
        <v>0</v>
      </c>
      <c r="G329" s="134">
        <f t="shared" si="348"/>
        <v>0</v>
      </c>
      <c r="H329" s="134">
        <f t="shared" si="348"/>
        <v>0</v>
      </c>
      <c r="I329" s="134">
        <f t="shared" si="348"/>
        <v>0</v>
      </c>
      <c r="J329" s="134">
        <f t="shared" si="348"/>
        <v>0</v>
      </c>
      <c r="K329" s="134">
        <f t="shared" si="348"/>
        <v>0</v>
      </c>
      <c r="L329" s="134">
        <f t="shared" si="348"/>
        <v>0</v>
      </c>
      <c r="M329" s="134">
        <f t="shared" si="348"/>
        <v>0</v>
      </c>
      <c r="N329" s="134">
        <f t="shared" si="348"/>
        <v>0</v>
      </c>
      <c r="O329" s="134">
        <f t="shared" si="348"/>
        <v>0</v>
      </c>
      <c r="P329" s="308">
        <f t="shared" si="336"/>
        <v>0</v>
      </c>
      <c r="Q329" s="1575"/>
      <c r="S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CV329" s="68"/>
      <c r="CW329" s="68"/>
      <c r="CX329" s="152"/>
      <c r="CY329" s="152"/>
      <c r="CZ329" s="152"/>
      <c r="DA329" s="34"/>
      <c r="DB329" s="34"/>
      <c r="DC329" s="34"/>
      <c r="DD329" s="34"/>
      <c r="DE329" s="152"/>
      <c r="DF329" s="152"/>
      <c r="DG329" s="152"/>
      <c r="DH329" s="152"/>
      <c r="DI329" s="152"/>
      <c r="DJ329" s="152"/>
      <c r="DK329" s="152"/>
      <c r="DL329" s="152"/>
    </row>
    <row r="330" spans="1:116" x14ac:dyDescent="0.2">
      <c r="A330" s="169">
        <f>IF(B31="",B330,B31)</f>
        <v>7.0000000000000007E-2</v>
      </c>
      <c r="B330" s="992">
        <f>B261</f>
        <v>7.0000000000000007E-2</v>
      </c>
      <c r="C330" s="73" t="str">
        <f>C261</f>
        <v>Übernachtungen</v>
      </c>
      <c r="D330" s="134">
        <f t="shared" ref="D330:O330" si="349">D105*POWER((1+$A330),$D$234)</f>
        <v>0</v>
      </c>
      <c r="E330" s="134">
        <f t="shared" si="349"/>
        <v>0</v>
      </c>
      <c r="F330" s="134">
        <f t="shared" si="349"/>
        <v>0</v>
      </c>
      <c r="G330" s="134">
        <f t="shared" si="349"/>
        <v>0</v>
      </c>
      <c r="H330" s="134">
        <f t="shared" si="349"/>
        <v>0</v>
      </c>
      <c r="I330" s="134">
        <f t="shared" si="349"/>
        <v>0</v>
      </c>
      <c r="J330" s="134">
        <f t="shared" si="349"/>
        <v>0</v>
      </c>
      <c r="K330" s="134">
        <f t="shared" si="349"/>
        <v>0</v>
      </c>
      <c r="L330" s="134">
        <f t="shared" si="349"/>
        <v>0</v>
      </c>
      <c r="M330" s="134">
        <f t="shared" si="349"/>
        <v>0</v>
      </c>
      <c r="N330" s="134">
        <f t="shared" si="349"/>
        <v>0</v>
      </c>
      <c r="O330" s="134">
        <f t="shared" si="349"/>
        <v>0</v>
      </c>
      <c r="P330" s="308">
        <f t="shared" si="336"/>
        <v>0</v>
      </c>
      <c r="Q330" s="1575"/>
      <c r="S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CV330" s="68"/>
      <c r="CW330" s="68"/>
      <c r="CX330" s="152"/>
      <c r="CY330" s="152"/>
      <c r="CZ330" s="152"/>
      <c r="DA330" s="34"/>
      <c r="DB330" s="34"/>
      <c r="DC330" s="34"/>
      <c r="DD330" s="34"/>
      <c r="DE330" s="152"/>
      <c r="DF330" s="152"/>
      <c r="DG330" s="152"/>
      <c r="DH330" s="152"/>
      <c r="DI330" s="152"/>
      <c r="DJ330" s="152"/>
      <c r="DK330" s="152"/>
      <c r="DL330" s="152"/>
    </row>
    <row r="331" spans="1:116" x14ac:dyDescent="0.2">
      <c r="A331" s="169">
        <f>IF(B32="",B331,B32)</f>
        <v>0.19</v>
      </c>
      <c r="B331" s="992">
        <f>B262</f>
        <v>0.19</v>
      </c>
      <c r="C331" s="73" t="str">
        <f>C32</f>
        <v>Sonstiges</v>
      </c>
      <c r="D331" s="880">
        <f t="shared" ref="D331:O331" si="350">D106*POWER((1+$A331),$D$234)</f>
        <v>0</v>
      </c>
      <c r="E331" s="880">
        <f t="shared" si="350"/>
        <v>0</v>
      </c>
      <c r="F331" s="880">
        <f t="shared" si="350"/>
        <v>0</v>
      </c>
      <c r="G331" s="880">
        <f t="shared" si="350"/>
        <v>0</v>
      </c>
      <c r="H331" s="880">
        <f t="shared" si="350"/>
        <v>0</v>
      </c>
      <c r="I331" s="880">
        <f t="shared" si="350"/>
        <v>0</v>
      </c>
      <c r="J331" s="880">
        <f t="shared" si="350"/>
        <v>0</v>
      </c>
      <c r="K331" s="880">
        <f t="shared" si="350"/>
        <v>0</v>
      </c>
      <c r="L331" s="880">
        <f t="shared" si="350"/>
        <v>0</v>
      </c>
      <c r="M331" s="880">
        <f t="shared" si="350"/>
        <v>0</v>
      </c>
      <c r="N331" s="880">
        <f t="shared" si="350"/>
        <v>0</v>
      </c>
      <c r="O331" s="880">
        <f t="shared" si="350"/>
        <v>0</v>
      </c>
      <c r="P331" s="1001">
        <f t="shared" si="336"/>
        <v>0</v>
      </c>
      <c r="Q331" s="1575"/>
      <c r="S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CV331" s="68"/>
      <c r="CW331" s="68"/>
      <c r="CX331" s="152"/>
      <c r="CY331" s="152"/>
      <c r="CZ331" s="152"/>
      <c r="DA331" s="34"/>
      <c r="DB331" s="34"/>
      <c r="DC331" s="34"/>
      <c r="DD331" s="34"/>
      <c r="DE331" s="152"/>
      <c r="DF331" s="152"/>
      <c r="DG331" s="152"/>
      <c r="DH331" s="152"/>
      <c r="DI331" s="152"/>
      <c r="DJ331" s="152"/>
      <c r="DK331" s="152"/>
      <c r="DL331" s="152"/>
    </row>
    <row r="332" spans="1:116" x14ac:dyDescent="0.2">
      <c r="A332" s="169"/>
      <c r="B332" s="993"/>
      <c r="C332" s="96" t="str">
        <f>C263</f>
        <v>Summe Reisekosten</v>
      </c>
      <c r="D332" s="133" t="e">
        <f t="shared" ref="D332:O332" si="351">SUM(D328:D331)</f>
        <v>#REF!</v>
      </c>
      <c r="E332" s="133">
        <f t="shared" si="351"/>
        <v>0</v>
      </c>
      <c r="F332" s="133">
        <f t="shared" si="351"/>
        <v>0</v>
      </c>
      <c r="G332" s="133">
        <f t="shared" si="351"/>
        <v>0</v>
      </c>
      <c r="H332" s="133">
        <f t="shared" si="351"/>
        <v>0</v>
      </c>
      <c r="I332" s="133">
        <f t="shared" si="351"/>
        <v>0</v>
      </c>
      <c r="J332" s="133">
        <f t="shared" si="351"/>
        <v>0</v>
      </c>
      <c r="K332" s="133">
        <f t="shared" si="351"/>
        <v>0</v>
      </c>
      <c r="L332" s="133">
        <f t="shared" si="351"/>
        <v>0</v>
      </c>
      <c r="M332" s="133">
        <f t="shared" si="351"/>
        <v>0</v>
      </c>
      <c r="N332" s="133">
        <f t="shared" si="351"/>
        <v>0</v>
      </c>
      <c r="O332" s="133">
        <f t="shared" si="351"/>
        <v>0</v>
      </c>
      <c r="P332" s="998" t="e">
        <f t="shared" si="336"/>
        <v>#REF!</v>
      </c>
      <c r="Q332" s="1575"/>
      <c r="S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CV332" s="68"/>
      <c r="CW332" s="68"/>
      <c r="CX332" s="152"/>
      <c r="CY332" s="152"/>
      <c r="CZ332" s="152"/>
      <c r="DA332" s="34"/>
      <c r="DB332" s="34"/>
      <c r="DC332" s="34"/>
      <c r="DD332" s="34"/>
      <c r="DE332" s="152"/>
      <c r="DF332" s="152"/>
      <c r="DG332" s="152"/>
      <c r="DH332" s="152"/>
      <c r="DI332" s="152"/>
      <c r="DJ332" s="152"/>
      <c r="DK332" s="152"/>
      <c r="DL332" s="152"/>
    </row>
    <row r="333" spans="1:116" x14ac:dyDescent="0.2">
      <c r="A333" s="169"/>
      <c r="B333" s="991">
        <f>B264</f>
        <v>5</v>
      </c>
      <c r="C333" s="86" t="str">
        <f>C264</f>
        <v>Versicherungen und Beiträge (betrieblich!)</v>
      </c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8"/>
      <c r="Q333" s="1575"/>
      <c r="S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CV333" s="68"/>
      <c r="CW333" s="68"/>
      <c r="CX333" s="152"/>
      <c r="CY333" s="152"/>
      <c r="CZ333" s="152"/>
      <c r="DA333" s="34"/>
      <c r="DB333" s="34"/>
      <c r="DC333" s="34"/>
      <c r="DD333" s="34"/>
      <c r="DE333" s="152"/>
      <c r="DF333" s="152"/>
      <c r="DG333" s="152"/>
      <c r="DH333" s="152"/>
      <c r="DI333" s="152"/>
      <c r="DJ333" s="152"/>
      <c r="DK333" s="152"/>
      <c r="DL333" s="152"/>
    </row>
    <row r="334" spans="1:116" x14ac:dyDescent="0.2">
      <c r="A334" s="169">
        <f>IF(B35="",B334,B35)</f>
        <v>0.19</v>
      </c>
      <c r="B334" s="992">
        <f>B265</f>
        <v>0.19</v>
      </c>
      <c r="C334" s="73" t="str">
        <f>C265</f>
        <v>Haftpflicht</v>
      </c>
      <c r="D334" s="134">
        <f t="shared" ref="D334:O334" si="352">D109*POWER((1+$A334),$D$234)</f>
        <v>0</v>
      </c>
      <c r="E334" s="134">
        <f t="shared" si="352"/>
        <v>0</v>
      </c>
      <c r="F334" s="134">
        <f t="shared" si="352"/>
        <v>0</v>
      </c>
      <c r="G334" s="134">
        <f t="shared" si="352"/>
        <v>0</v>
      </c>
      <c r="H334" s="134">
        <f t="shared" si="352"/>
        <v>0</v>
      </c>
      <c r="I334" s="134">
        <f t="shared" si="352"/>
        <v>0</v>
      </c>
      <c r="J334" s="134">
        <f t="shared" si="352"/>
        <v>0</v>
      </c>
      <c r="K334" s="134">
        <f t="shared" si="352"/>
        <v>0</v>
      </c>
      <c r="L334" s="134">
        <f t="shared" si="352"/>
        <v>0</v>
      </c>
      <c r="M334" s="134">
        <f t="shared" si="352"/>
        <v>0</v>
      </c>
      <c r="N334" s="134">
        <f t="shared" si="352"/>
        <v>0</v>
      </c>
      <c r="O334" s="134">
        <f t="shared" si="352"/>
        <v>0</v>
      </c>
      <c r="P334" s="308">
        <f t="shared" si="336"/>
        <v>0</v>
      </c>
      <c r="Q334" s="1575"/>
      <c r="S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CV334" s="68"/>
      <c r="CW334" s="68"/>
      <c r="CX334" s="152"/>
      <c r="CY334" s="152"/>
      <c r="CZ334" s="152"/>
      <c r="DA334" s="34"/>
      <c r="DB334" s="34"/>
      <c r="DC334" s="34"/>
      <c r="DD334" s="34"/>
      <c r="DE334" s="152"/>
      <c r="DF334" s="152"/>
      <c r="DG334" s="152"/>
      <c r="DH334" s="152"/>
      <c r="DI334" s="152"/>
      <c r="DJ334" s="152"/>
      <c r="DK334" s="152"/>
      <c r="DL334" s="152"/>
    </row>
    <row r="335" spans="1:116" x14ac:dyDescent="0.2">
      <c r="A335" s="169">
        <f>IF(B36="",B335,B36)</f>
        <v>0.19</v>
      </c>
      <c r="B335" s="992">
        <f>B266</f>
        <v>0.19</v>
      </c>
      <c r="C335" s="73" t="str">
        <f>C266</f>
        <v>Rechtschutzversicherung</v>
      </c>
      <c r="D335" s="134">
        <f t="shared" ref="D335:O335" si="353">D110*POWER((1+$A335),$D$234)</f>
        <v>0</v>
      </c>
      <c r="E335" s="134">
        <f t="shared" si="353"/>
        <v>0</v>
      </c>
      <c r="F335" s="134">
        <f t="shared" si="353"/>
        <v>0</v>
      </c>
      <c r="G335" s="134">
        <f t="shared" si="353"/>
        <v>0</v>
      </c>
      <c r="H335" s="134">
        <f t="shared" si="353"/>
        <v>0</v>
      </c>
      <c r="I335" s="134">
        <f t="shared" si="353"/>
        <v>0</v>
      </c>
      <c r="J335" s="134">
        <f t="shared" si="353"/>
        <v>0</v>
      </c>
      <c r="K335" s="134">
        <f t="shared" si="353"/>
        <v>0</v>
      </c>
      <c r="L335" s="134">
        <f t="shared" si="353"/>
        <v>0</v>
      </c>
      <c r="M335" s="134">
        <f t="shared" si="353"/>
        <v>0</v>
      </c>
      <c r="N335" s="134">
        <f t="shared" si="353"/>
        <v>0</v>
      </c>
      <c r="O335" s="134">
        <f t="shared" si="353"/>
        <v>0</v>
      </c>
      <c r="P335" s="308">
        <f t="shared" si="336"/>
        <v>0</v>
      </c>
      <c r="Q335" s="1575"/>
      <c r="S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CV335" s="68"/>
      <c r="CW335" s="68"/>
      <c r="CX335" s="152"/>
      <c r="CY335" s="152"/>
      <c r="CZ335" s="152"/>
      <c r="DA335" s="34"/>
      <c r="DB335" s="34"/>
      <c r="DC335" s="34"/>
      <c r="DD335" s="34"/>
      <c r="DE335" s="152"/>
      <c r="DF335" s="152"/>
      <c r="DG335" s="152"/>
      <c r="DH335" s="152"/>
      <c r="DI335" s="152"/>
      <c r="DJ335" s="152"/>
      <c r="DK335" s="152"/>
      <c r="DL335" s="152"/>
    </row>
    <row r="336" spans="1:116" x14ac:dyDescent="0.2">
      <c r="A336" s="169">
        <f>IF(B37="",B336,B37)</f>
        <v>0.19</v>
      </c>
      <c r="B336" s="992">
        <f>B267</f>
        <v>0.19</v>
      </c>
      <c r="C336" s="73" t="str">
        <f>C267</f>
        <v>Beiträge (IHK, Berufsverbände, ...)</v>
      </c>
      <c r="D336" s="134">
        <f t="shared" ref="D336:O336" si="354">D111*POWER((1+$A336),$D$234)</f>
        <v>0</v>
      </c>
      <c r="E336" s="134">
        <f t="shared" si="354"/>
        <v>0</v>
      </c>
      <c r="F336" s="134">
        <f t="shared" si="354"/>
        <v>0</v>
      </c>
      <c r="G336" s="134">
        <f t="shared" si="354"/>
        <v>0</v>
      </c>
      <c r="H336" s="134">
        <f t="shared" si="354"/>
        <v>0</v>
      </c>
      <c r="I336" s="134">
        <f t="shared" si="354"/>
        <v>0</v>
      </c>
      <c r="J336" s="134">
        <f t="shared" si="354"/>
        <v>0</v>
      </c>
      <c r="K336" s="134">
        <f t="shared" si="354"/>
        <v>0</v>
      </c>
      <c r="L336" s="134">
        <f>L111*POWER((1+$A336),$D$234)</f>
        <v>0</v>
      </c>
      <c r="M336" s="134">
        <f t="shared" si="354"/>
        <v>0</v>
      </c>
      <c r="N336" s="134">
        <f t="shared" si="354"/>
        <v>0</v>
      </c>
      <c r="O336" s="134">
        <f t="shared" si="354"/>
        <v>0</v>
      </c>
      <c r="P336" s="308">
        <f t="shared" si="336"/>
        <v>0</v>
      </c>
      <c r="Q336" s="1575"/>
      <c r="S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CV336" s="68"/>
      <c r="CW336" s="68"/>
      <c r="CX336" s="152"/>
      <c r="CY336" s="152"/>
      <c r="CZ336" s="152"/>
      <c r="DA336" s="34"/>
      <c r="DB336" s="34"/>
      <c r="DC336" s="34"/>
      <c r="DD336" s="34"/>
      <c r="DE336" s="152"/>
      <c r="DF336" s="152"/>
      <c r="DG336" s="152"/>
      <c r="DH336" s="152"/>
      <c r="DI336" s="152"/>
      <c r="DJ336" s="152"/>
      <c r="DK336" s="152"/>
      <c r="DL336" s="152"/>
    </row>
    <row r="337" spans="1:116" x14ac:dyDescent="0.2">
      <c r="A337" s="169">
        <f>IF(B38="",B337,B38)</f>
        <v>0.19</v>
      </c>
      <c r="B337" s="992">
        <f>B268</f>
        <v>0.19</v>
      </c>
      <c r="C337" s="73" t="str">
        <f>C38</f>
        <v>Sonstiges</v>
      </c>
      <c r="D337" s="134">
        <f t="shared" ref="D337:O337" si="355">D112*POWER((1+$A337),$D$234)</f>
        <v>0</v>
      </c>
      <c r="E337" s="134">
        <f t="shared" si="355"/>
        <v>0</v>
      </c>
      <c r="F337" s="134">
        <f t="shared" si="355"/>
        <v>0</v>
      </c>
      <c r="G337" s="134">
        <f t="shared" si="355"/>
        <v>0</v>
      </c>
      <c r="H337" s="134">
        <f t="shared" si="355"/>
        <v>0</v>
      </c>
      <c r="I337" s="134">
        <f t="shared" si="355"/>
        <v>0</v>
      </c>
      <c r="J337" s="134">
        <f t="shared" si="355"/>
        <v>0</v>
      </c>
      <c r="K337" s="134">
        <f t="shared" si="355"/>
        <v>0</v>
      </c>
      <c r="L337" s="134">
        <f>L112*POWER((1+$A337),$D$234)</f>
        <v>0</v>
      </c>
      <c r="M337" s="134">
        <f t="shared" si="355"/>
        <v>0</v>
      </c>
      <c r="N337" s="134">
        <f t="shared" si="355"/>
        <v>0</v>
      </c>
      <c r="O337" s="134">
        <f t="shared" si="355"/>
        <v>0</v>
      </c>
      <c r="P337" s="308">
        <f t="shared" si="336"/>
        <v>0</v>
      </c>
      <c r="Q337" s="1575"/>
      <c r="S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CV337" s="68"/>
      <c r="CW337" s="68"/>
      <c r="CX337" s="152"/>
      <c r="CY337" s="152"/>
      <c r="CZ337" s="152"/>
      <c r="DA337" s="34"/>
      <c r="DB337" s="34"/>
      <c r="DC337" s="34"/>
      <c r="DD337" s="34"/>
      <c r="DE337" s="152"/>
      <c r="DF337" s="152"/>
      <c r="DG337" s="152"/>
      <c r="DH337" s="152"/>
      <c r="DI337" s="152"/>
      <c r="DJ337" s="152"/>
      <c r="DK337" s="152"/>
      <c r="DL337" s="152"/>
    </row>
    <row r="338" spans="1:116" x14ac:dyDescent="0.2">
      <c r="A338" s="169"/>
      <c r="B338" s="993"/>
      <c r="C338" s="96" t="str">
        <f t="shared" ref="C338:C343" si="356">C269</f>
        <v>Summe Versicherungen und Beiträge (betrieblich!)</v>
      </c>
      <c r="D338" s="133">
        <f t="shared" ref="D338:O338" si="357">SUM(D334:D337)</f>
        <v>0</v>
      </c>
      <c r="E338" s="133">
        <f t="shared" si="357"/>
        <v>0</v>
      </c>
      <c r="F338" s="133">
        <f t="shared" si="357"/>
        <v>0</v>
      </c>
      <c r="G338" s="133">
        <f t="shared" si="357"/>
        <v>0</v>
      </c>
      <c r="H338" s="133">
        <f t="shared" si="357"/>
        <v>0</v>
      </c>
      <c r="I338" s="133">
        <f t="shared" si="357"/>
        <v>0</v>
      </c>
      <c r="J338" s="133">
        <f t="shared" si="357"/>
        <v>0</v>
      </c>
      <c r="K338" s="133">
        <f t="shared" si="357"/>
        <v>0</v>
      </c>
      <c r="L338" s="133">
        <f t="shared" si="357"/>
        <v>0</v>
      </c>
      <c r="M338" s="133">
        <f t="shared" si="357"/>
        <v>0</v>
      </c>
      <c r="N338" s="133">
        <f t="shared" si="357"/>
        <v>0</v>
      </c>
      <c r="O338" s="133">
        <f t="shared" si="357"/>
        <v>0</v>
      </c>
      <c r="P338" s="998">
        <f t="shared" si="336"/>
        <v>0</v>
      </c>
      <c r="Q338" s="1575"/>
      <c r="S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CV338" s="68"/>
      <c r="CW338" s="68"/>
      <c r="CX338" s="152"/>
      <c r="CY338" s="152"/>
      <c r="CZ338" s="152"/>
      <c r="DA338" s="34"/>
      <c r="DB338" s="34"/>
      <c r="DC338" s="34"/>
      <c r="DD338" s="34"/>
      <c r="DE338" s="152"/>
      <c r="DF338" s="152"/>
      <c r="DG338" s="152"/>
      <c r="DH338" s="152"/>
      <c r="DI338" s="152"/>
      <c r="DJ338" s="152"/>
      <c r="DK338" s="152"/>
      <c r="DL338" s="152"/>
    </row>
    <row r="339" spans="1:116" x14ac:dyDescent="0.2">
      <c r="A339" s="169"/>
      <c r="B339" s="991">
        <f t="shared" ref="B339:B344" si="358">B270</f>
        <v>6</v>
      </c>
      <c r="C339" s="63" t="str">
        <f t="shared" si="356"/>
        <v>KFZ Kosten / Betriebliche Nutzung</v>
      </c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8"/>
      <c r="Q339" s="1575"/>
      <c r="S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CV339" s="68"/>
      <c r="CW339" s="68"/>
      <c r="CX339" s="152"/>
      <c r="CY339" s="152"/>
      <c r="CZ339" s="152"/>
      <c r="DA339" s="34"/>
      <c r="DB339" s="34"/>
      <c r="DC339" s="34"/>
      <c r="DD339" s="34"/>
      <c r="DE339" s="152"/>
      <c r="DF339" s="152"/>
      <c r="DG339" s="152"/>
      <c r="DH339" s="152"/>
      <c r="DI339" s="152"/>
      <c r="DJ339" s="152"/>
      <c r="DK339" s="152"/>
      <c r="DL339" s="152"/>
    </row>
    <row r="340" spans="1:116" x14ac:dyDescent="0.2">
      <c r="A340" s="169">
        <f>IF(B41="",B340,B41)</f>
        <v>0.19</v>
      </c>
      <c r="B340" s="992">
        <f t="shared" si="358"/>
        <v>0.19</v>
      </c>
      <c r="C340" s="73" t="str">
        <f t="shared" si="356"/>
        <v>Leasingraten Kfz</v>
      </c>
      <c r="D340" s="134">
        <f t="shared" ref="D340:O340" si="359">D115*POWER((1+$A340),$D$234)</f>
        <v>0</v>
      </c>
      <c r="E340" s="134">
        <f t="shared" si="359"/>
        <v>0</v>
      </c>
      <c r="F340" s="134">
        <f t="shared" si="359"/>
        <v>0</v>
      </c>
      <c r="G340" s="134">
        <f t="shared" si="359"/>
        <v>0</v>
      </c>
      <c r="H340" s="134">
        <f t="shared" si="359"/>
        <v>0</v>
      </c>
      <c r="I340" s="134">
        <f t="shared" si="359"/>
        <v>0</v>
      </c>
      <c r="J340" s="134">
        <f t="shared" si="359"/>
        <v>0</v>
      </c>
      <c r="K340" s="134">
        <f t="shared" si="359"/>
        <v>0</v>
      </c>
      <c r="L340" s="134">
        <f t="shared" si="359"/>
        <v>0</v>
      </c>
      <c r="M340" s="134">
        <f t="shared" si="359"/>
        <v>0</v>
      </c>
      <c r="N340" s="134">
        <f t="shared" si="359"/>
        <v>0</v>
      </c>
      <c r="O340" s="134">
        <f t="shared" si="359"/>
        <v>0</v>
      </c>
      <c r="P340" s="308">
        <f t="shared" si="336"/>
        <v>0</v>
      </c>
      <c r="Q340" s="1575"/>
      <c r="S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CV340" s="68"/>
      <c r="CW340" s="68"/>
      <c r="CX340" s="152"/>
      <c r="CY340" s="152"/>
      <c r="CZ340" s="152"/>
      <c r="DA340" s="34"/>
      <c r="DB340" s="34"/>
      <c r="DC340" s="34"/>
      <c r="DD340" s="34"/>
      <c r="DE340" s="152"/>
      <c r="DF340" s="152"/>
      <c r="DG340" s="152"/>
      <c r="DH340" s="152"/>
      <c r="DI340" s="152"/>
      <c r="DJ340" s="152"/>
      <c r="DK340" s="152"/>
      <c r="DL340" s="152"/>
    </row>
    <row r="341" spans="1:116" x14ac:dyDescent="0.2">
      <c r="A341" s="169">
        <f>IF(B42="",B341,B42)</f>
        <v>0.19</v>
      </c>
      <c r="B341" s="992">
        <f t="shared" si="358"/>
        <v>0.19</v>
      </c>
      <c r="C341" s="73" t="str">
        <f t="shared" si="356"/>
        <v>Versicherungen/Kfz-Steuer</v>
      </c>
      <c r="D341" s="134">
        <f t="shared" ref="D341:O341" si="360">D116*POWER((1+$A341),$D$234)</f>
        <v>0</v>
      </c>
      <c r="E341" s="134">
        <f t="shared" si="360"/>
        <v>0</v>
      </c>
      <c r="F341" s="134">
        <f t="shared" si="360"/>
        <v>0</v>
      </c>
      <c r="G341" s="134">
        <f t="shared" si="360"/>
        <v>0</v>
      </c>
      <c r="H341" s="134">
        <f t="shared" si="360"/>
        <v>0</v>
      </c>
      <c r="I341" s="134">
        <f t="shared" si="360"/>
        <v>0</v>
      </c>
      <c r="J341" s="134">
        <f t="shared" si="360"/>
        <v>0</v>
      </c>
      <c r="K341" s="134">
        <f t="shared" si="360"/>
        <v>0</v>
      </c>
      <c r="L341" s="134">
        <f t="shared" si="360"/>
        <v>0</v>
      </c>
      <c r="M341" s="134">
        <f t="shared" si="360"/>
        <v>0</v>
      </c>
      <c r="N341" s="134">
        <f t="shared" si="360"/>
        <v>0</v>
      </c>
      <c r="O341" s="134">
        <f t="shared" si="360"/>
        <v>0</v>
      </c>
      <c r="P341" s="308">
        <f t="shared" si="336"/>
        <v>0</v>
      </c>
      <c r="Q341" s="1575"/>
      <c r="S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CV341" s="68"/>
      <c r="CW341" s="68"/>
      <c r="CX341" s="152"/>
      <c r="CY341" s="152"/>
      <c r="CZ341" s="152"/>
      <c r="DA341" s="34"/>
      <c r="DB341" s="34"/>
      <c r="DC341" s="34"/>
      <c r="DD341" s="34"/>
      <c r="DE341" s="152"/>
      <c r="DF341" s="152"/>
      <c r="DG341" s="152"/>
      <c r="DH341" s="152"/>
      <c r="DI341" s="152"/>
      <c r="DJ341" s="152"/>
      <c r="DK341" s="152"/>
      <c r="DL341" s="152"/>
    </row>
    <row r="342" spans="1:116" x14ac:dyDescent="0.2">
      <c r="A342" s="169">
        <f>IF(B43="",B342,B43)</f>
        <v>0.19</v>
      </c>
      <c r="B342" s="992">
        <f t="shared" si="358"/>
        <v>0.19</v>
      </c>
      <c r="C342" s="73" t="str">
        <f t="shared" si="356"/>
        <v>Fahrzeugkosten (Tanken und Reparatur)</v>
      </c>
      <c r="D342" s="134">
        <f t="shared" ref="D342:O342" si="361">D117*POWER((1+$A342),$D$234)</f>
        <v>0</v>
      </c>
      <c r="E342" s="134">
        <f t="shared" si="361"/>
        <v>0</v>
      </c>
      <c r="F342" s="134">
        <f t="shared" si="361"/>
        <v>0</v>
      </c>
      <c r="G342" s="134">
        <f t="shared" si="361"/>
        <v>0</v>
      </c>
      <c r="H342" s="134">
        <f t="shared" si="361"/>
        <v>0</v>
      </c>
      <c r="I342" s="134">
        <f t="shared" si="361"/>
        <v>0</v>
      </c>
      <c r="J342" s="134">
        <f t="shared" si="361"/>
        <v>0</v>
      </c>
      <c r="K342" s="134">
        <f t="shared" si="361"/>
        <v>0</v>
      </c>
      <c r="L342" s="134">
        <f t="shared" si="361"/>
        <v>0</v>
      </c>
      <c r="M342" s="134">
        <f t="shared" si="361"/>
        <v>0</v>
      </c>
      <c r="N342" s="134">
        <f t="shared" si="361"/>
        <v>0</v>
      </c>
      <c r="O342" s="134">
        <f t="shared" si="361"/>
        <v>0</v>
      </c>
      <c r="P342" s="308">
        <f t="shared" si="336"/>
        <v>0</v>
      </c>
      <c r="Q342" s="1575"/>
      <c r="S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CV342" s="68"/>
      <c r="CW342" s="68"/>
      <c r="CX342" s="152"/>
      <c r="CY342" s="152"/>
      <c r="CZ342" s="152"/>
      <c r="DA342" s="34"/>
      <c r="DB342" s="34"/>
      <c r="DC342" s="34"/>
      <c r="DD342" s="34"/>
      <c r="DE342" s="152"/>
      <c r="DF342" s="152"/>
      <c r="DG342" s="152"/>
      <c r="DH342" s="152"/>
      <c r="DI342" s="152"/>
      <c r="DJ342" s="152"/>
      <c r="DK342" s="152"/>
      <c r="DL342" s="152"/>
    </row>
    <row r="343" spans="1:116" x14ac:dyDescent="0.2">
      <c r="A343" s="169">
        <f>IF(B44="",B343,B44)</f>
        <v>0</v>
      </c>
      <c r="B343" s="992">
        <f t="shared" si="358"/>
        <v>0</v>
      </c>
      <c r="C343" s="73" t="str">
        <f t="shared" si="356"/>
        <v>Abrechenbare Kilometerkosten</v>
      </c>
      <c r="D343" s="134">
        <f t="shared" ref="D343:O343" si="362">D118*POWER((1+$A343),$D$234)</f>
        <v>0</v>
      </c>
      <c r="E343" s="134">
        <f t="shared" si="362"/>
        <v>0</v>
      </c>
      <c r="F343" s="134">
        <f t="shared" si="362"/>
        <v>0</v>
      </c>
      <c r="G343" s="134">
        <f t="shared" si="362"/>
        <v>0</v>
      </c>
      <c r="H343" s="134">
        <f t="shared" si="362"/>
        <v>0</v>
      </c>
      <c r="I343" s="134">
        <f t="shared" si="362"/>
        <v>0</v>
      </c>
      <c r="J343" s="134">
        <f t="shared" si="362"/>
        <v>0</v>
      </c>
      <c r="K343" s="134">
        <f t="shared" si="362"/>
        <v>0</v>
      </c>
      <c r="L343" s="134">
        <f t="shared" si="362"/>
        <v>0</v>
      </c>
      <c r="M343" s="134">
        <f t="shared" si="362"/>
        <v>0</v>
      </c>
      <c r="N343" s="134">
        <f t="shared" si="362"/>
        <v>0</v>
      </c>
      <c r="O343" s="134">
        <f t="shared" si="362"/>
        <v>0</v>
      </c>
      <c r="P343" s="308">
        <f t="shared" si="336"/>
        <v>0</v>
      </c>
      <c r="Q343" s="1575"/>
      <c r="S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CV343" s="68"/>
      <c r="CW343" s="68"/>
      <c r="CX343" s="152"/>
      <c r="CY343" s="152"/>
      <c r="CZ343" s="152"/>
      <c r="DA343" s="34"/>
      <c r="DB343" s="34"/>
      <c r="DC343" s="34"/>
      <c r="DD343" s="34"/>
      <c r="DE343" s="152"/>
      <c r="DF343" s="152"/>
      <c r="DG343" s="152"/>
      <c r="DH343" s="152"/>
      <c r="DI343" s="152"/>
      <c r="DJ343" s="152"/>
      <c r="DK343" s="152"/>
      <c r="DL343" s="152"/>
    </row>
    <row r="344" spans="1:116" x14ac:dyDescent="0.2">
      <c r="A344" s="169">
        <f>IF(B45="",B344,B45)</f>
        <v>0.19</v>
      </c>
      <c r="B344" s="992">
        <f t="shared" si="358"/>
        <v>0.19</v>
      </c>
      <c r="C344" s="73" t="str">
        <f>C45</f>
        <v>Sonstiges</v>
      </c>
      <c r="D344" s="134">
        <f t="shared" ref="D344:O344" si="363">D119*POWER((1+$A344),$D$234)</f>
        <v>0</v>
      </c>
      <c r="E344" s="134">
        <f t="shared" si="363"/>
        <v>0</v>
      </c>
      <c r="F344" s="134">
        <f t="shared" si="363"/>
        <v>0</v>
      </c>
      <c r="G344" s="134">
        <f t="shared" si="363"/>
        <v>0</v>
      </c>
      <c r="H344" s="134">
        <f t="shared" si="363"/>
        <v>0</v>
      </c>
      <c r="I344" s="134">
        <f t="shared" si="363"/>
        <v>0</v>
      </c>
      <c r="J344" s="134">
        <f t="shared" si="363"/>
        <v>0</v>
      </c>
      <c r="K344" s="134">
        <f t="shared" si="363"/>
        <v>0</v>
      </c>
      <c r="L344" s="134">
        <f t="shared" si="363"/>
        <v>0</v>
      </c>
      <c r="M344" s="134">
        <f t="shared" si="363"/>
        <v>0</v>
      </c>
      <c r="N344" s="134">
        <f t="shared" si="363"/>
        <v>0</v>
      </c>
      <c r="O344" s="134">
        <f t="shared" si="363"/>
        <v>0</v>
      </c>
      <c r="P344" s="308">
        <f t="shared" si="336"/>
        <v>0</v>
      </c>
      <c r="Q344" s="1575"/>
      <c r="S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CV344" s="68"/>
      <c r="CW344" s="68"/>
      <c r="CX344" s="152"/>
      <c r="CY344" s="152"/>
      <c r="CZ344" s="152"/>
      <c r="DA344" s="34"/>
      <c r="DB344" s="34"/>
      <c r="DC344" s="34"/>
      <c r="DD344" s="34"/>
      <c r="DE344" s="152"/>
      <c r="DF344" s="152"/>
      <c r="DG344" s="152"/>
      <c r="DH344" s="152"/>
      <c r="DI344" s="152"/>
      <c r="DJ344" s="152"/>
      <c r="DK344" s="152"/>
      <c r="DL344" s="152"/>
    </row>
    <row r="345" spans="1:116" x14ac:dyDescent="0.2">
      <c r="A345" s="169"/>
      <c r="B345" s="993"/>
      <c r="C345" s="96" t="str">
        <f t="shared" ref="C345:C351" si="364">C276</f>
        <v>Summe KFZ Kosten / Betriebliche Nutzung</v>
      </c>
      <c r="D345" s="133">
        <f t="shared" ref="D345:O345" si="365">SUM(D340:D344)</f>
        <v>0</v>
      </c>
      <c r="E345" s="133">
        <f t="shared" si="365"/>
        <v>0</v>
      </c>
      <c r="F345" s="133">
        <f t="shared" si="365"/>
        <v>0</v>
      </c>
      <c r="G345" s="133">
        <f t="shared" si="365"/>
        <v>0</v>
      </c>
      <c r="H345" s="133">
        <f t="shared" si="365"/>
        <v>0</v>
      </c>
      <c r="I345" s="133">
        <f t="shared" si="365"/>
        <v>0</v>
      </c>
      <c r="J345" s="133">
        <f t="shared" si="365"/>
        <v>0</v>
      </c>
      <c r="K345" s="133">
        <f t="shared" si="365"/>
        <v>0</v>
      </c>
      <c r="L345" s="133">
        <f t="shared" si="365"/>
        <v>0</v>
      </c>
      <c r="M345" s="133">
        <f t="shared" si="365"/>
        <v>0</v>
      </c>
      <c r="N345" s="133">
        <f t="shared" si="365"/>
        <v>0</v>
      </c>
      <c r="O345" s="133">
        <f t="shared" si="365"/>
        <v>0</v>
      </c>
      <c r="P345" s="998">
        <f t="shared" si="336"/>
        <v>0</v>
      </c>
      <c r="Q345" s="1575"/>
      <c r="S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CV345" s="68"/>
      <c r="CW345" s="68"/>
      <c r="CX345" s="152"/>
      <c r="CY345" s="152"/>
      <c r="CZ345" s="152"/>
      <c r="DA345" s="34"/>
      <c r="DB345" s="34"/>
      <c r="DC345" s="34"/>
      <c r="DD345" s="34"/>
      <c r="DE345" s="152"/>
      <c r="DF345" s="152"/>
      <c r="DG345" s="152"/>
      <c r="DH345" s="152"/>
      <c r="DI345" s="152"/>
      <c r="DJ345" s="152"/>
      <c r="DK345" s="152"/>
      <c r="DL345" s="152"/>
    </row>
    <row r="346" spans="1:116" x14ac:dyDescent="0.2">
      <c r="A346" s="169"/>
      <c r="B346" s="991">
        <f t="shared" ref="B346:B352" si="366">B277</f>
        <v>7</v>
      </c>
      <c r="C346" s="86" t="str">
        <f t="shared" si="364"/>
        <v>Marketing  u. Werbung</v>
      </c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8"/>
      <c r="Q346" s="1575"/>
      <c r="S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CV346" s="68"/>
      <c r="CW346" s="68"/>
      <c r="CX346" s="152"/>
      <c r="CY346" s="152"/>
      <c r="CZ346" s="152"/>
      <c r="DA346" s="34"/>
      <c r="DB346" s="34"/>
      <c r="DC346" s="34"/>
      <c r="DD346" s="34"/>
      <c r="DE346" s="152"/>
      <c r="DF346" s="152"/>
      <c r="DG346" s="152"/>
      <c r="DH346" s="152"/>
      <c r="DI346" s="152"/>
      <c r="DJ346" s="152"/>
      <c r="DK346" s="152"/>
      <c r="DL346" s="152"/>
    </row>
    <row r="347" spans="1:116" x14ac:dyDescent="0.2">
      <c r="A347" s="169">
        <f t="shared" ref="A347:A352" si="367">IF(B48="",B347,B48)</f>
        <v>0.19</v>
      </c>
      <c r="B347" s="992">
        <f t="shared" si="366"/>
        <v>0.19</v>
      </c>
      <c r="C347" s="73" t="str">
        <f t="shared" si="364"/>
        <v>Marktforschung</v>
      </c>
      <c r="D347" s="134">
        <f t="shared" ref="D347:O347" si="368">D122*POWER((1+$A347),$D$234)</f>
        <v>0</v>
      </c>
      <c r="E347" s="134">
        <f t="shared" si="368"/>
        <v>0</v>
      </c>
      <c r="F347" s="134">
        <f t="shared" si="368"/>
        <v>0</v>
      </c>
      <c r="G347" s="134">
        <f t="shared" si="368"/>
        <v>0</v>
      </c>
      <c r="H347" s="134">
        <f t="shared" si="368"/>
        <v>0</v>
      </c>
      <c r="I347" s="134">
        <f t="shared" si="368"/>
        <v>0</v>
      </c>
      <c r="J347" s="134">
        <f t="shared" si="368"/>
        <v>0</v>
      </c>
      <c r="K347" s="134">
        <f t="shared" si="368"/>
        <v>0</v>
      </c>
      <c r="L347" s="134">
        <f t="shared" si="368"/>
        <v>0</v>
      </c>
      <c r="M347" s="134">
        <f t="shared" si="368"/>
        <v>0</v>
      </c>
      <c r="N347" s="134">
        <f t="shared" si="368"/>
        <v>0</v>
      </c>
      <c r="O347" s="134">
        <f t="shared" si="368"/>
        <v>0</v>
      </c>
      <c r="P347" s="308">
        <f t="shared" si="336"/>
        <v>0</v>
      </c>
      <c r="Q347" s="1575"/>
      <c r="S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CV347" s="68"/>
      <c r="CW347" s="68"/>
      <c r="CX347" s="152"/>
      <c r="CY347" s="152"/>
      <c r="CZ347" s="152"/>
      <c r="DA347" s="34"/>
      <c r="DB347" s="34"/>
      <c r="DC347" s="34"/>
      <c r="DD347" s="34"/>
      <c r="DE347" s="152"/>
      <c r="DF347" s="152"/>
      <c r="DG347" s="152"/>
      <c r="DH347" s="152"/>
      <c r="DI347" s="152"/>
      <c r="DJ347" s="152"/>
      <c r="DK347" s="152"/>
      <c r="DL347" s="152"/>
    </row>
    <row r="348" spans="1:116" x14ac:dyDescent="0.2">
      <c r="A348" s="169">
        <f t="shared" si="367"/>
        <v>0.19</v>
      </c>
      <c r="B348" s="992">
        <f t="shared" si="366"/>
        <v>0.19</v>
      </c>
      <c r="C348" s="73" t="str">
        <f t="shared" si="364"/>
        <v>Briefpapier, Visitenkarte, Stempel</v>
      </c>
      <c r="D348" s="134">
        <f t="shared" ref="D348:O348" si="369">D123*POWER((1+$A348),$D$234)</f>
        <v>0</v>
      </c>
      <c r="E348" s="134">
        <f t="shared" si="369"/>
        <v>0</v>
      </c>
      <c r="F348" s="134">
        <f t="shared" si="369"/>
        <v>0</v>
      </c>
      <c r="G348" s="134">
        <f t="shared" si="369"/>
        <v>0</v>
      </c>
      <c r="H348" s="134">
        <f t="shared" si="369"/>
        <v>0</v>
      </c>
      <c r="I348" s="134">
        <f t="shared" si="369"/>
        <v>0</v>
      </c>
      <c r="J348" s="134">
        <f t="shared" si="369"/>
        <v>0</v>
      </c>
      <c r="K348" s="134">
        <f t="shared" si="369"/>
        <v>0</v>
      </c>
      <c r="L348" s="134">
        <f t="shared" si="369"/>
        <v>0</v>
      </c>
      <c r="M348" s="134">
        <f t="shared" si="369"/>
        <v>0</v>
      </c>
      <c r="N348" s="134">
        <f t="shared" si="369"/>
        <v>0</v>
      </c>
      <c r="O348" s="134">
        <f t="shared" si="369"/>
        <v>0</v>
      </c>
      <c r="P348" s="308">
        <f t="shared" si="336"/>
        <v>0</v>
      </c>
      <c r="Q348" s="1575"/>
      <c r="S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CV348" s="68"/>
      <c r="CW348" s="68"/>
      <c r="CX348" s="152"/>
      <c r="CY348" s="152"/>
      <c r="CZ348" s="152"/>
      <c r="DA348" s="34"/>
      <c r="DB348" s="34"/>
      <c r="DC348" s="34"/>
      <c r="DD348" s="34"/>
      <c r="DE348" s="152"/>
      <c r="DF348" s="152"/>
      <c r="DG348" s="152"/>
      <c r="DH348" s="152"/>
      <c r="DI348" s="152"/>
      <c r="DJ348" s="152"/>
      <c r="DK348" s="152"/>
      <c r="DL348" s="152"/>
    </row>
    <row r="349" spans="1:116" x14ac:dyDescent="0.2">
      <c r="A349" s="169">
        <f t="shared" si="367"/>
        <v>0.19</v>
      </c>
      <c r="B349" s="992">
        <f t="shared" si="366"/>
        <v>0.19</v>
      </c>
      <c r="C349" s="73" t="str">
        <f t="shared" si="364"/>
        <v>Webseite, lfd. Webseitenpflege</v>
      </c>
      <c r="D349" s="134">
        <f t="shared" ref="D349:O349" si="370">D124*POWER((1+$A349),$D$234)</f>
        <v>0</v>
      </c>
      <c r="E349" s="134">
        <f t="shared" si="370"/>
        <v>0</v>
      </c>
      <c r="F349" s="134">
        <f t="shared" si="370"/>
        <v>0</v>
      </c>
      <c r="G349" s="134">
        <f t="shared" si="370"/>
        <v>0</v>
      </c>
      <c r="H349" s="134">
        <f t="shared" si="370"/>
        <v>0</v>
      </c>
      <c r="I349" s="134">
        <f t="shared" si="370"/>
        <v>0</v>
      </c>
      <c r="J349" s="134">
        <f t="shared" si="370"/>
        <v>0</v>
      </c>
      <c r="K349" s="134">
        <f t="shared" si="370"/>
        <v>0</v>
      </c>
      <c r="L349" s="134">
        <f t="shared" si="370"/>
        <v>0</v>
      </c>
      <c r="M349" s="134">
        <f>M124*POWER((1+$A349),$D$234)</f>
        <v>0</v>
      </c>
      <c r="N349" s="134">
        <f t="shared" si="370"/>
        <v>0</v>
      </c>
      <c r="O349" s="134">
        <f t="shared" si="370"/>
        <v>0</v>
      </c>
      <c r="P349" s="308">
        <f t="shared" si="336"/>
        <v>0</v>
      </c>
      <c r="Q349" s="1575"/>
      <c r="S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CV349" s="68"/>
      <c r="CW349" s="68"/>
      <c r="CX349" s="152"/>
      <c r="CY349" s="152"/>
      <c r="CZ349" s="152"/>
      <c r="DA349" s="34"/>
      <c r="DB349" s="34"/>
      <c r="DC349" s="34"/>
      <c r="DD349" s="34"/>
      <c r="DE349" s="152"/>
      <c r="DF349" s="152"/>
      <c r="DG349" s="152"/>
      <c r="DH349" s="152"/>
      <c r="DI349" s="152"/>
      <c r="DJ349" s="152"/>
      <c r="DK349" s="152"/>
      <c r="DL349" s="152"/>
    </row>
    <row r="350" spans="1:116" x14ac:dyDescent="0.2">
      <c r="A350" s="169">
        <f t="shared" si="367"/>
        <v>0.19</v>
      </c>
      <c r="B350" s="992">
        <f t="shared" si="366"/>
        <v>0.19</v>
      </c>
      <c r="C350" s="73" t="str">
        <f t="shared" si="364"/>
        <v>Flyer, Prospekte, Broschüren, Anzeigen</v>
      </c>
      <c r="D350" s="134">
        <f t="shared" ref="D350:O350" si="371">D125*POWER((1+$A350),$D$234)</f>
        <v>0</v>
      </c>
      <c r="E350" s="134">
        <f t="shared" si="371"/>
        <v>0</v>
      </c>
      <c r="F350" s="134">
        <f t="shared" si="371"/>
        <v>0</v>
      </c>
      <c r="G350" s="134">
        <f t="shared" si="371"/>
        <v>0</v>
      </c>
      <c r="H350" s="134">
        <f t="shared" si="371"/>
        <v>0</v>
      </c>
      <c r="I350" s="134">
        <f t="shared" si="371"/>
        <v>0</v>
      </c>
      <c r="J350" s="134">
        <f t="shared" si="371"/>
        <v>0</v>
      </c>
      <c r="K350" s="134">
        <f t="shared" si="371"/>
        <v>0</v>
      </c>
      <c r="L350" s="134">
        <f t="shared" si="371"/>
        <v>0</v>
      </c>
      <c r="M350" s="134">
        <f>M125*POWER((1+$A350),$D$234)</f>
        <v>0</v>
      </c>
      <c r="N350" s="134">
        <f t="shared" si="371"/>
        <v>0</v>
      </c>
      <c r="O350" s="134">
        <f t="shared" si="371"/>
        <v>0</v>
      </c>
      <c r="P350" s="308">
        <f t="shared" si="336"/>
        <v>0</v>
      </c>
      <c r="Q350" s="1575"/>
      <c r="S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CV350" s="68"/>
      <c r="CW350" s="68"/>
      <c r="CX350" s="152"/>
      <c r="CY350" s="152"/>
      <c r="CZ350" s="152"/>
      <c r="DA350" s="34"/>
      <c r="DB350" s="34"/>
      <c r="DC350" s="34"/>
      <c r="DD350" s="34"/>
      <c r="DE350" s="152"/>
      <c r="DF350" s="152"/>
      <c r="DG350" s="152"/>
      <c r="DH350" s="152"/>
      <c r="DI350" s="152"/>
      <c r="DJ350" s="152"/>
      <c r="DK350" s="152"/>
      <c r="DL350" s="152"/>
    </row>
    <row r="351" spans="1:116" x14ac:dyDescent="0.2">
      <c r="A351" s="169">
        <f t="shared" si="367"/>
        <v>0.19</v>
      </c>
      <c r="B351" s="992">
        <f t="shared" si="366"/>
        <v>0.19</v>
      </c>
      <c r="C351" s="73" t="str">
        <f t="shared" si="364"/>
        <v>Bewirtungskosten</v>
      </c>
      <c r="D351" s="134">
        <f t="shared" ref="D351:O351" si="372">D126*POWER((1+$A351),$D$234)</f>
        <v>0</v>
      </c>
      <c r="E351" s="134">
        <f t="shared" si="372"/>
        <v>0</v>
      </c>
      <c r="F351" s="134">
        <f t="shared" si="372"/>
        <v>0</v>
      </c>
      <c r="G351" s="134">
        <f t="shared" si="372"/>
        <v>0</v>
      </c>
      <c r="H351" s="134">
        <f t="shared" si="372"/>
        <v>0</v>
      </c>
      <c r="I351" s="134">
        <f t="shared" si="372"/>
        <v>0</v>
      </c>
      <c r="J351" s="134">
        <f t="shared" si="372"/>
        <v>0</v>
      </c>
      <c r="K351" s="134">
        <f t="shared" si="372"/>
        <v>0</v>
      </c>
      <c r="L351" s="134">
        <f t="shared" si="372"/>
        <v>0</v>
      </c>
      <c r="M351" s="134">
        <f t="shared" si="372"/>
        <v>0</v>
      </c>
      <c r="N351" s="134">
        <f t="shared" si="372"/>
        <v>0</v>
      </c>
      <c r="O351" s="134">
        <f t="shared" si="372"/>
        <v>0</v>
      </c>
      <c r="P351" s="308">
        <f t="shared" si="336"/>
        <v>0</v>
      </c>
      <c r="Q351" s="1575"/>
      <c r="S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CV351" s="68"/>
      <c r="CW351" s="68"/>
      <c r="CX351" s="152"/>
      <c r="CY351" s="152"/>
      <c r="CZ351" s="152"/>
      <c r="DA351" s="34"/>
      <c r="DB351" s="34"/>
      <c r="DC351" s="34"/>
      <c r="DD351" s="34"/>
      <c r="DE351" s="152"/>
      <c r="DF351" s="152"/>
      <c r="DG351" s="152"/>
      <c r="DH351" s="152"/>
      <c r="DI351" s="152"/>
      <c r="DJ351" s="152"/>
      <c r="DK351" s="152"/>
      <c r="DL351" s="152"/>
    </row>
    <row r="352" spans="1:116" x14ac:dyDescent="0.2">
      <c r="A352" s="169">
        <f t="shared" si="367"/>
        <v>7.0000000000000007E-2</v>
      </c>
      <c r="B352" s="992">
        <f t="shared" si="366"/>
        <v>7.0000000000000007E-2</v>
      </c>
      <c r="C352" s="73" t="str">
        <f>C53</f>
        <v>Sonstiges, Messen, ...</v>
      </c>
      <c r="D352" s="880">
        <f t="shared" ref="D352:O352" si="373">D127*POWER((1+$A352),$D$234)</f>
        <v>0</v>
      </c>
      <c r="E352" s="880">
        <f t="shared" si="373"/>
        <v>0</v>
      </c>
      <c r="F352" s="880">
        <f t="shared" si="373"/>
        <v>0</v>
      </c>
      <c r="G352" s="880">
        <f t="shared" si="373"/>
        <v>0</v>
      </c>
      <c r="H352" s="880">
        <f t="shared" si="373"/>
        <v>0</v>
      </c>
      <c r="I352" s="880">
        <f t="shared" si="373"/>
        <v>0</v>
      </c>
      <c r="J352" s="880">
        <f t="shared" si="373"/>
        <v>0</v>
      </c>
      <c r="K352" s="880">
        <f t="shared" si="373"/>
        <v>0</v>
      </c>
      <c r="L352" s="880">
        <f t="shared" si="373"/>
        <v>0</v>
      </c>
      <c r="M352" s="880">
        <f t="shared" si="373"/>
        <v>0</v>
      </c>
      <c r="N352" s="880">
        <f t="shared" si="373"/>
        <v>0</v>
      </c>
      <c r="O352" s="880">
        <f t="shared" si="373"/>
        <v>0</v>
      </c>
      <c r="P352" s="1001">
        <f t="shared" si="336"/>
        <v>0</v>
      </c>
      <c r="Q352" s="1575"/>
      <c r="S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CV352" s="68"/>
      <c r="CW352" s="68"/>
      <c r="CX352" s="152"/>
      <c r="CY352" s="152"/>
      <c r="CZ352" s="152"/>
      <c r="DA352" s="34"/>
      <c r="DB352" s="34"/>
      <c r="DC352" s="34"/>
      <c r="DD352" s="34"/>
      <c r="DE352" s="152"/>
      <c r="DF352" s="152"/>
      <c r="DG352" s="152"/>
      <c r="DH352" s="152"/>
      <c r="DI352" s="152"/>
      <c r="DJ352" s="152"/>
      <c r="DK352" s="152"/>
      <c r="DL352" s="152"/>
    </row>
    <row r="353" spans="1:116" x14ac:dyDescent="0.2">
      <c r="A353" s="169"/>
      <c r="B353" s="993"/>
      <c r="C353" s="96" t="str">
        <f>C284</f>
        <v>Summe Marketing  u. Werbung</v>
      </c>
      <c r="D353" s="133">
        <f t="shared" ref="D353:O353" si="374">SUM(D347:D352)</f>
        <v>0</v>
      </c>
      <c r="E353" s="133">
        <f t="shared" si="374"/>
        <v>0</v>
      </c>
      <c r="F353" s="133">
        <f t="shared" si="374"/>
        <v>0</v>
      </c>
      <c r="G353" s="133">
        <f t="shared" si="374"/>
        <v>0</v>
      </c>
      <c r="H353" s="133">
        <f t="shared" si="374"/>
        <v>0</v>
      </c>
      <c r="I353" s="133">
        <f t="shared" si="374"/>
        <v>0</v>
      </c>
      <c r="J353" s="133">
        <f t="shared" si="374"/>
        <v>0</v>
      </c>
      <c r="K353" s="133">
        <f t="shared" si="374"/>
        <v>0</v>
      </c>
      <c r="L353" s="133">
        <f t="shared" si="374"/>
        <v>0</v>
      </c>
      <c r="M353" s="133">
        <f t="shared" si="374"/>
        <v>0</v>
      </c>
      <c r="N353" s="133">
        <f t="shared" si="374"/>
        <v>0</v>
      </c>
      <c r="O353" s="133">
        <f t="shared" si="374"/>
        <v>0</v>
      </c>
      <c r="P353" s="998">
        <f t="shared" si="336"/>
        <v>0</v>
      </c>
      <c r="Q353" s="1575"/>
      <c r="S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CV353" s="68"/>
      <c r="CW353" s="68"/>
      <c r="CX353" s="152"/>
      <c r="CY353" s="152"/>
      <c r="CZ353" s="152"/>
      <c r="DA353" s="34"/>
      <c r="DB353" s="34"/>
      <c r="DC353" s="34"/>
      <c r="DD353" s="34"/>
      <c r="DE353" s="152"/>
      <c r="DF353" s="152"/>
      <c r="DG353" s="152"/>
      <c r="DH353" s="152"/>
      <c r="DI353" s="152"/>
      <c r="DJ353" s="152"/>
      <c r="DK353" s="152"/>
      <c r="DL353" s="152"/>
    </row>
    <row r="354" spans="1:116" x14ac:dyDescent="0.2">
      <c r="A354" s="169"/>
      <c r="B354" s="991">
        <f>B285</f>
        <v>8</v>
      </c>
      <c r="C354" s="86" t="str">
        <f>C285</f>
        <v>Rechts- und Beratungskosten</v>
      </c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8"/>
      <c r="Q354" s="1575"/>
      <c r="S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CV354" s="68"/>
      <c r="CW354" s="68"/>
      <c r="CX354" s="152"/>
      <c r="CY354" s="152"/>
      <c r="CZ354" s="152"/>
      <c r="DA354" s="34"/>
      <c r="DB354" s="34"/>
      <c r="DC354" s="34"/>
      <c r="DD354" s="34"/>
      <c r="DE354" s="152"/>
      <c r="DF354" s="152"/>
      <c r="DG354" s="152"/>
      <c r="DH354" s="152"/>
      <c r="DI354" s="152"/>
      <c r="DJ354" s="152"/>
      <c r="DK354" s="152"/>
      <c r="DL354" s="152"/>
    </row>
    <row r="355" spans="1:116" x14ac:dyDescent="0.2">
      <c r="A355" s="169">
        <f>IF(B56="",B355,B56)</f>
        <v>0.19</v>
      </c>
      <c r="B355" s="992">
        <f>B286</f>
        <v>0.19</v>
      </c>
      <c r="C355" s="73" t="str">
        <f>C286</f>
        <v>Buchhaltung</v>
      </c>
      <c r="D355" s="134">
        <f t="shared" ref="D355:O355" si="375">D130*POWER((1+$A355),$D$234)</f>
        <v>0</v>
      </c>
      <c r="E355" s="134">
        <f t="shared" si="375"/>
        <v>0</v>
      </c>
      <c r="F355" s="134">
        <f t="shared" si="375"/>
        <v>0</v>
      </c>
      <c r="G355" s="134">
        <f t="shared" si="375"/>
        <v>0</v>
      </c>
      <c r="H355" s="134">
        <f t="shared" si="375"/>
        <v>0</v>
      </c>
      <c r="I355" s="134">
        <f t="shared" si="375"/>
        <v>0</v>
      </c>
      <c r="J355" s="134">
        <f t="shared" si="375"/>
        <v>0</v>
      </c>
      <c r="K355" s="134">
        <f t="shared" si="375"/>
        <v>0</v>
      </c>
      <c r="L355" s="134">
        <f t="shared" si="375"/>
        <v>0</v>
      </c>
      <c r="M355" s="134">
        <f t="shared" si="375"/>
        <v>0</v>
      </c>
      <c r="N355" s="134">
        <f t="shared" si="375"/>
        <v>0</v>
      </c>
      <c r="O355" s="134">
        <f t="shared" si="375"/>
        <v>0</v>
      </c>
      <c r="P355" s="308">
        <f t="shared" si="336"/>
        <v>0</v>
      </c>
      <c r="Q355" s="1575"/>
      <c r="S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CV355" s="68"/>
      <c r="CW355" s="68"/>
      <c r="CX355" s="152"/>
      <c r="CY355" s="152"/>
      <c r="CZ355" s="152"/>
      <c r="DA355" s="34"/>
      <c r="DB355" s="34"/>
      <c r="DC355" s="34"/>
      <c r="DD355" s="34"/>
      <c r="DE355" s="152"/>
      <c r="DF355" s="152"/>
      <c r="DG355" s="152"/>
      <c r="DH355" s="152"/>
      <c r="DI355" s="152"/>
      <c r="DJ355" s="152"/>
      <c r="DK355" s="152"/>
      <c r="DL355" s="152"/>
    </row>
    <row r="356" spans="1:116" x14ac:dyDescent="0.2">
      <c r="A356" s="169">
        <f>IF(B57="",B356,B57)</f>
        <v>0.19</v>
      </c>
      <c r="B356" s="992">
        <f>B287</f>
        <v>0.19</v>
      </c>
      <c r="C356" s="73" t="str">
        <f>C287</f>
        <v>Steuerberatung, Abschluss, Prüfung</v>
      </c>
      <c r="D356" s="134">
        <f t="shared" ref="D356:O356" si="376">D131*POWER((1+$A356),$D$234)</f>
        <v>0</v>
      </c>
      <c r="E356" s="134">
        <f t="shared" si="376"/>
        <v>0</v>
      </c>
      <c r="F356" s="134">
        <f t="shared" si="376"/>
        <v>0</v>
      </c>
      <c r="G356" s="134">
        <f t="shared" si="376"/>
        <v>0</v>
      </c>
      <c r="H356" s="134">
        <f t="shared" si="376"/>
        <v>0</v>
      </c>
      <c r="I356" s="134">
        <f t="shared" si="376"/>
        <v>0</v>
      </c>
      <c r="J356" s="134">
        <f t="shared" si="376"/>
        <v>0</v>
      </c>
      <c r="K356" s="134">
        <f t="shared" si="376"/>
        <v>0</v>
      </c>
      <c r="L356" s="134">
        <f t="shared" si="376"/>
        <v>0</v>
      </c>
      <c r="M356" s="134">
        <f t="shared" si="376"/>
        <v>0</v>
      </c>
      <c r="N356" s="134">
        <f t="shared" si="376"/>
        <v>0</v>
      </c>
      <c r="O356" s="134">
        <f t="shared" si="376"/>
        <v>0</v>
      </c>
      <c r="P356" s="308">
        <f t="shared" si="336"/>
        <v>0</v>
      </c>
      <c r="Q356" s="1575"/>
      <c r="S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CV356" s="68"/>
      <c r="CW356" s="68"/>
      <c r="CX356" s="152"/>
      <c r="CY356" s="152"/>
      <c r="CZ356" s="152"/>
      <c r="DA356" s="34"/>
      <c r="DB356" s="34"/>
      <c r="DC356" s="34"/>
      <c r="DD356" s="34"/>
      <c r="DE356" s="152"/>
      <c r="DF356" s="152"/>
      <c r="DG356" s="152"/>
      <c r="DH356" s="152"/>
      <c r="DI356" s="152"/>
      <c r="DJ356" s="152"/>
      <c r="DK356" s="152"/>
      <c r="DL356" s="152"/>
    </row>
    <row r="357" spans="1:116" x14ac:dyDescent="0.2">
      <c r="A357" s="169">
        <f>IF(B58="",B357,B58)</f>
        <v>0.19</v>
      </c>
      <c r="B357" s="992">
        <f>B288</f>
        <v>0.19</v>
      </c>
      <c r="C357" s="73" t="str">
        <f>C58</f>
        <v>Sonstiges</v>
      </c>
      <c r="D357" s="134">
        <f t="shared" ref="D357:O357" si="377">D132*POWER((1+$A357),$D$234)</f>
        <v>0</v>
      </c>
      <c r="E357" s="134">
        <f t="shared" si="377"/>
        <v>0</v>
      </c>
      <c r="F357" s="134">
        <f t="shared" si="377"/>
        <v>0</v>
      </c>
      <c r="G357" s="134">
        <f t="shared" si="377"/>
        <v>0</v>
      </c>
      <c r="H357" s="134">
        <f t="shared" si="377"/>
        <v>0</v>
      </c>
      <c r="I357" s="134">
        <f t="shared" si="377"/>
        <v>0</v>
      </c>
      <c r="J357" s="134">
        <f t="shared" si="377"/>
        <v>0</v>
      </c>
      <c r="K357" s="134">
        <f t="shared" si="377"/>
        <v>0</v>
      </c>
      <c r="L357" s="134">
        <f t="shared" si="377"/>
        <v>0</v>
      </c>
      <c r="M357" s="134">
        <f t="shared" si="377"/>
        <v>0</v>
      </c>
      <c r="N357" s="134">
        <f t="shared" si="377"/>
        <v>0</v>
      </c>
      <c r="O357" s="134">
        <f t="shared" si="377"/>
        <v>0</v>
      </c>
      <c r="P357" s="308">
        <f t="shared" si="336"/>
        <v>0</v>
      </c>
      <c r="Q357" s="1575"/>
      <c r="S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CV357" s="68"/>
      <c r="CW357" s="68"/>
      <c r="CX357" s="152"/>
      <c r="CY357" s="152"/>
      <c r="CZ357" s="152"/>
      <c r="DA357" s="34"/>
      <c r="DB357" s="34"/>
      <c r="DC357" s="34"/>
      <c r="DD357" s="34"/>
      <c r="DE357" s="152"/>
      <c r="DF357" s="152"/>
      <c r="DG357" s="152"/>
      <c r="DH357" s="152"/>
      <c r="DI357" s="152"/>
      <c r="DJ357" s="152"/>
      <c r="DK357" s="152"/>
      <c r="DL357" s="152"/>
    </row>
    <row r="358" spans="1:116" x14ac:dyDescent="0.2">
      <c r="A358" s="169"/>
      <c r="B358" s="993"/>
      <c r="C358" s="96" t="str">
        <f t="shared" ref="C358:C363" si="378">C289</f>
        <v>Summe Rechts- und Beratungskosten</v>
      </c>
      <c r="D358" s="133">
        <f t="shared" ref="D358:O358" si="379">SUM(D355:D357)</f>
        <v>0</v>
      </c>
      <c r="E358" s="133">
        <f t="shared" si="379"/>
        <v>0</v>
      </c>
      <c r="F358" s="133">
        <f t="shared" si="379"/>
        <v>0</v>
      </c>
      <c r="G358" s="133">
        <f t="shared" si="379"/>
        <v>0</v>
      </c>
      <c r="H358" s="133">
        <f t="shared" si="379"/>
        <v>0</v>
      </c>
      <c r="I358" s="133">
        <f t="shared" si="379"/>
        <v>0</v>
      </c>
      <c r="J358" s="133">
        <f t="shared" si="379"/>
        <v>0</v>
      </c>
      <c r="K358" s="133">
        <f t="shared" si="379"/>
        <v>0</v>
      </c>
      <c r="L358" s="133">
        <f t="shared" si="379"/>
        <v>0</v>
      </c>
      <c r="M358" s="133">
        <f t="shared" si="379"/>
        <v>0</v>
      </c>
      <c r="N358" s="133">
        <f t="shared" si="379"/>
        <v>0</v>
      </c>
      <c r="O358" s="133">
        <f t="shared" si="379"/>
        <v>0</v>
      </c>
      <c r="P358" s="998">
        <f t="shared" si="336"/>
        <v>0</v>
      </c>
      <c r="Q358" s="1575"/>
      <c r="S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CV358" s="68"/>
      <c r="CW358" s="68"/>
      <c r="CX358" s="152"/>
      <c r="CY358" s="152"/>
      <c r="CZ358" s="152"/>
      <c r="DA358" s="34"/>
      <c r="DB358" s="34"/>
      <c r="DC358" s="34"/>
      <c r="DD358" s="34"/>
      <c r="DE358" s="152"/>
      <c r="DF358" s="152"/>
      <c r="DG358" s="152"/>
      <c r="DH358" s="152"/>
      <c r="DI358" s="152"/>
      <c r="DJ358" s="152"/>
      <c r="DK358" s="152"/>
      <c r="DL358" s="152"/>
    </row>
    <row r="359" spans="1:116" x14ac:dyDescent="0.2">
      <c r="A359" s="169"/>
      <c r="B359" s="991">
        <f t="shared" ref="B359:B364" si="380">B290</f>
        <v>9</v>
      </c>
      <c r="C359" s="63" t="str">
        <f t="shared" si="378"/>
        <v>Verschiedenes</v>
      </c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8"/>
      <c r="Q359" s="1575"/>
      <c r="S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CV359" s="68"/>
      <c r="CW359" s="68"/>
      <c r="CX359" s="152"/>
      <c r="CY359" s="152"/>
      <c r="CZ359" s="152"/>
      <c r="DA359" s="34"/>
      <c r="DB359" s="34"/>
      <c r="DC359" s="34"/>
      <c r="DD359" s="34"/>
      <c r="DE359" s="152"/>
      <c r="DF359" s="152"/>
      <c r="DG359" s="152"/>
      <c r="DH359" s="152"/>
      <c r="DI359" s="152"/>
      <c r="DJ359" s="152"/>
      <c r="DK359" s="152"/>
      <c r="DL359" s="152"/>
    </row>
    <row r="360" spans="1:116" x14ac:dyDescent="0.2">
      <c r="A360" s="169">
        <f>IF(B61="",B360,B61)</f>
        <v>0</v>
      </c>
      <c r="B360" s="992">
        <f t="shared" si="380"/>
        <v>0</v>
      </c>
      <c r="C360" s="73" t="str">
        <f t="shared" si="378"/>
        <v>Finanzaufwand / Zinsen *)</v>
      </c>
      <c r="D360" s="153">
        <f t="shared" ref="D360:O360" si="381">D135*POWER((1+$A360),$D$234)</f>
        <v>0</v>
      </c>
      <c r="E360" s="153">
        <f t="shared" si="381"/>
        <v>0</v>
      </c>
      <c r="F360" s="153">
        <f t="shared" si="381"/>
        <v>0</v>
      </c>
      <c r="G360" s="153">
        <f t="shared" si="381"/>
        <v>0</v>
      </c>
      <c r="H360" s="153">
        <f t="shared" si="381"/>
        <v>0</v>
      </c>
      <c r="I360" s="153">
        <f t="shared" si="381"/>
        <v>0</v>
      </c>
      <c r="J360" s="153">
        <f t="shared" si="381"/>
        <v>0</v>
      </c>
      <c r="K360" s="153">
        <f t="shared" si="381"/>
        <v>0</v>
      </c>
      <c r="L360" s="153">
        <f t="shared" si="381"/>
        <v>0</v>
      </c>
      <c r="M360" s="153">
        <f t="shared" si="381"/>
        <v>0</v>
      </c>
      <c r="N360" s="153">
        <f t="shared" si="381"/>
        <v>0</v>
      </c>
      <c r="O360" s="153">
        <f t="shared" si="381"/>
        <v>0</v>
      </c>
      <c r="P360" s="75">
        <f t="shared" si="336"/>
        <v>0</v>
      </c>
      <c r="Q360" s="1575"/>
      <c r="S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CV360" s="68"/>
      <c r="CW360" s="68"/>
      <c r="CX360" s="152"/>
      <c r="CY360" s="152"/>
      <c r="CZ360" s="152"/>
      <c r="DA360" s="34"/>
      <c r="DB360" s="34"/>
      <c r="DC360" s="34"/>
      <c r="DD360" s="34"/>
      <c r="DE360" s="152"/>
      <c r="DF360" s="152"/>
      <c r="DG360" s="152"/>
      <c r="DH360" s="152"/>
      <c r="DI360" s="152"/>
      <c r="DJ360" s="152"/>
      <c r="DK360" s="152"/>
      <c r="DL360" s="152"/>
    </row>
    <row r="361" spans="1:116" x14ac:dyDescent="0.2">
      <c r="A361" s="169">
        <f>IF(B62="",B361,B62)</f>
        <v>0.19</v>
      </c>
      <c r="B361" s="992">
        <f t="shared" si="380"/>
        <v>0.19</v>
      </c>
      <c r="C361" s="73" t="str">
        <f t="shared" si="378"/>
        <v>Reisekosten</v>
      </c>
      <c r="D361" s="134">
        <f t="shared" ref="D361:O361" si="382">D136*POWER((1+$A361),$D$234)</f>
        <v>0</v>
      </c>
      <c r="E361" s="134">
        <f t="shared" si="382"/>
        <v>0</v>
      </c>
      <c r="F361" s="134">
        <f t="shared" si="382"/>
        <v>0</v>
      </c>
      <c r="G361" s="134">
        <f t="shared" si="382"/>
        <v>0</v>
      </c>
      <c r="H361" s="134">
        <f t="shared" si="382"/>
        <v>0</v>
      </c>
      <c r="I361" s="134">
        <f t="shared" si="382"/>
        <v>0</v>
      </c>
      <c r="J361" s="134">
        <f t="shared" si="382"/>
        <v>0</v>
      </c>
      <c r="K361" s="134">
        <f t="shared" si="382"/>
        <v>0</v>
      </c>
      <c r="L361" s="134">
        <f t="shared" si="382"/>
        <v>0</v>
      </c>
      <c r="M361" s="134">
        <f t="shared" si="382"/>
        <v>0</v>
      </c>
      <c r="N361" s="134">
        <f t="shared" si="382"/>
        <v>0</v>
      </c>
      <c r="O361" s="134">
        <f t="shared" si="382"/>
        <v>0</v>
      </c>
      <c r="P361" s="308">
        <f t="shared" si="336"/>
        <v>0</v>
      </c>
      <c r="Q361" s="1575"/>
      <c r="S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CV361" s="68"/>
      <c r="CW361" s="68"/>
      <c r="CX361" s="152"/>
      <c r="CY361" s="152"/>
      <c r="CZ361" s="152"/>
      <c r="DA361" s="34"/>
      <c r="DB361" s="34"/>
      <c r="DC361" s="34"/>
      <c r="DD361" s="34"/>
      <c r="DE361" s="152"/>
      <c r="DF361" s="152"/>
      <c r="DG361" s="152"/>
      <c r="DH361" s="152"/>
      <c r="DI361" s="152"/>
      <c r="DJ361" s="152"/>
      <c r="DK361" s="152"/>
      <c r="DL361" s="152"/>
    </row>
    <row r="362" spans="1:116" x14ac:dyDescent="0.2">
      <c r="A362" s="169">
        <f>IF(B63="",B362,B63)</f>
        <v>7.0000000000000007E-2</v>
      </c>
      <c r="B362" s="992">
        <f t="shared" si="380"/>
        <v>7.0000000000000007E-2</v>
      </c>
      <c r="C362" s="73" t="str">
        <f t="shared" si="378"/>
        <v>Fachliteratur, Bücher</v>
      </c>
      <c r="D362" s="134">
        <f t="shared" ref="D362:O362" si="383">D137*POWER((1+$A362),$D$234)</f>
        <v>0</v>
      </c>
      <c r="E362" s="134">
        <f t="shared" si="383"/>
        <v>0</v>
      </c>
      <c r="F362" s="134">
        <f t="shared" si="383"/>
        <v>0</v>
      </c>
      <c r="G362" s="134">
        <f t="shared" si="383"/>
        <v>0</v>
      </c>
      <c r="H362" s="134">
        <f t="shared" si="383"/>
        <v>0</v>
      </c>
      <c r="I362" s="134">
        <f t="shared" si="383"/>
        <v>0</v>
      </c>
      <c r="J362" s="134">
        <f t="shared" si="383"/>
        <v>0</v>
      </c>
      <c r="K362" s="134">
        <f t="shared" si="383"/>
        <v>0</v>
      </c>
      <c r="L362" s="134">
        <f t="shared" si="383"/>
        <v>0</v>
      </c>
      <c r="M362" s="134">
        <f t="shared" si="383"/>
        <v>0</v>
      </c>
      <c r="N362" s="134">
        <f t="shared" si="383"/>
        <v>0</v>
      </c>
      <c r="O362" s="134">
        <f t="shared" si="383"/>
        <v>0</v>
      </c>
      <c r="P362" s="308">
        <f t="shared" si="336"/>
        <v>0</v>
      </c>
      <c r="Q362" s="1575"/>
      <c r="S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CV362" s="68"/>
      <c r="CW362" s="68"/>
      <c r="CX362" s="152"/>
      <c r="CY362" s="152"/>
      <c r="CZ362" s="152"/>
      <c r="DA362" s="34"/>
      <c r="DB362" s="34"/>
      <c r="DC362" s="34"/>
      <c r="DD362" s="34"/>
      <c r="DE362" s="152"/>
      <c r="DF362" s="152"/>
      <c r="DG362" s="152"/>
      <c r="DH362" s="152"/>
      <c r="DI362" s="152"/>
      <c r="DJ362" s="152"/>
      <c r="DK362" s="152"/>
      <c r="DL362" s="152"/>
    </row>
    <row r="363" spans="1:116" x14ac:dyDescent="0.2">
      <c r="A363" s="169">
        <f>IF(B64="",B363,B64)</f>
        <v>0.19</v>
      </c>
      <c r="B363" s="992">
        <f t="shared" si="380"/>
        <v>0.19</v>
      </c>
      <c r="C363" s="73" t="str">
        <f t="shared" si="378"/>
        <v>Schulungen</v>
      </c>
      <c r="D363" s="134">
        <f t="shared" ref="D363:O363" si="384">D138*POWER((1+$A363),$D$234)</f>
        <v>0</v>
      </c>
      <c r="E363" s="134">
        <f t="shared" si="384"/>
        <v>0</v>
      </c>
      <c r="F363" s="134">
        <f t="shared" si="384"/>
        <v>0</v>
      </c>
      <c r="G363" s="134">
        <f t="shared" si="384"/>
        <v>0</v>
      </c>
      <c r="H363" s="134">
        <f t="shared" si="384"/>
        <v>0</v>
      </c>
      <c r="I363" s="134">
        <f t="shared" si="384"/>
        <v>0</v>
      </c>
      <c r="J363" s="134">
        <f t="shared" si="384"/>
        <v>0</v>
      </c>
      <c r="K363" s="134">
        <f t="shared" si="384"/>
        <v>0</v>
      </c>
      <c r="L363" s="134">
        <f t="shared" si="384"/>
        <v>0</v>
      </c>
      <c r="M363" s="134">
        <f t="shared" si="384"/>
        <v>0</v>
      </c>
      <c r="N363" s="134">
        <f t="shared" si="384"/>
        <v>0</v>
      </c>
      <c r="O363" s="134">
        <f t="shared" si="384"/>
        <v>0</v>
      </c>
      <c r="P363" s="308">
        <f t="shared" si="336"/>
        <v>0</v>
      </c>
      <c r="Q363" s="1575"/>
      <c r="S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CV363" s="68"/>
      <c r="CW363" s="68"/>
      <c r="CX363" s="152"/>
      <c r="CY363" s="152"/>
      <c r="CZ363" s="152"/>
      <c r="DA363" s="34"/>
      <c r="DB363" s="34"/>
      <c r="DC363" s="34"/>
      <c r="DD363" s="34"/>
      <c r="DE363" s="152"/>
      <c r="DF363" s="152"/>
      <c r="DG363" s="152"/>
      <c r="DH363" s="152"/>
      <c r="DI363" s="152"/>
      <c r="DJ363" s="152"/>
      <c r="DK363" s="152"/>
      <c r="DL363" s="152"/>
    </row>
    <row r="364" spans="1:116" x14ac:dyDescent="0.2">
      <c r="A364" s="169">
        <f>IF(B65="",B364,B65)</f>
        <v>7.0000000000000007E-2</v>
      </c>
      <c r="B364" s="992">
        <f t="shared" si="380"/>
        <v>7.0000000000000007E-2</v>
      </c>
      <c r="C364" s="73" t="str">
        <f>C65</f>
        <v>Sonstiges</v>
      </c>
      <c r="D364" s="880">
        <f t="shared" ref="D364:O364" si="385">D139*POWER((1+$A364),$D$234)</f>
        <v>0</v>
      </c>
      <c r="E364" s="880">
        <f t="shared" si="385"/>
        <v>0</v>
      </c>
      <c r="F364" s="880">
        <f t="shared" si="385"/>
        <v>0</v>
      </c>
      <c r="G364" s="880">
        <f t="shared" si="385"/>
        <v>0</v>
      </c>
      <c r="H364" s="880">
        <f t="shared" si="385"/>
        <v>0</v>
      </c>
      <c r="I364" s="880">
        <f t="shared" si="385"/>
        <v>0</v>
      </c>
      <c r="J364" s="880">
        <f t="shared" si="385"/>
        <v>0</v>
      </c>
      <c r="K364" s="880">
        <f t="shared" si="385"/>
        <v>0</v>
      </c>
      <c r="L364" s="880">
        <f t="shared" si="385"/>
        <v>0</v>
      </c>
      <c r="M364" s="880">
        <f t="shared" si="385"/>
        <v>0</v>
      </c>
      <c r="N364" s="880">
        <f t="shared" si="385"/>
        <v>0</v>
      </c>
      <c r="O364" s="880">
        <f t="shared" si="385"/>
        <v>0</v>
      </c>
      <c r="P364" s="1001">
        <f t="shared" si="336"/>
        <v>0</v>
      </c>
      <c r="Q364" s="1575"/>
      <c r="S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CV364" s="68"/>
      <c r="CW364" s="68"/>
      <c r="CX364" s="152"/>
      <c r="CY364" s="152"/>
      <c r="CZ364" s="152"/>
      <c r="DA364" s="34"/>
      <c r="DB364" s="34"/>
      <c r="DC364" s="34"/>
      <c r="DD364" s="34"/>
      <c r="DE364" s="152"/>
      <c r="DF364" s="152"/>
      <c r="DG364" s="152"/>
      <c r="DH364" s="152"/>
      <c r="DI364" s="152"/>
      <c r="DJ364" s="152"/>
      <c r="DK364" s="152"/>
      <c r="DL364" s="152"/>
    </row>
    <row r="365" spans="1:116" ht="15" thickBot="1" x14ac:dyDescent="0.25">
      <c r="A365" s="169"/>
      <c r="B365" s="994"/>
      <c r="C365" s="96" t="str">
        <f>C296</f>
        <v>Summe Verschiedenes</v>
      </c>
      <c r="D365" s="133">
        <f t="shared" ref="D365:O365" si="386">SUM(D360:D364)</f>
        <v>0</v>
      </c>
      <c r="E365" s="133">
        <f t="shared" si="386"/>
        <v>0</v>
      </c>
      <c r="F365" s="133">
        <f t="shared" si="386"/>
        <v>0</v>
      </c>
      <c r="G365" s="133">
        <f t="shared" si="386"/>
        <v>0</v>
      </c>
      <c r="H365" s="133">
        <f t="shared" si="386"/>
        <v>0</v>
      </c>
      <c r="I365" s="133">
        <f t="shared" si="386"/>
        <v>0</v>
      </c>
      <c r="J365" s="133">
        <f t="shared" si="386"/>
        <v>0</v>
      </c>
      <c r="K365" s="133">
        <f t="shared" si="386"/>
        <v>0</v>
      </c>
      <c r="L365" s="133">
        <f t="shared" si="386"/>
        <v>0</v>
      </c>
      <c r="M365" s="133">
        <f t="shared" si="386"/>
        <v>0</v>
      </c>
      <c r="N365" s="133">
        <f t="shared" si="386"/>
        <v>0</v>
      </c>
      <c r="O365" s="133">
        <f t="shared" si="386"/>
        <v>0</v>
      </c>
      <c r="P365" s="97">
        <f t="shared" si="336"/>
        <v>0</v>
      </c>
      <c r="Q365" s="1575"/>
      <c r="S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CV365" s="68"/>
      <c r="CW365" s="68"/>
      <c r="CX365" s="152"/>
      <c r="CY365" s="152"/>
      <c r="CZ365" s="152"/>
      <c r="DA365" s="34"/>
      <c r="DB365" s="34"/>
      <c r="DC365" s="34"/>
      <c r="DD365" s="34"/>
      <c r="DE365" s="152"/>
      <c r="DF365" s="152"/>
      <c r="DG365" s="152"/>
      <c r="DH365" s="152"/>
      <c r="DI365" s="152"/>
      <c r="DJ365" s="152"/>
      <c r="DK365" s="152"/>
      <c r="DL365" s="152"/>
    </row>
    <row r="366" spans="1:116" ht="15" thickTop="1" x14ac:dyDescent="0.2">
      <c r="A366" s="169"/>
      <c r="B366" s="995"/>
      <c r="C366" s="99" t="str">
        <f>C297</f>
        <v>Summe Betriebskosten I</v>
      </c>
      <c r="D366" s="100" t="e">
        <f t="shared" ref="D366:O366" si="387">SUM(D306:D365)/2</f>
        <v>#REF!</v>
      </c>
      <c r="E366" s="100">
        <f t="shared" si="387"/>
        <v>0</v>
      </c>
      <c r="F366" s="100">
        <f t="shared" si="387"/>
        <v>0</v>
      </c>
      <c r="G366" s="100">
        <f t="shared" si="387"/>
        <v>0</v>
      </c>
      <c r="H366" s="100">
        <f t="shared" si="387"/>
        <v>0</v>
      </c>
      <c r="I366" s="100">
        <f t="shared" si="387"/>
        <v>0</v>
      </c>
      <c r="J366" s="100">
        <f t="shared" si="387"/>
        <v>0</v>
      </c>
      <c r="K366" s="100">
        <f t="shared" si="387"/>
        <v>0</v>
      </c>
      <c r="L366" s="100">
        <f t="shared" si="387"/>
        <v>0</v>
      </c>
      <c r="M366" s="100">
        <f t="shared" si="387"/>
        <v>0</v>
      </c>
      <c r="N366" s="100">
        <f t="shared" si="387"/>
        <v>0</v>
      </c>
      <c r="O366" s="100">
        <f t="shared" si="387"/>
        <v>0</v>
      </c>
      <c r="P366" s="999" t="e">
        <f>SUM(P305:P365)/2</f>
        <v>#REF!</v>
      </c>
      <c r="Q366" s="1572"/>
      <c r="S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CV366" s="68"/>
      <c r="CW366" s="68"/>
      <c r="CX366" s="152"/>
      <c r="CY366" s="152"/>
      <c r="CZ366" s="152"/>
      <c r="DA366" s="34"/>
      <c r="DB366" s="34"/>
      <c r="DC366" s="34"/>
      <c r="DD366" s="34"/>
      <c r="DE366" s="152"/>
      <c r="DF366" s="152"/>
      <c r="DG366" s="152"/>
      <c r="DH366" s="152"/>
      <c r="DI366" s="152"/>
      <c r="DJ366" s="152"/>
      <c r="DK366" s="152"/>
      <c r="DL366" s="152"/>
    </row>
    <row r="367" spans="1:116" ht="15" thickBot="1" x14ac:dyDescent="0.25">
      <c r="A367" s="169"/>
      <c r="B367" s="172"/>
      <c r="C367" s="102" t="str">
        <f>C298</f>
        <v>Abschreibungen (aus "3 Anschaffungen|Investment")</v>
      </c>
      <c r="D367" s="103">
        <f>D136</f>
        <v>0</v>
      </c>
      <c r="E367" s="103">
        <f t="shared" ref="E367:O367" si="388">E136*POWER((1+$A367),$D$234)</f>
        <v>0</v>
      </c>
      <c r="F367" s="103">
        <f t="shared" si="388"/>
        <v>0</v>
      </c>
      <c r="G367" s="103">
        <f t="shared" si="388"/>
        <v>0</v>
      </c>
      <c r="H367" s="103">
        <f t="shared" si="388"/>
        <v>0</v>
      </c>
      <c r="I367" s="103">
        <f t="shared" si="388"/>
        <v>0</v>
      </c>
      <c r="J367" s="103">
        <f t="shared" si="388"/>
        <v>0</v>
      </c>
      <c r="K367" s="103">
        <f t="shared" si="388"/>
        <v>0</v>
      </c>
      <c r="L367" s="103">
        <f t="shared" si="388"/>
        <v>0</v>
      </c>
      <c r="M367" s="103">
        <f t="shared" si="388"/>
        <v>0</v>
      </c>
      <c r="N367" s="103">
        <f t="shared" si="388"/>
        <v>0</v>
      </c>
      <c r="O367" s="103">
        <f t="shared" si="388"/>
        <v>0</v>
      </c>
      <c r="P367" s="104">
        <f>P136</f>
        <v>0</v>
      </c>
      <c r="Q367" s="1575"/>
      <c r="S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CV367" s="68"/>
      <c r="CW367" s="68"/>
      <c r="CX367" s="152"/>
      <c r="CY367" s="152"/>
      <c r="CZ367" s="152"/>
      <c r="DA367" s="34"/>
      <c r="DB367" s="34"/>
      <c r="DC367" s="34"/>
      <c r="DD367" s="34"/>
      <c r="DE367" s="152"/>
      <c r="DF367" s="152"/>
      <c r="DG367" s="152"/>
      <c r="DH367" s="152"/>
      <c r="DI367" s="152"/>
      <c r="DJ367" s="152"/>
      <c r="DK367" s="152"/>
      <c r="DL367" s="152"/>
    </row>
    <row r="368" spans="1:116" ht="15.75" thickTop="1" thickBot="1" x14ac:dyDescent="0.25">
      <c r="A368" s="169"/>
      <c r="B368" s="996"/>
      <c r="C368" s="106" t="str">
        <f>C299</f>
        <v>Summe Betriebskosten II</v>
      </c>
      <c r="D368" s="107" t="e">
        <f>SUM(D366:D367)</f>
        <v>#REF!</v>
      </c>
      <c r="E368" s="107">
        <f>SUM(E366:E367)</f>
        <v>0</v>
      </c>
      <c r="F368" s="107">
        <f>SUM(F366:F367)</f>
        <v>0</v>
      </c>
      <c r="G368" s="107">
        <f t="shared" ref="G368:P368" si="389">SUM(G366:G367)</f>
        <v>0</v>
      </c>
      <c r="H368" s="107">
        <f t="shared" si="389"/>
        <v>0</v>
      </c>
      <c r="I368" s="107">
        <f t="shared" si="389"/>
        <v>0</v>
      </c>
      <c r="J368" s="107">
        <f t="shared" si="389"/>
        <v>0</v>
      </c>
      <c r="K368" s="107">
        <f t="shared" si="389"/>
        <v>0</v>
      </c>
      <c r="L368" s="107">
        <f t="shared" si="389"/>
        <v>0</v>
      </c>
      <c r="M368" s="107">
        <f t="shared" si="389"/>
        <v>0</v>
      </c>
      <c r="N368" s="107">
        <f t="shared" si="389"/>
        <v>0</v>
      </c>
      <c r="O368" s="107">
        <f t="shared" si="389"/>
        <v>0</v>
      </c>
      <c r="P368" s="108" t="e">
        <f t="shared" si="389"/>
        <v>#REF!</v>
      </c>
      <c r="Q368" s="1572"/>
      <c r="S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CV368" s="68"/>
      <c r="CW368" s="68"/>
      <c r="CX368" s="152"/>
      <c r="CY368" s="152"/>
      <c r="CZ368" s="152"/>
      <c r="DA368" s="34"/>
      <c r="DB368" s="34"/>
      <c r="DC368" s="34"/>
      <c r="DD368" s="34"/>
      <c r="DE368" s="152"/>
      <c r="DF368" s="152"/>
      <c r="DG368" s="152"/>
      <c r="DH368" s="152"/>
      <c r="DI368" s="152"/>
      <c r="DJ368" s="152"/>
      <c r="DK368" s="152"/>
      <c r="DL368" s="152"/>
    </row>
    <row r="369" spans="1:121" s="35" customFormat="1" x14ac:dyDescent="0.2">
      <c r="A369" s="129"/>
      <c r="C369" s="33" t="str">
        <f>C70</f>
        <v>*) wird aus Tabelle "7 Finanzierung|Financing" übernommen (auf ganze Euro gerundet!)</v>
      </c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565"/>
      <c r="R369" s="1097"/>
      <c r="CU369" s="875"/>
      <c r="CV369" s="68"/>
      <c r="CW369" s="68"/>
      <c r="CX369" s="152"/>
      <c r="CY369" s="152"/>
      <c r="CZ369" s="152"/>
      <c r="DA369" s="34"/>
      <c r="DB369" s="34"/>
      <c r="DC369" s="34"/>
      <c r="DD369" s="34"/>
      <c r="DE369" s="152"/>
      <c r="DF369" s="152"/>
      <c r="DG369" s="152"/>
      <c r="DH369" s="152"/>
      <c r="DI369" s="152"/>
      <c r="DJ369" s="152"/>
      <c r="DK369" s="152"/>
      <c r="DL369" s="152"/>
      <c r="DM369" s="152"/>
      <c r="DN369" s="152"/>
      <c r="DO369" s="152"/>
      <c r="DP369" s="152"/>
      <c r="DQ369" s="152"/>
    </row>
    <row r="370" spans="1:121" s="35" customFormat="1" x14ac:dyDescent="0.2">
      <c r="A370" s="129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565"/>
      <c r="R370" s="1097"/>
      <c r="CU370" s="875"/>
      <c r="CV370" s="68"/>
      <c r="CW370" s="68"/>
      <c r="CX370" s="152"/>
      <c r="CY370" s="152"/>
      <c r="CZ370" s="152"/>
      <c r="DA370" s="34"/>
      <c r="DB370" s="34"/>
      <c r="DC370" s="34"/>
      <c r="DD370" s="34"/>
      <c r="DE370" s="152"/>
      <c r="DF370" s="152"/>
      <c r="DG370" s="152"/>
      <c r="DH370" s="152"/>
      <c r="DI370" s="152"/>
      <c r="DJ370" s="152"/>
      <c r="DK370" s="152"/>
      <c r="DL370" s="152"/>
      <c r="DM370" s="152"/>
      <c r="DN370" s="152"/>
      <c r="DO370" s="152"/>
      <c r="DP370" s="152"/>
      <c r="DQ370" s="152"/>
    </row>
    <row r="371" spans="1:121" s="35" customFormat="1" ht="24.75" x14ac:dyDescent="0.2">
      <c r="A371" s="129"/>
      <c r="B371" s="41" t="str">
        <f ca="1">IF($C$2="English",CV371,CU371)</f>
        <v xml:space="preserve">4d Betriebskosten für die Jahre 2019 - 2023 in EUR  (mit MwSt) </v>
      </c>
      <c r="D371" s="148"/>
      <c r="E371" s="148"/>
      <c r="F371" s="148"/>
      <c r="G371" s="148"/>
      <c r="H371" s="148"/>
      <c r="I371" s="149"/>
      <c r="J371" s="149"/>
      <c r="K371" s="149"/>
      <c r="L371" s="149"/>
      <c r="M371" s="149"/>
      <c r="N371" s="149"/>
      <c r="O371" s="149"/>
      <c r="P371" s="149"/>
      <c r="Q371" s="1565"/>
      <c r="R371" s="1097"/>
      <c r="CU371" s="903" t="str">
        <f ca="1">"4d Betriebskosten für die Jahre " &amp;'1 Pers.Ausgaben|Pers Expenses'!$C$4&amp; " - " &amp; '1 Pers.Ausgaben|Pers Expenses'!$C$4+4 &amp;" in EUR" &amp; "  (" &amp; 'Deckblatt Gruender|Data Founder'!$J$2&amp; ") "</f>
        <v xml:space="preserve">4d Betriebskosten für die Jahre 2019 - 2023 in EUR  (mit MwSt) </v>
      </c>
      <c r="CV371" s="875" t="str">
        <f ca="1">"4d Operating Expense for Years  " &amp;'1 Pers.Ausgaben|Pers Expenses'!$C$4&amp; " - " &amp; '1 Pers.Ausgaben|Pers Expenses'!$C$4+4 &amp;" in EUR" &amp; "  (" &amp; 'Deckblatt Gruender|Data Founder'!$K$2&amp; ") "</f>
        <v xml:space="preserve">4d Operating Expense for Years  2019 - 2023 in EUR  (incl VAT) </v>
      </c>
      <c r="CW371" s="68"/>
      <c r="CX371" s="152"/>
      <c r="CY371" s="152"/>
      <c r="CZ371" s="152"/>
      <c r="DA371" s="34"/>
      <c r="DB371" s="34"/>
      <c r="DC371" s="34"/>
      <c r="DD371" s="34"/>
      <c r="DE371" s="152"/>
      <c r="DF371" s="152"/>
      <c r="DG371" s="152"/>
      <c r="DH371" s="152"/>
      <c r="DI371" s="152"/>
      <c r="DJ371" s="152"/>
      <c r="DK371" s="152"/>
      <c r="DL371" s="152"/>
      <c r="DM371" s="152"/>
      <c r="DN371" s="152"/>
      <c r="DO371" s="152"/>
      <c r="DP371" s="152"/>
      <c r="DQ371" s="152"/>
    </row>
    <row r="372" spans="1:121" s="35" customFormat="1" ht="15" thickBot="1" x14ac:dyDescent="0.25">
      <c r="A372" s="129"/>
      <c r="B372" s="155" t="str">
        <f>B234</f>
        <v/>
      </c>
      <c r="C372" s="36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565"/>
      <c r="R372" s="1097"/>
      <c r="CU372" s="875"/>
      <c r="CV372" s="68"/>
      <c r="CW372" s="68"/>
      <c r="CX372" s="152"/>
      <c r="CY372" s="152"/>
      <c r="CZ372" s="152"/>
      <c r="DA372" s="34"/>
      <c r="DB372" s="34"/>
      <c r="DC372" s="34"/>
      <c r="DD372" s="34"/>
      <c r="DE372" s="152"/>
      <c r="DF372" s="152"/>
      <c r="DG372" s="152"/>
      <c r="DH372" s="152"/>
      <c r="DI372" s="152"/>
      <c r="DJ372" s="152"/>
      <c r="DK372" s="152"/>
      <c r="DL372" s="152"/>
      <c r="DM372" s="152"/>
      <c r="DN372" s="152"/>
      <c r="DO372" s="152"/>
      <c r="DP372" s="152"/>
      <c r="DQ372" s="152"/>
    </row>
    <row r="373" spans="1:121" ht="15" thickBot="1" x14ac:dyDescent="0.25">
      <c r="A373" s="129"/>
      <c r="B373" s="51" t="str">
        <f>B5</f>
        <v>No.</v>
      </c>
      <c r="C373" s="52" t="str">
        <f>C304</f>
        <v>Kostenart</v>
      </c>
      <c r="D373" s="53">
        <f ca="1">'1 Pers.Ausgaben|Pers Expenses'!C4</f>
        <v>2019</v>
      </c>
      <c r="E373" s="53">
        <f ca="1">D373+1</f>
        <v>2020</v>
      </c>
      <c r="F373" s="53">
        <f ca="1">E373+1</f>
        <v>2021</v>
      </c>
      <c r="G373" s="53">
        <f ca="1">F373+1</f>
        <v>2022</v>
      </c>
      <c r="H373" s="53">
        <f ca="1">G373+1</f>
        <v>2023</v>
      </c>
      <c r="I373" s="161"/>
      <c r="J373" s="162"/>
      <c r="K373" s="162"/>
      <c r="L373" s="162"/>
      <c r="M373" s="162"/>
      <c r="N373" s="162"/>
      <c r="O373" s="162"/>
      <c r="P373" s="162"/>
      <c r="Q373" s="1573"/>
      <c r="S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CV373" s="68"/>
      <c r="CW373" s="68"/>
      <c r="CX373" s="152"/>
      <c r="CY373" s="152"/>
      <c r="CZ373" s="152"/>
      <c r="DA373" s="34"/>
      <c r="DB373" s="34"/>
      <c r="DC373" s="34"/>
      <c r="DD373" s="34"/>
      <c r="DE373" s="152"/>
      <c r="DF373" s="152"/>
      <c r="DG373" s="152"/>
      <c r="DH373" s="152"/>
      <c r="DI373" s="152"/>
      <c r="DJ373" s="152"/>
      <c r="DK373" s="152"/>
      <c r="DL373" s="152"/>
    </row>
    <row r="374" spans="1:121" x14ac:dyDescent="0.2">
      <c r="A374" s="168"/>
      <c r="B374" s="991">
        <v>1</v>
      </c>
      <c r="C374" s="63" t="str">
        <f t="shared" ref="C374:C405" si="390">C6</f>
        <v>Bürokosten</v>
      </c>
      <c r="D374" s="64"/>
      <c r="E374" s="64"/>
      <c r="F374" s="64"/>
      <c r="G374" s="64"/>
      <c r="H374" s="64"/>
      <c r="I374" s="163"/>
      <c r="J374" s="148"/>
      <c r="K374" s="148"/>
      <c r="L374" s="148"/>
      <c r="M374" s="148"/>
      <c r="N374" s="148"/>
      <c r="O374" s="148"/>
      <c r="P374" s="148"/>
      <c r="S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CV374" s="68"/>
      <c r="CW374" s="68"/>
      <c r="CX374" s="152"/>
      <c r="CY374" s="152"/>
      <c r="CZ374" s="152"/>
      <c r="DA374" s="34"/>
      <c r="DB374" s="34"/>
      <c r="DC374" s="34"/>
      <c r="DD374" s="34"/>
      <c r="DE374" s="152"/>
      <c r="DF374" s="152"/>
      <c r="DG374" s="152"/>
      <c r="DH374" s="152"/>
      <c r="DI374" s="152"/>
      <c r="DJ374" s="152"/>
      <c r="DK374" s="152"/>
      <c r="DL374" s="152"/>
    </row>
    <row r="375" spans="1:121" x14ac:dyDescent="0.2">
      <c r="A375" s="169">
        <f>A306</f>
        <v>0.19</v>
      </c>
      <c r="B375" s="992">
        <f>B237</f>
        <v>0.19</v>
      </c>
      <c r="C375" s="73" t="str">
        <f t="shared" si="390"/>
        <v>Raummiete</v>
      </c>
      <c r="D375" s="134">
        <f t="shared" ref="D375:H380" si="391">D155*POWER((1+$A375),$D$234)</f>
        <v>0</v>
      </c>
      <c r="E375" s="134">
        <f t="shared" si="391"/>
        <v>0</v>
      </c>
      <c r="F375" s="134">
        <f t="shared" si="391"/>
        <v>0</v>
      </c>
      <c r="G375" s="134">
        <f t="shared" si="391"/>
        <v>0</v>
      </c>
      <c r="H375" s="134">
        <f t="shared" si="391"/>
        <v>0</v>
      </c>
      <c r="I375" s="163"/>
      <c r="J375" s="148"/>
      <c r="K375" s="148"/>
      <c r="L375" s="148"/>
      <c r="M375" s="148"/>
      <c r="N375" s="148"/>
      <c r="O375" s="148"/>
      <c r="P375" s="148"/>
      <c r="S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CV375" s="68"/>
      <c r="CW375" s="68"/>
      <c r="CX375" s="152"/>
      <c r="CY375" s="152"/>
      <c r="CZ375" s="152"/>
      <c r="DA375" s="34"/>
      <c r="DB375" s="34"/>
      <c r="DC375" s="34"/>
      <c r="DD375" s="34"/>
      <c r="DE375" s="152"/>
      <c r="DF375" s="152"/>
      <c r="DG375" s="152"/>
      <c r="DH375" s="152"/>
      <c r="DI375" s="152"/>
      <c r="DJ375" s="152"/>
      <c r="DK375" s="152"/>
      <c r="DL375" s="152"/>
    </row>
    <row r="376" spans="1:121" x14ac:dyDescent="0.2">
      <c r="A376" s="169">
        <f t="shared" ref="A376:A433" si="392">A307</f>
        <v>0.19</v>
      </c>
      <c r="B376" s="992">
        <f t="shared" ref="B376:B433" si="393">B238</f>
        <v>0.19</v>
      </c>
      <c r="C376" s="73" t="str">
        <f t="shared" si="390"/>
        <v>Strom, Wasser, Heizung, sonst. Nebenkosten</v>
      </c>
      <c r="D376" s="134">
        <f t="shared" si="391"/>
        <v>0</v>
      </c>
      <c r="E376" s="134">
        <f t="shared" si="391"/>
        <v>0</v>
      </c>
      <c r="F376" s="134">
        <f t="shared" si="391"/>
        <v>0</v>
      </c>
      <c r="G376" s="134">
        <f t="shared" si="391"/>
        <v>0</v>
      </c>
      <c r="H376" s="134">
        <f>H156*POWER((1+$A376),$D$234)</f>
        <v>0</v>
      </c>
      <c r="I376" s="163"/>
      <c r="J376" s="148"/>
      <c r="K376" s="148"/>
      <c r="L376" s="148"/>
      <c r="M376" s="148"/>
      <c r="N376" s="148"/>
      <c r="O376" s="148"/>
      <c r="P376" s="148"/>
      <c r="S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CV376" s="68"/>
      <c r="CW376" s="68"/>
      <c r="CX376" s="152"/>
      <c r="CY376" s="152"/>
      <c r="CZ376" s="152"/>
      <c r="DA376" s="34"/>
      <c r="DB376" s="34"/>
      <c r="DC376" s="34"/>
      <c r="DD376" s="34"/>
      <c r="DE376" s="152"/>
      <c r="DF376" s="152"/>
      <c r="DG376" s="152"/>
      <c r="DH376" s="152"/>
      <c r="DI376" s="152"/>
      <c r="DJ376" s="152"/>
      <c r="DK376" s="152"/>
      <c r="DL376" s="152"/>
    </row>
    <row r="377" spans="1:121" x14ac:dyDescent="0.2">
      <c r="A377" s="169">
        <f t="shared" si="392"/>
        <v>0.19</v>
      </c>
      <c r="B377" s="992">
        <f t="shared" si="393"/>
        <v>0.19</v>
      </c>
      <c r="C377" s="73" t="str">
        <f t="shared" si="390"/>
        <v>Telefon, Fax, Internet, Porto</v>
      </c>
      <c r="D377" s="134">
        <f t="shared" si="391"/>
        <v>0</v>
      </c>
      <c r="E377" s="134">
        <f t="shared" si="391"/>
        <v>0</v>
      </c>
      <c r="F377" s="134">
        <f t="shared" si="391"/>
        <v>0</v>
      </c>
      <c r="G377" s="134">
        <f t="shared" si="391"/>
        <v>0</v>
      </c>
      <c r="H377" s="134">
        <f>H157*POWER((1+$A377),$D$234)</f>
        <v>0</v>
      </c>
      <c r="I377" s="163"/>
      <c r="J377" s="148"/>
      <c r="K377" s="148"/>
      <c r="L377" s="148"/>
      <c r="M377" s="148"/>
      <c r="N377" s="148"/>
      <c r="O377" s="148"/>
      <c r="P377" s="148"/>
      <c r="S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CV377" s="68"/>
      <c r="CW377" s="68"/>
      <c r="CX377" s="152"/>
      <c r="CY377" s="152"/>
      <c r="CZ377" s="152"/>
      <c r="DA377" s="34"/>
      <c r="DB377" s="34"/>
      <c r="DC377" s="34"/>
      <c r="DD377" s="34"/>
      <c r="DE377" s="152"/>
      <c r="DF377" s="152"/>
      <c r="DG377" s="152"/>
      <c r="DH377" s="152"/>
      <c r="DI377" s="152"/>
      <c r="DJ377" s="152"/>
      <c r="DK377" s="152"/>
      <c r="DL377" s="152"/>
    </row>
    <row r="378" spans="1:121" x14ac:dyDescent="0.2">
      <c r="A378" s="169">
        <f t="shared" si="392"/>
        <v>0.19</v>
      </c>
      <c r="B378" s="992">
        <f t="shared" si="393"/>
        <v>0.19</v>
      </c>
      <c r="C378" s="73" t="str">
        <f t="shared" si="390"/>
        <v>Geringw. Wirtschaftsgüter (Büromöbel, Einrichtungen,...)</v>
      </c>
      <c r="D378" s="134">
        <f t="shared" si="391"/>
        <v>0</v>
      </c>
      <c r="E378" s="134">
        <f t="shared" si="391"/>
        <v>0</v>
      </c>
      <c r="F378" s="134">
        <f t="shared" si="391"/>
        <v>0</v>
      </c>
      <c r="G378" s="134">
        <f t="shared" si="391"/>
        <v>0</v>
      </c>
      <c r="H378" s="134">
        <f>H158*POWER((1+$A378),$D$234)</f>
        <v>0</v>
      </c>
      <c r="I378" s="163"/>
      <c r="J378" s="148"/>
      <c r="K378" s="148"/>
      <c r="L378" s="148"/>
      <c r="M378" s="148"/>
      <c r="N378" s="148"/>
      <c r="O378" s="148"/>
      <c r="P378" s="148"/>
      <c r="S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CV378" s="68"/>
      <c r="CW378" s="68"/>
      <c r="CX378" s="152"/>
      <c r="CY378" s="152"/>
      <c r="CZ378" s="152"/>
      <c r="DA378" s="34"/>
      <c r="DB378" s="34"/>
      <c r="DC378" s="34"/>
      <c r="DD378" s="34"/>
      <c r="DE378" s="152"/>
      <c r="DF378" s="152"/>
      <c r="DG378" s="152"/>
      <c r="DH378" s="152"/>
      <c r="DI378" s="152"/>
      <c r="DJ378" s="152"/>
      <c r="DK378" s="152"/>
      <c r="DL378" s="152"/>
    </row>
    <row r="379" spans="1:121" x14ac:dyDescent="0.2">
      <c r="A379" s="169">
        <f t="shared" si="392"/>
        <v>0.19</v>
      </c>
      <c r="B379" s="992">
        <f t="shared" si="393"/>
        <v>0.19</v>
      </c>
      <c r="C379" s="73" t="str">
        <f t="shared" si="390"/>
        <v>IT (Lizenzen, Windows, Office, Wartung)</v>
      </c>
      <c r="D379" s="134">
        <f t="shared" si="391"/>
        <v>0</v>
      </c>
      <c r="E379" s="134">
        <f t="shared" si="391"/>
        <v>0</v>
      </c>
      <c r="F379" s="134">
        <f t="shared" si="391"/>
        <v>0</v>
      </c>
      <c r="G379" s="134">
        <f t="shared" si="391"/>
        <v>0</v>
      </c>
      <c r="H379" s="134">
        <f t="shared" si="391"/>
        <v>0</v>
      </c>
      <c r="I379" s="163"/>
      <c r="J379" s="148"/>
      <c r="K379" s="148"/>
      <c r="L379" s="148"/>
      <c r="M379" s="148"/>
      <c r="N379" s="148"/>
      <c r="O379" s="148"/>
      <c r="P379" s="148"/>
      <c r="S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CV379" s="68"/>
      <c r="CW379" s="68"/>
      <c r="CX379" s="152"/>
      <c r="CY379" s="152"/>
      <c r="CZ379" s="152"/>
      <c r="DA379" s="34"/>
      <c r="DB379" s="34"/>
      <c r="DC379" s="34"/>
      <c r="DD379" s="34"/>
      <c r="DE379" s="152"/>
      <c r="DF379" s="152"/>
      <c r="DG379" s="152"/>
      <c r="DH379" s="152"/>
      <c r="DI379" s="152"/>
      <c r="DJ379" s="152"/>
      <c r="DK379" s="152"/>
      <c r="DL379" s="152"/>
    </row>
    <row r="380" spans="1:121" x14ac:dyDescent="0.2">
      <c r="A380" s="169">
        <f t="shared" si="392"/>
        <v>0.19</v>
      </c>
      <c r="B380" s="992">
        <f t="shared" si="393"/>
        <v>0.19</v>
      </c>
      <c r="C380" s="73" t="str">
        <f t="shared" si="390"/>
        <v>Sonstiges</v>
      </c>
      <c r="D380" s="880">
        <f t="shared" si="391"/>
        <v>0</v>
      </c>
      <c r="E380" s="880">
        <f t="shared" si="391"/>
        <v>0</v>
      </c>
      <c r="F380" s="880">
        <f t="shared" si="391"/>
        <v>0</v>
      </c>
      <c r="G380" s="880">
        <f t="shared" si="391"/>
        <v>0</v>
      </c>
      <c r="H380" s="880">
        <f t="shared" si="391"/>
        <v>0</v>
      </c>
      <c r="I380" s="163"/>
      <c r="J380" s="148"/>
      <c r="K380" s="148"/>
      <c r="L380" s="148"/>
      <c r="M380" s="148"/>
      <c r="N380" s="148"/>
      <c r="O380" s="148"/>
      <c r="P380" s="148"/>
      <c r="S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CV380" s="68"/>
      <c r="CW380" s="68"/>
      <c r="CX380" s="152"/>
      <c r="CY380" s="152"/>
      <c r="CZ380" s="152"/>
      <c r="DA380" s="34"/>
      <c r="DB380" s="34"/>
      <c r="DC380" s="34"/>
      <c r="DD380" s="34"/>
      <c r="DE380" s="152"/>
      <c r="DF380" s="152"/>
      <c r="DG380" s="152"/>
      <c r="DH380" s="152"/>
      <c r="DI380" s="152"/>
      <c r="DJ380" s="152"/>
      <c r="DK380" s="152"/>
      <c r="DL380" s="152"/>
    </row>
    <row r="381" spans="1:121" x14ac:dyDescent="0.2">
      <c r="A381" s="169"/>
      <c r="B381" s="993"/>
      <c r="C381" s="81" t="str">
        <f t="shared" si="390"/>
        <v>Summe Bürokosten</v>
      </c>
      <c r="D381" s="133">
        <f>SUM(D375:D380)</f>
        <v>0</v>
      </c>
      <c r="E381" s="133">
        <f>SUM(E375:E380)</f>
        <v>0</v>
      </c>
      <c r="F381" s="133">
        <f>SUM(F375:F380)</f>
        <v>0</v>
      </c>
      <c r="G381" s="133">
        <f>SUM(G375:G380)</f>
        <v>0</v>
      </c>
      <c r="H381" s="133">
        <f>SUM(H375:H380)</f>
        <v>0</v>
      </c>
      <c r="I381" s="163"/>
      <c r="J381" s="148"/>
      <c r="K381" s="148"/>
      <c r="L381" s="148"/>
      <c r="M381" s="148"/>
      <c r="N381" s="148"/>
      <c r="O381" s="148"/>
      <c r="P381" s="148"/>
      <c r="S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CV381" s="68"/>
      <c r="CW381" s="68"/>
      <c r="CX381" s="152"/>
      <c r="CY381" s="152"/>
      <c r="CZ381" s="152"/>
      <c r="DA381" s="34"/>
      <c r="DB381" s="34"/>
      <c r="DC381" s="34"/>
      <c r="DD381" s="34"/>
      <c r="DE381" s="152"/>
      <c r="DF381" s="152"/>
      <c r="DG381" s="152"/>
      <c r="DH381" s="152"/>
      <c r="DI381" s="152"/>
      <c r="DJ381" s="152"/>
      <c r="DK381" s="152"/>
      <c r="DL381" s="152"/>
    </row>
    <row r="382" spans="1:121" x14ac:dyDescent="0.2">
      <c r="A382" s="169"/>
      <c r="B382" s="991">
        <f t="shared" si="393"/>
        <v>2</v>
      </c>
      <c r="C382" s="86" t="str">
        <f t="shared" si="390"/>
        <v>Produktionskosten</v>
      </c>
      <c r="D382" s="87"/>
      <c r="E382" s="87"/>
      <c r="F382" s="87"/>
      <c r="G382" s="87"/>
      <c r="H382" s="87"/>
      <c r="I382" s="163"/>
      <c r="J382" s="148"/>
      <c r="K382" s="148"/>
      <c r="L382" s="148"/>
      <c r="M382" s="148"/>
      <c r="N382" s="148"/>
      <c r="O382" s="148"/>
      <c r="P382" s="148"/>
      <c r="S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CV382" s="68"/>
      <c r="CW382" s="68"/>
      <c r="CX382" s="152"/>
      <c r="CY382" s="152"/>
      <c r="CZ382" s="152"/>
      <c r="DA382" s="34"/>
      <c r="DB382" s="34"/>
      <c r="DC382" s="34"/>
      <c r="DD382" s="34"/>
      <c r="DE382" s="152"/>
      <c r="DF382" s="152"/>
      <c r="DG382" s="152"/>
      <c r="DH382" s="152"/>
      <c r="DI382" s="152"/>
      <c r="DJ382" s="152"/>
      <c r="DK382" s="152"/>
      <c r="DL382" s="152"/>
    </row>
    <row r="383" spans="1:121" x14ac:dyDescent="0.2">
      <c r="A383" s="169">
        <f t="shared" si="392"/>
        <v>0.19</v>
      </c>
      <c r="B383" s="992">
        <f t="shared" si="393"/>
        <v>0.19</v>
      </c>
      <c r="C383" s="73" t="str">
        <f t="shared" si="390"/>
        <v>Raummiete</v>
      </c>
      <c r="D383" s="134">
        <f t="shared" ref="D383:H390" si="394">D163*POWER((1+$A383),$D$234)</f>
        <v>0</v>
      </c>
      <c r="E383" s="134">
        <f t="shared" si="394"/>
        <v>0</v>
      </c>
      <c r="F383" s="134">
        <f t="shared" si="394"/>
        <v>0</v>
      </c>
      <c r="G383" s="134">
        <f t="shared" si="394"/>
        <v>0</v>
      </c>
      <c r="H383" s="134">
        <f t="shared" si="394"/>
        <v>0</v>
      </c>
      <c r="I383" s="163"/>
      <c r="J383" s="148"/>
      <c r="K383" s="148"/>
      <c r="L383" s="148"/>
      <c r="M383" s="148"/>
      <c r="N383" s="148"/>
      <c r="O383" s="148"/>
      <c r="P383" s="148"/>
      <c r="S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CV383" s="68"/>
      <c r="CW383" s="68"/>
      <c r="CX383" s="152"/>
      <c r="CY383" s="152"/>
      <c r="CZ383" s="152"/>
      <c r="DA383" s="34"/>
      <c r="DB383" s="34"/>
      <c r="DC383" s="34"/>
      <c r="DD383" s="34"/>
      <c r="DE383" s="152"/>
      <c r="DF383" s="152"/>
      <c r="DG383" s="152"/>
      <c r="DH383" s="152"/>
      <c r="DI383" s="152"/>
      <c r="DJ383" s="152"/>
      <c r="DK383" s="152"/>
      <c r="DL383" s="152"/>
    </row>
    <row r="384" spans="1:121" x14ac:dyDescent="0.2">
      <c r="A384" s="169">
        <f t="shared" si="392"/>
        <v>0.19</v>
      </c>
      <c r="B384" s="992">
        <f t="shared" si="393"/>
        <v>0.19</v>
      </c>
      <c r="C384" s="73" t="str">
        <f t="shared" si="390"/>
        <v>Strom, Wasser, Heizung, sonst. Nebenkosten</v>
      </c>
      <c r="D384" s="134">
        <f t="shared" si="394"/>
        <v>0</v>
      </c>
      <c r="E384" s="134">
        <f t="shared" si="394"/>
        <v>0</v>
      </c>
      <c r="F384" s="134">
        <f t="shared" si="394"/>
        <v>0</v>
      </c>
      <c r="G384" s="134">
        <f t="shared" si="394"/>
        <v>0</v>
      </c>
      <c r="H384" s="134">
        <f t="shared" si="394"/>
        <v>0</v>
      </c>
      <c r="I384" s="163"/>
      <c r="J384" s="148"/>
      <c r="K384" s="148"/>
      <c r="L384" s="148"/>
      <c r="M384" s="148"/>
      <c r="N384" s="148"/>
      <c r="O384" s="148"/>
      <c r="P384" s="148"/>
      <c r="S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CV384" s="68"/>
      <c r="CW384" s="68"/>
      <c r="CX384" s="152"/>
      <c r="CY384" s="152"/>
      <c r="CZ384" s="152"/>
      <c r="DA384" s="34"/>
      <c r="DB384" s="34"/>
      <c r="DC384" s="34"/>
      <c r="DD384" s="34"/>
      <c r="DE384" s="152"/>
      <c r="DF384" s="152"/>
      <c r="DG384" s="152"/>
      <c r="DH384" s="152"/>
      <c r="DI384" s="152"/>
      <c r="DJ384" s="152"/>
      <c r="DK384" s="152"/>
      <c r="DL384" s="152"/>
    </row>
    <row r="385" spans="1:116" x14ac:dyDescent="0.2">
      <c r="A385" s="169">
        <f t="shared" si="392"/>
        <v>0.19</v>
      </c>
      <c r="B385" s="992">
        <f t="shared" si="393"/>
        <v>0.19</v>
      </c>
      <c r="C385" s="73" t="str">
        <f t="shared" si="390"/>
        <v>Materialaufwand zur Produktion (19%)</v>
      </c>
      <c r="D385" s="134">
        <f t="shared" si="394"/>
        <v>0</v>
      </c>
      <c r="E385" s="134">
        <f t="shared" si="394"/>
        <v>0</v>
      </c>
      <c r="F385" s="134">
        <f t="shared" si="394"/>
        <v>0</v>
      </c>
      <c r="G385" s="134">
        <f t="shared" si="394"/>
        <v>0</v>
      </c>
      <c r="H385" s="134">
        <f t="shared" si="394"/>
        <v>0</v>
      </c>
      <c r="I385" s="163"/>
      <c r="J385" s="148"/>
      <c r="K385" s="148"/>
      <c r="L385" s="148"/>
      <c r="M385" s="148"/>
      <c r="N385" s="148"/>
      <c r="O385" s="148"/>
      <c r="P385" s="148"/>
      <c r="S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CV385" s="68"/>
      <c r="CW385" s="68"/>
      <c r="CX385" s="152"/>
      <c r="CY385" s="152"/>
      <c r="CZ385" s="152"/>
      <c r="DA385" s="34"/>
      <c r="DB385" s="34"/>
      <c r="DC385" s="34"/>
      <c r="DD385" s="34"/>
      <c r="DE385" s="152"/>
      <c r="DF385" s="152"/>
      <c r="DG385" s="152"/>
      <c r="DH385" s="152"/>
      <c r="DI385" s="152"/>
      <c r="DJ385" s="152"/>
      <c r="DK385" s="152"/>
      <c r="DL385" s="152"/>
    </row>
    <row r="386" spans="1:116" x14ac:dyDescent="0.2">
      <c r="A386" s="169">
        <f t="shared" si="392"/>
        <v>7.0000000000000007E-2</v>
      </c>
      <c r="B386" s="992">
        <f t="shared" si="393"/>
        <v>7.0000000000000007E-2</v>
      </c>
      <c r="C386" s="73" t="str">
        <f t="shared" si="390"/>
        <v>Materialaufwand zur Produktion (7%)</v>
      </c>
      <c r="D386" s="134">
        <f t="shared" si="394"/>
        <v>0</v>
      </c>
      <c r="E386" s="134">
        <f t="shared" si="394"/>
        <v>0</v>
      </c>
      <c r="F386" s="134">
        <f t="shared" si="394"/>
        <v>0</v>
      </c>
      <c r="G386" s="134">
        <f t="shared" si="394"/>
        <v>0</v>
      </c>
      <c r="H386" s="134">
        <f t="shared" si="394"/>
        <v>0</v>
      </c>
      <c r="I386" s="163"/>
      <c r="J386" s="148"/>
      <c r="K386" s="148"/>
      <c r="L386" s="148"/>
      <c r="M386" s="148"/>
      <c r="N386" s="148"/>
      <c r="O386" s="148"/>
      <c r="P386" s="148"/>
      <c r="S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CV386" s="68"/>
      <c r="CW386" s="68"/>
      <c r="CX386" s="152"/>
      <c r="CY386" s="152"/>
      <c r="CZ386" s="152"/>
      <c r="DA386" s="34"/>
      <c r="DB386" s="34"/>
      <c r="DC386" s="34"/>
      <c r="DD386" s="34"/>
      <c r="DE386" s="152"/>
      <c r="DF386" s="152"/>
      <c r="DG386" s="152"/>
      <c r="DH386" s="152"/>
      <c r="DI386" s="152"/>
      <c r="DJ386" s="152"/>
      <c r="DK386" s="152"/>
      <c r="DL386" s="152"/>
    </row>
    <row r="387" spans="1:116" x14ac:dyDescent="0.2">
      <c r="A387" s="169">
        <f t="shared" si="392"/>
        <v>0.19</v>
      </c>
      <c r="B387" s="992">
        <f t="shared" si="393"/>
        <v>0.19</v>
      </c>
      <c r="C387" s="73" t="str">
        <f t="shared" si="390"/>
        <v>Produktionsbedarf, geringwertige Wirtschaftsgüter</v>
      </c>
      <c r="D387" s="134">
        <f t="shared" si="394"/>
        <v>0</v>
      </c>
      <c r="E387" s="134">
        <f t="shared" si="394"/>
        <v>0</v>
      </c>
      <c r="F387" s="134">
        <f t="shared" si="394"/>
        <v>0</v>
      </c>
      <c r="G387" s="134">
        <f t="shared" si="394"/>
        <v>0</v>
      </c>
      <c r="H387" s="134">
        <f t="shared" si="394"/>
        <v>0</v>
      </c>
      <c r="I387" s="163"/>
      <c r="J387" s="148"/>
      <c r="K387" s="148"/>
      <c r="L387" s="148"/>
      <c r="M387" s="148"/>
      <c r="N387" s="148"/>
      <c r="O387" s="148"/>
      <c r="P387" s="148"/>
      <c r="S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CV387" s="68"/>
      <c r="CW387" s="68"/>
      <c r="CX387" s="152"/>
      <c r="CY387" s="152"/>
      <c r="CZ387" s="152"/>
      <c r="DA387" s="34"/>
      <c r="DB387" s="34"/>
      <c r="DC387" s="34"/>
      <c r="DD387" s="34"/>
      <c r="DE387" s="152"/>
      <c r="DF387" s="152"/>
      <c r="DG387" s="152"/>
      <c r="DH387" s="152"/>
      <c r="DI387" s="152"/>
      <c r="DJ387" s="152"/>
      <c r="DK387" s="152"/>
      <c r="DL387" s="152"/>
    </row>
    <row r="388" spans="1:116" x14ac:dyDescent="0.2">
      <c r="A388" s="169">
        <f t="shared" si="392"/>
        <v>0.19</v>
      </c>
      <c r="B388" s="992">
        <f t="shared" si="393"/>
        <v>0.19</v>
      </c>
      <c r="C388" s="73" t="str">
        <f t="shared" si="390"/>
        <v>Leasingraten für Produktionsanlagen, -maschinen</v>
      </c>
      <c r="D388" s="134">
        <f t="shared" si="394"/>
        <v>0</v>
      </c>
      <c r="E388" s="134">
        <f t="shared" si="394"/>
        <v>0</v>
      </c>
      <c r="F388" s="134">
        <f t="shared" si="394"/>
        <v>0</v>
      </c>
      <c r="G388" s="134">
        <f t="shared" si="394"/>
        <v>0</v>
      </c>
      <c r="H388" s="134">
        <f t="shared" si="394"/>
        <v>0</v>
      </c>
      <c r="I388" s="163"/>
      <c r="J388" s="148"/>
      <c r="K388" s="148"/>
      <c r="L388" s="148"/>
      <c r="M388" s="148"/>
      <c r="N388" s="148"/>
      <c r="O388" s="148"/>
      <c r="P388" s="148"/>
      <c r="S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CV388" s="68"/>
      <c r="CW388" s="68"/>
      <c r="CX388" s="152"/>
      <c r="CY388" s="152"/>
      <c r="CZ388" s="152"/>
      <c r="DA388" s="34"/>
      <c r="DB388" s="34"/>
      <c r="DC388" s="34"/>
      <c r="DD388" s="34"/>
      <c r="DE388" s="152"/>
      <c r="DF388" s="152"/>
      <c r="DG388" s="152"/>
      <c r="DH388" s="152"/>
      <c r="DI388" s="152"/>
      <c r="DJ388" s="152"/>
      <c r="DK388" s="152"/>
      <c r="DL388" s="152"/>
    </row>
    <row r="389" spans="1:116" x14ac:dyDescent="0.2">
      <c r="A389" s="169">
        <f t="shared" si="392"/>
        <v>0.19</v>
      </c>
      <c r="B389" s="992">
        <f t="shared" si="393"/>
        <v>0.19</v>
      </c>
      <c r="C389" s="73" t="str">
        <f t="shared" si="390"/>
        <v>Instandhaltung und Reparaturen</v>
      </c>
      <c r="D389" s="134">
        <f t="shared" si="394"/>
        <v>0</v>
      </c>
      <c r="E389" s="134">
        <f t="shared" si="394"/>
        <v>0</v>
      </c>
      <c r="F389" s="134">
        <f t="shared" si="394"/>
        <v>0</v>
      </c>
      <c r="G389" s="134">
        <f t="shared" si="394"/>
        <v>0</v>
      </c>
      <c r="H389" s="134">
        <f t="shared" si="394"/>
        <v>0</v>
      </c>
      <c r="I389" s="163"/>
      <c r="J389" s="148"/>
      <c r="K389" s="148"/>
      <c r="L389" s="148"/>
      <c r="M389" s="148"/>
      <c r="N389" s="148"/>
      <c r="O389" s="148"/>
      <c r="P389" s="148"/>
      <c r="S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CV389" s="68"/>
      <c r="CW389" s="68"/>
      <c r="CX389" s="152"/>
      <c r="CY389" s="152"/>
      <c r="CZ389" s="152"/>
      <c r="DA389" s="34"/>
      <c r="DB389" s="34"/>
      <c r="DC389" s="34"/>
      <c r="DD389" s="34"/>
      <c r="DE389" s="152"/>
      <c r="DF389" s="152"/>
      <c r="DG389" s="152"/>
      <c r="DH389" s="152"/>
      <c r="DI389" s="152"/>
      <c r="DJ389" s="152"/>
      <c r="DK389" s="152"/>
      <c r="DL389" s="152"/>
    </row>
    <row r="390" spans="1:116" x14ac:dyDescent="0.2">
      <c r="A390" s="169">
        <f t="shared" si="392"/>
        <v>0.19</v>
      </c>
      <c r="B390" s="992">
        <f t="shared" si="393"/>
        <v>0.19</v>
      </c>
      <c r="C390" s="73" t="str">
        <f t="shared" si="390"/>
        <v>Sonstiges</v>
      </c>
      <c r="D390" s="880">
        <f t="shared" si="394"/>
        <v>0</v>
      </c>
      <c r="E390" s="880">
        <f t="shared" si="394"/>
        <v>0</v>
      </c>
      <c r="F390" s="880">
        <f t="shared" si="394"/>
        <v>0</v>
      </c>
      <c r="G390" s="880">
        <f t="shared" si="394"/>
        <v>0</v>
      </c>
      <c r="H390" s="880">
        <f t="shared" si="394"/>
        <v>0</v>
      </c>
      <c r="I390" s="163"/>
      <c r="J390" s="148"/>
      <c r="K390" s="148"/>
      <c r="L390" s="148"/>
      <c r="M390" s="148"/>
      <c r="N390" s="148"/>
      <c r="O390" s="148"/>
      <c r="P390" s="148"/>
      <c r="S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CV390" s="68"/>
      <c r="CW390" s="68"/>
      <c r="CX390" s="152"/>
      <c r="CY390" s="152"/>
      <c r="CZ390" s="152"/>
      <c r="DA390" s="34"/>
      <c r="DB390" s="34"/>
      <c r="DC390" s="34"/>
      <c r="DD390" s="34"/>
      <c r="DE390" s="152"/>
      <c r="DF390" s="152"/>
      <c r="DG390" s="152"/>
      <c r="DH390" s="152"/>
      <c r="DI390" s="152"/>
      <c r="DJ390" s="152"/>
      <c r="DK390" s="152"/>
      <c r="DL390" s="152"/>
    </row>
    <row r="391" spans="1:116" x14ac:dyDescent="0.2">
      <c r="A391" s="169"/>
      <c r="B391" s="993"/>
      <c r="C391" s="96" t="str">
        <f t="shared" si="390"/>
        <v>Summe Produktionskosten</v>
      </c>
      <c r="D391" s="133">
        <f>SUM(D383:D390)</f>
        <v>0</v>
      </c>
      <c r="E391" s="133">
        <f>SUM(E383:E390)</f>
        <v>0</v>
      </c>
      <c r="F391" s="133">
        <f>SUM(F383:F390)</f>
        <v>0</v>
      </c>
      <c r="G391" s="133">
        <f>SUM(G383:G390)</f>
        <v>0</v>
      </c>
      <c r="H391" s="133">
        <f>SUM(H383:H390)</f>
        <v>0</v>
      </c>
      <c r="I391" s="163"/>
      <c r="J391" s="148"/>
      <c r="K391" s="148"/>
      <c r="L391" s="148"/>
      <c r="M391" s="148"/>
      <c r="N391" s="148"/>
      <c r="O391" s="148"/>
      <c r="P391" s="148"/>
      <c r="S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CV391" s="68"/>
      <c r="CW391" s="68"/>
      <c r="CX391" s="152"/>
      <c r="CY391" s="152"/>
      <c r="CZ391" s="152"/>
      <c r="DA391" s="34"/>
      <c r="DB391" s="34"/>
      <c r="DC391" s="34"/>
      <c r="DD391" s="34"/>
      <c r="DE391" s="152"/>
      <c r="DF391" s="152"/>
      <c r="DG391" s="152"/>
      <c r="DH391" s="152"/>
      <c r="DI391" s="152"/>
      <c r="DJ391" s="152"/>
      <c r="DK391" s="152"/>
      <c r="DL391" s="152"/>
    </row>
    <row r="392" spans="1:116" x14ac:dyDescent="0.2">
      <c r="A392" s="169"/>
      <c r="B392" s="991">
        <f t="shared" si="393"/>
        <v>3</v>
      </c>
      <c r="C392" s="86" t="str">
        <f t="shared" si="390"/>
        <v>Personalkosten (nur Angestellte)</v>
      </c>
      <c r="D392" s="87"/>
      <c r="E392" s="87"/>
      <c r="F392" s="87"/>
      <c r="G392" s="87"/>
      <c r="H392" s="87"/>
      <c r="I392" s="163"/>
      <c r="J392" s="148"/>
      <c r="K392" s="148"/>
      <c r="L392" s="148"/>
      <c r="M392" s="148"/>
      <c r="N392" s="148"/>
      <c r="O392" s="148"/>
      <c r="P392" s="148"/>
      <c r="S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CV392" s="68"/>
      <c r="CW392" s="68"/>
      <c r="CX392" s="152"/>
      <c r="CY392" s="152"/>
      <c r="CZ392" s="152"/>
      <c r="DA392" s="34"/>
      <c r="DB392" s="34"/>
      <c r="DC392" s="34"/>
      <c r="DD392" s="34"/>
      <c r="DE392" s="152"/>
      <c r="DF392" s="152"/>
      <c r="DG392" s="152"/>
      <c r="DH392" s="152"/>
      <c r="DI392" s="152"/>
      <c r="DJ392" s="152"/>
      <c r="DK392" s="152"/>
      <c r="DL392" s="152"/>
    </row>
    <row r="393" spans="1:116" x14ac:dyDescent="0.2">
      <c r="A393" s="169">
        <f t="shared" si="392"/>
        <v>0</v>
      </c>
      <c r="B393" s="992">
        <f t="shared" si="393"/>
        <v>0</v>
      </c>
      <c r="C393" s="73" t="str">
        <f t="shared" si="390"/>
        <v>Löhne, Gehälter mit Nebenkosten (s. Nebenrechnung)</v>
      </c>
      <c r="D393" s="134">
        <f t="shared" ref="D393:H394" si="395">D173*POWER((1+$A393),$D$234)</f>
        <v>0</v>
      </c>
      <c r="E393" s="134">
        <f t="shared" si="395"/>
        <v>0</v>
      </c>
      <c r="F393" s="134">
        <f t="shared" si="395"/>
        <v>0</v>
      </c>
      <c r="G393" s="134">
        <f t="shared" si="395"/>
        <v>0</v>
      </c>
      <c r="H393" s="134">
        <f t="shared" si="395"/>
        <v>0</v>
      </c>
      <c r="I393" s="163"/>
      <c r="J393" s="148"/>
      <c r="K393" s="148"/>
      <c r="L393" s="148"/>
      <c r="M393" s="148"/>
      <c r="N393" s="148"/>
      <c r="O393" s="148"/>
      <c r="P393" s="148"/>
      <c r="S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CV393" s="68"/>
      <c r="CW393" s="68"/>
      <c r="CX393" s="152"/>
      <c r="CY393" s="152"/>
      <c r="CZ393" s="152"/>
      <c r="DA393" s="34"/>
      <c r="DB393" s="34"/>
      <c r="DC393" s="34"/>
      <c r="DD393" s="34"/>
      <c r="DE393" s="152"/>
      <c r="DF393" s="152"/>
      <c r="DG393" s="152"/>
      <c r="DH393" s="152"/>
      <c r="DI393" s="152"/>
      <c r="DJ393" s="152"/>
      <c r="DK393" s="152"/>
      <c r="DL393" s="152"/>
    </row>
    <row r="394" spans="1:116" x14ac:dyDescent="0.2">
      <c r="A394" s="169">
        <f t="shared" si="392"/>
        <v>0</v>
      </c>
      <c r="B394" s="992">
        <f t="shared" si="393"/>
        <v>0</v>
      </c>
      <c r="C394" s="131" t="str">
        <f t="shared" si="390"/>
        <v>Sonstiges</v>
      </c>
      <c r="D394" s="880">
        <f t="shared" si="395"/>
        <v>0</v>
      </c>
      <c r="E394" s="880">
        <f t="shared" si="395"/>
        <v>0</v>
      </c>
      <c r="F394" s="880">
        <f t="shared" si="395"/>
        <v>0</v>
      </c>
      <c r="G394" s="880">
        <f t="shared" si="395"/>
        <v>0</v>
      </c>
      <c r="H394" s="880">
        <f t="shared" si="395"/>
        <v>0</v>
      </c>
      <c r="I394" s="163"/>
      <c r="J394" s="148"/>
      <c r="K394" s="148"/>
      <c r="L394" s="148"/>
      <c r="M394" s="148"/>
      <c r="N394" s="148"/>
      <c r="O394" s="148"/>
      <c r="P394" s="148"/>
      <c r="S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CV394" s="68"/>
      <c r="CW394" s="68"/>
      <c r="CX394" s="152"/>
      <c r="CY394" s="152"/>
      <c r="CZ394" s="152"/>
      <c r="DA394" s="34"/>
      <c r="DB394" s="34"/>
      <c r="DC394" s="34"/>
      <c r="DD394" s="34"/>
      <c r="DE394" s="152"/>
      <c r="DF394" s="152"/>
      <c r="DG394" s="152"/>
      <c r="DH394" s="152"/>
      <c r="DI394" s="152"/>
      <c r="DJ394" s="152"/>
      <c r="DK394" s="152"/>
      <c r="DL394" s="152"/>
    </row>
    <row r="395" spans="1:116" x14ac:dyDescent="0.2">
      <c r="A395" s="169"/>
      <c r="B395" s="993"/>
      <c r="C395" s="96" t="str">
        <f t="shared" si="390"/>
        <v>Summe Personalkosten</v>
      </c>
      <c r="D395" s="133">
        <f>SUM(D393:D394)</f>
        <v>0</v>
      </c>
      <c r="E395" s="133">
        <f>SUM(E393:E394)</f>
        <v>0</v>
      </c>
      <c r="F395" s="133">
        <f>SUM(F393:F394)</f>
        <v>0</v>
      </c>
      <c r="G395" s="133">
        <f>SUM(G393:G394)</f>
        <v>0</v>
      </c>
      <c r="H395" s="133">
        <f>SUM(H393:H394)</f>
        <v>0</v>
      </c>
      <c r="I395" s="163"/>
      <c r="J395" s="148"/>
      <c r="K395" s="148"/>
      <c r="L395" s="148"/>
      <c r="M395" s="148"/>
      <c r="N395" s="148"/>
      <c r="O395" s="148"/>
      <c r="P395" s="148"/>
      <c r="S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CV395" s="68"/>
      <c r="CW395" s="68"/>
      <c r="CX395" s="152"/>
      <c r="CY395" s="152"/>
      <c r="CZ395" s="152"/>
      <c r="DA395" s="34"/>
      <c r="DB395" s="34"/>
      <c r="DC395" s="34"/>
      <c r="DD395" s="34"/>
      <c r="DE395" s="152"/>
      <c r="DF395" s="152"/>
      <c r="DG395" s="152"/>
      <c r="DH395" s="152"/>
      <c r="DI395" s="152"/>
      <c r="DJ395" s="152"/>
      <c r="DK395" s="152"/>
      <c r="DL395" s="152"/>
    </row>
    <row r="396" spans="1:116" x14ac:dyDescent="0.2">
      <c r="A396" s="169"/>
      <c r="B396" s="991">
        <f t="shared" si="393"/>
        <v>4</v>
      </c>
      <c r="C396" s="86" t="str">
        <f t="shared" si="390"/>
        <v>Reisekosten</v>
      </c>
      <c r="D396" s="87"/>
      <c r="E396" s="87"/>
      <c r="F396" s="87"/>
      <c r="G396" s="87"/>
      <c r="H396" s="87"/>
      <c r="I396" s="163"/>
      <c r="J396" s="148"/>
      <c r="K396" s="148"/>
      <c r="L396" s="148"/>
      <c r="M396" s="148"/>
      <c r="N396" s="148"/>
      <c r="O396" s="148"/>
      <c r="P396" s="148"/>
      <c r="S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CV396" s="68"/>
      <c r="CW396" s="68"/>
      <c r="CX396" s="152"/>
      <c r="CY396" s="152"/>
      <c r="CZ396" s="152"/>
      <c r="DA396" s="34"/>
      <c r="DB396" s="34"/>
      <c r="DC396" s="34"/>
      <c r="DD396" s="34"/>
      <c r="DE396" s="152"/>
      <c r="DF396" s="152"/>
      <c r="DG396" s="152"/>
      <c r="DH396" s="152"/>
      <c r="DI396" s="152"/>
      <c r="DJ396" s="152"/>
      <c r="DK396" s="152"/>
      <c r="DL396" s="152"/>
    </row>
    <row r="397" spans="1:116" x14ac:dyDescent="0.2">
      <c r="A397" s="169">
        <f t="shared" si="392"/>
        <v>0.19</v>
      </c>
      <c r="B397" s="992">
        <f t="shared" si="393"/>
        <v>0.19</v>
      </c>
      <c r="C397" s="73" t="str">
        <f t="shared" si="390"/>
        <v>Fahrtkosten</v>
      </c>
      <c r="D397" s="134">
        <f t="shared" ref="D397:H400" si="396">D177*POWER((1+$A397),$D$234)</f>
        <v>0</v>
      </c>
      <c r="E397" s="134">
        <f t="shared" si="396"/>
        <v>0</v>
      </c>
      <c r="F397" s="134">
        <f t="shared" si="396"/>
        <v>0</v>
      </c>
      <c r="G397" s="134">
        <f t="shared" si="396"/>
        <v>0</v>
      </c>
      <c r="H397" s="134">
        <f t="shared" si="396"/>
        <v>0</v>
      </c>
      <c r="I397" s="163"/>
      <c r="J397" s="148"/>
      <c r="K397" s="148"/>
      <c r="L397" s="148"/>
      <c r="M397" s="148"/>
      <c r="N397" s="148"/>
      <c r="O397" s="148"/>
      <c r="P397" s="148"/>
      <c r="S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CV397" s="68"/>
      <c r="CW397" s="68"/>
      <c r="CX397" s="152"/>
      <c r="CY397" s="152"/>
      <c r="CZ397" s="152"/>
      <c r="DA397" s="34"/>
      <c r="DB397" s="34"/>
      <c r="DC397" s="34"/>
      <c r="DD397" s="34"/>
      <c r="DE397" s="152"/>
      <c r="DF397" s="152"/>
      <c r="DG397" s="152"/>
      <c r="DH397" s="152"/>
      <c r="DI397" s="152"/>
      <c r="DJ397" s="152"/>
      <c r="DK397" s="152"/>
      <c r="DL397" s="152"/>
    </row>
    <row r="398" spans="1:116" x14ac:dyDescent="0.2">
      <c r="A398" s="169">
        <f t="shared" si="392"/>
        <v>0.19</v>
      </c>
      <c r="B398" s="992">
        <f t="shared" si="393"/>
        <v>0.19</v>
      </c>
      <c r="C398" s="73" t="str">
        <f t="shared" si="390"/>
        <v>Reisekostenpauschalen</v>
      </c>
      <c r="D398" s="134">
        <f t="shared" si="396"/>
        <v>0</v>
      </c>
      <c r="E398" s="134">
        <f t="shared" si="396"/>
        <v>0</v>
      </c>
      <c r="F398" s="134">
        <f t="shared" si="396"/>
        <v>0</v>
      </c>
      <c r="G398" s="134">
        <f t="shared" si="396"/>
        <v>0</v>
      </c>
      <c r="H398" s="134">
        <f t="shared" si="396"/>
        <v>0</v>
      </c>
      <c r="I398" s="163"/>
      <c r="J398" s="148"/>
      <c r="K398" s="148"/>
      <c r="L398" s="148"/>
      <c r="M398" s="148"/>
      <c r="N398" s="148"/>
      <c r="O398" s="148"/>
      <c r="P398" s="148"/>
      <c r="S398" s="35"/>
      <c r="U398" s="34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CV398" s="68"/>
      <c r="CW398" s="68"/>
      <c r="CX398" s="152"/>
      <c r="CY398" s="152"/>
      <c r="CZ398" s="152"/>
      <c r="DA398" s="34"/>
      <c r="DB398" s="34"/>
      <c r="DC398" s="34"/>
      <c r="DD398" s="34"/>
      <c r="DE398" s="152"/>
      <c r="DF398" s="152"/>
      <c r="DG398" s="152"/>
      <c r="DH398" s="152"/>
      <c r="DI398" s="152"/>
      <c r="DJ398" s="152"/>
      <c r="DK398" s="152"/>
      <c r="DL398" s="152"/>
    </row>
    <row r="399" spans="1:116" x14ac:dyDescent="0.2">
      <c r="A399" s="169">
        <f t="shared" si="392"/>
        <v>7.0000000000000007E-2</v>
      </c>
      <c r="B399" s="992">
        <f t="shared" si="393"/>
        <v>7.0000000000000007E-2</v>
      </c>
      <c r="C399" s="73" t="str">
        <f t="shared" si="390"/>
        <v>Übernachtungen</v>
      </c>
      <c r="D399" s="134">
        <f t="shared" si="396"/>
        <v>0</v>
      </c>
      <c r="E399" s="134">
        <f t="shared" si="396"/>
        <v>0</v>
      </c>
      <c r="F399" s="134">
        <f t="shared" si="396"/>
        <v>0</v>
      </c>
      <c r="G399" s="134">
        <f t="shared" si="396"/>
        <v>0</v>
      </c>
      <c r="H399" s="134">
        <f t="shared" si="396"/>
        <v>0</v>
      </c>
      <c r="I399" s="163"/>
      <c r="J399" s="148"/>
      <c r="K399" s="148"/>
      <c r="L399" s="148"/>
      <c r="M399" s="148"/>
      <c r="N399" s="148"/>
      <c r="O399" s="148"/>
      <c r="P399" s="148"/>
      <c r="S399" s="35"/>
      <c r="U399" s="34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CV399" s="68"/>
      <c r="CW399" s="68"/>
      <c r="CX399" s="152"/>
      <c r="CY399" s="152"/>
      <c r="CZ399" s="152"/>
      <c r="DA399" s="34"/>
      <c r="DB399" s="34"/>
      <c r="DC399" s="34"/>
      <c r="DD399" s="34"/>
      <c r="DE399" s="152"/>
      <c r="DF399" s="152"/>
      <c r="DG399" s="152"/>
      <c r="DH399" s="152"/>
      <c r="DI399" s="152"/>
      <c r="DJ399" s="152"/>
      <c r="DK399" s="152"/>
      <c r="DL399" s="152"/>
    </row>
    <row r="400" spans="1:116" x14ac:dyDescent="0.2">
      <c r="A400" s="169">
        <f t="shared" si="392"/>
        <v>0.19</v>
      </c>
      <c r="B400" s="992">
        <f t="shared" si="393"/>
        <v>0.19</v>
      </c>
      <c r="C400" s="73" t="str">
        <f t="shared" si="390"/>
        <v>Sonstiges</v>
      </c>
      <c r="D400" s="880">
        <f t="shared" si="396"/>
        <v>0</v>
      </c>
      <c r="E400" s="880">
        <f t="shared" si="396"/>
        <v>0</v>
      </c>
      <c r="F400" s="880">
        <f t="shared" si="396"/>
        <v>0</v>
      </c>
      <c r="G400" s="880">
        <f t="shared" si="396"/>
        <v>0</v>
      </c>
      <c r="H400" s="880">
        <f t="shared" si="396"/>
        <v>0</v>
      </c>
      <c r="I400" s="163"/>
      <c r="J400" s="148"/>
      <c r="K400" s="148"/>
      <c r="L400" s="148"/>
      <c r="M400" s="148"/>
      <c r="N400" s="148"/>
      <c r="O400" s="148"/>
      <c r="P400" s="148"/>
      <c r="S400" s="35"/>
      <c r="U400" s="34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CV400" s="68"/>
      <c r="CW400" s="68"/>
      <c r="CX400" s="152"/>
      <c r="CY400" s="152"/>
      <c r="CZ400" s="152"/>
      <c r="DA400" s="34"/>
      <c r="DB400" s="34"/>
      <c r="DC400" s="34"/>
      <c r="DD400" s="34"/>
      <c r="DE400" s="152"/>
      <c r="DF400" s="152"/>
      <c r="DG400" s="152"/>
      <c r="DH400" s="152"/>
      <c r="DI400" s="152"/>
      <c r="DJ400" s="152"/>
      <c r="DK400" s="152"/>
      <c r="DL400" s="152"/>
    </row>
    <row r="401" spans="1:116" x14ac:dyDescent="0.2">
      <c r="A401" s="169"/>
      <c r="B401" s="993"/>
      <c r="C401" s="96" t="str">
        <f t="shared" si="390"/>
        <v>Summe Reisekosten</v>
      </c>
      <c r="D401" s="133">
        <f>SUM(D397:D400)</f>
        <v>0</v>
      </c>
      <c r="E401" s="133">
        <f>SUM(E397:E400)</f>
        <v>0</v>
      </c>
      <c r="F401" s="133">
        <f>SUM(F397:F400)</f>
        <v>0</v>
      </c>
      <c r="G401" s="133">
        <f>SUM(G397:G400)</f>
        <v>0</v>
      </c>
      <c r="H401" s="133">
        <f>SUM(H397:H400)</f>
        <v>0</v>
      </c>
      <c r="I401" s="163"/>
      <c r="J401" s="148"/>
      <c r="K401" s="148"/>
      <c r="L401" s="148"/>
      <c r="M401" s="148"/>
      <c r="N401" s="148"/>
      <c r="O401" s="148"/>
      <c r="P401" s="148"/>
      <c r="S401" s="35"/>
      <c r="U401" s="34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CV401" s="68"/>
      <c r="CW401" s="68"/>
      <c r="CX401" s="152"/>
      <c r="CY401" s="152"/>
      <c r="CZ401" s="152"/>
      <c r="DA401" s="34"/>
      <c r="DB401" s="34"/>
      <c r="DC401" s="34"/>
      <c r="DD401" s="34"/>
      <c r="DE401" s="152"/>
      <c r="DF401" s="152"/>
      <c r="DG401" s="152"/>
      <c r="DH401" s="152"/>
      <c r="DI401" s="152"/>
      <c r="DJ401" s="152"/>
      <c r="DK401" s="152"/>
      <c r="DL401" s="152"/>
    </row>
    <row r="402" spans="1:116" x14ac:dyDescent="0.2">
      <c r="A402" s="169"/>
      <c r="B402" s="991">
        <f t="shared" si="393"/>
        <v>5</v>
      </c>
      <c r="C402" s="86" t="str">
        <f t="shared" si="390"/>
        <v>Versicherungen und Beiträge (betrieblich!)</v>
      </c>
      <c r="D402" s="87"/>
      <c r="E402" s="87"/>
      <c r="F402" s="87"/>
      <c r="G402" s="87"/>
      <c r="H402" s="87"/>
      <c r="I402" s="163"/>
      <c r="J402" s="148"/>
      <c r="K402" s="148"/>
      <c r="L402" s="148"/>
      <c r="M402" s="148"/>
      <c r="N402" s="148"/>
      <c r="O402" s="148"/>
      <c r="P402" s="148"/>
      <c r="S402" s="35"/>
      <c r="U402" s="34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CV402" s="68"/>
      <c r="CW402" s="68"/>
      <c r="CX402" s="152"/>
      <c r="CY402" s="152"/>
      <c r="CZ402" s="152"/>
      <c r="DA402" s="34"/>
      <c r="DB402" s="34"/>
      <c r="DC402" s="34"/>
      <c r="DD402" s="34"/>
      <c r="DE402" s="152"/>
      <c r="DF402" s="152"/>
      <c r="DG402" s="152"/>
      <c r="DH402" s="152"/>
      <c r="DI402" s="152"/>
      <c r="DJ402" s="152"/>
      <c r="DK402" s="152"/>
      <c r="DL402" s="152"/>
    </row>
    <row r="403" spans="1:116" x14ac:dyDescent="0.2">
      <c r="A403" s="169">
        <f t="shared" si="392"/>
        <v>0.19</v>
      </c>
      <c r="B403" s="992">
        <f t="shared" si="393"/>
        <v>0.19</v>
      </c>
      <c r="C403" s="73" t="str">
        <f t="shared" si="390"/>
        <v>Haftpflicht</v>
      </c>
      <c r="D403" s="134">
        <f t="shared" ref="D403:H406" si="397">D183*POWER((1+$A403),$D$234)</f>
        <v>0</v>
      </c>
      <c r="E403" s="134">
        <f t="shared" si="397"/>
        <v>0</v>
      </c>
      <c r="F403" s="134">
        <f t="shared" si="397"/>
        <v>0</v>
      </c>
      <c r="G403" s="134">
        <f t="shared" si="397"/>
        <v>0</v>
      </c>
      <c r="H403" s="134">
        <f t="shared" si="397"/>
        <v>0</v>
      </c>
      <c r="I403" s="163"/>
      <c r="J403" s="148"/>
      <c r="K403" s="148"/>
      <c r="L403" s="148"/>
      <c r="M403" s="148"/>
      <c r="N403" s="148"/>
      <c r="O403" s="148"/>
      <c r="P403" s="148"/>
      <c r="S403" s="35"/>
      <c r="U403" s="34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CV403" s="68"/>
      <c r="CW403" s="68"/>
      <c r="CX403" s="152"/>
      <c r="CY403" s="152"/>
      <c r="CZ403" s="152"/>
      <c r="DA403" s="34"/>
      <c r="DB403" s="34"/>
      <c r="DC403" s="34"/>
      <c r="DD403" s="34"/>
      <c r="DE403" s="152"/>
      <c r="DF403" s="152"/>
      <c r="DG403" s="152"/>
      <c r="DH403" s="152"/>
      <c r="DI403" s="152"/>
      <c r="DJ403" s="152"/>
      <c r="DK403" s="152"/>
      <c r="DL403" s="152"/>
    </row>
    <row r="404" spans="1:116" x14ac:dyDescent="0.2">
      <c r="A404" s="169">
        <f t="shared" si="392"/>
        <v>0.19</v>
      </c>
      <c r="B404" s="992">
        <f t="shared" si="393"/>
        <v>0.19</v>
      </c>
      <c r="C404" s="73" t="str">
        <f t="shared" si="390"/>
        <v>Rechtschutzversicherung</v>
      </c>
      <c r="D404" s="134">
        <f t="shared" si="397"/>
        <v>0</v>
      </c>
      <c r="E404" s="134">
        <f t="shared" si="397"/>
        <v>0</v>
      </c>
      <c r="F404" s="134">
        <f t="shared" si="397"/>
        <v>0</v>
      </c>
      <c r="G404" s="134">
        <f t="shared" si="397"/>
        <v>0</v>
      </c>
      <c r="H404" s="134">
        <f t="shared" si="397"/>
        <v>0</v>
      </c>
      <c r="I404" s="163"/>
      <c r="J404" s="148"/>
      <c r="K404" s="148"/>
      <c r="L404" s="148"/>
      <c r="M404" s="148"/>
      <c r="N404" s="148"/>
      <c r="O404" s="148"/>
      <c r="P404" s="148"/>
      <c r="S404" s="35"/>
      <c r="U404" s="34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CV404" s="68"/>
      <c r="CW404" s="68"/>
      <c r="CX404" s="152"/>
      <c r="CY404" s="152"/>
      <c r="CZ404" s="152"/>
      <c r="DA404" s="34"/>
      <c r="DB404" s="34"/>
      <c r="DC404" s="34"/>
      <c r="DD404" s="34"/>
      <c r="DE404" s="152"/>
      <c r="DF404" s="152"/>
      <c r="DG404" s="152"/>
      <c r="DH404" s="152"/>
      <c r="DI404" s="152"/>
      <c r="DJ404" s="152"/>
      <c r="DK404" s="152"/>
      <c r="DL404" s="152"/>
    </row>
    <row r="405" spans="1:116" x14ac:dyDescent="0.2">
      <c r="A405" s="169">
        <f t="shared" si="392"/>
        <v>0.19</v>
      </c>
      <c r="B405" s="992">
        <f t="shared" si="393"/>
        <v>0.19</v>
      </c>
      <c r="C405" s="73" t="str">
        <f t="shared" si="390"/>
        <v>Beiträge (IHK, Berufsverbände, ...)</v>
      </c>
      <c r="D405" s="134">
        <f t="shared" si="397"/>
        <v>0</v>
      </c>
      <c r="E405" s="134">
        <f t="shared" si="397"/>
        <v>0</v>
      </c>
      <c r="F405" s="134">
        <f t="shared" si="397"/>
        <v>0</v>
      </c>
      <c r="G405" s="134">
        <f t="shared" si="397"/>
        <v>0</v>
      </c>
      <c r="H405" s="134">
        <f t="shared" si="397"/>
        <v>0</v>
      </c>
      <c r="I405" s="163"/>
      <c r="J405" s="148"/>
      <c r="K405" s="148"/>
      <c r="L405" s="148"/>
      <c r="M405" s="148"/>
      <c r="N405" s="148"/>
      <c r="O405" s="148"/>
      <c r="P405" s="148"/>
      <c r="S405" s="35"/>
      <c r="U405" s="34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CV405" s="68"/>
      <c r="CW405" s="68"/>
      <c r="CX405" s="152"/>
      <c r="CY405" s="152"/>
      <c r="CZ405" s="152"/>
      <c r="DA405" s="34"/>
      <c r="DB405" s="34"/>
      <c r="DC405" s="34"/>
      <c r="DD405" s="34"/>
      <c r="DE405" s="152"/>
      <c r="DF405" s="152"/>
      <c r="DG405" s="152"/>
      <c r="DH405" s="152"/>
      <c r="DI405" s="152"/>
      <c r="DJ405" s="152"/>
      <c r="DK405" s="152"/>
      <c r="DL405" s="152"/>
    </row>
    <row r="406" spans="1:116" x14ac:dyDescent="0.2">
      <c r="A406" s="169">
        <f t="shared" si="392"/>
        <v>0.19</v>
      </c>
      <c r="B406" s="992">
        <f t="shared" si="393"/>
        <v>0.19</v>
      </c>
      <c r="C406" s="73" t="str">
        <f t="shared" ref="C406:C437" si="398">C38</f>
        <v>Sonstiges</v>
      </c>
      <c r="D406" s="134">
        <f t="shared" si="397"/>
        <v>0</v>
      </c>
      <c r="E406" s="134">
        <f t="shared" si="397"/>
        <v>0</v>
      </c>
      <c r="F406" s="134">
        <f t="shared" si="397"/>
        <v>0</v>
      </c>
      <c r="G406" s="134">
        <f t="shared" si="397"/>
        <v>0</v>
      </c>
      <c r="H406" s="134">
        <f t="shared" si="397"/>
        <v>0</v>
      </c>
      <c r="I406" s="163"/>
      <c r="J406" s="148"/>
      <c r="K406" s="148"/>
      <c r="L406" s="148"/>
      <c r="M406" s="148"/>
      <c r="N406" s="148"/>
      <c r="O406" s="148"/>
      <c r="P406" s="148"/>
      <c r="S406" s="35"/>
      <c r="U406" s="34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CV406" s="68"/>
      <c r="CW406" s="68"/>
      <c r="CX406" s="152"/>
      <c r="CY406" s="152"/>
      <c r="CZ406" s="152"/>
      <c r="DA406" s="34"/>
      <c r="DB406" s="34"/>
      <c r="DC406" s="34"/>
      <c r="DD406" s="34"/>
      <c r="DE406" s="152"/>
      <c r="DF406" s="152"/>
      <c r="DG406" s="152"/>
      <c r="DH406" s="152"/>
      <c r="DI406" s="152"/>
      <c r="DJ406" s="152"/>
      <c r="DK406" s="152"/>
      <c r="DL406" s="152"/>
    </row>
    <row r="407" spans="1:116" x14ac:dyDescent="0.2">
      <c r="A407" s="169"/>
      <c r="B407" s="993"/>
      <c r="C407" s="96" t="str">
        <f t="shared" si="398"/>
        <v>Summe Versicherungen und Beiträge (betrieblich!)</v>
      </c>
      <c r="D407" s="133">
        <f>SUM(D403:D406)</f>
        <v>0</v>
      </c>
      <c r="E407" s="133">
        <f>SUM(E403:E406)</f>
        <v>0</v>
      </c>
      <c r="F407" s="133">
        <f>SUM(F403:F406)</f>
        <v>0</v>
      </c>
      <c r="G407" s="133">
        <f>SUM(G403:G406)</f>
        <v>0</v>
      </c>
      <c r="H407" s="133">
        <f>SUM(H403:H406)</f>
        <v>0</v>
      </c>
      <c r="I407" s="163"/>
      <c r="J407" s="148"/>
      <c r="K407" s="148"/>
      <c r="L407" s="148"/>
      <c r="M407" s="148"/>
      <c r="N407" s="148"/>
      <c r="O407" s="148"/>
      <c r="P407" s="148"/>
      <c r="S407" s="35"/>
      <c r="U407" s="34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CV407" s="68"/>
      <c r="CW407" s="68"/>
      <c r="CX407" s="152"/>
      <c r="CY407" s="152"/>
      <c r="CZ407" s="152"/>
      <c r="DA407" s="34"/>
      <c r="DB407" s="34"/>
      <c r="DC407" s="34"/>
      <c r="DD407" s="34"/>
      <c r="DE407" s="152"/>
      <c r="DF407" s="152"/>
      <c r="DG407" s="152"/>
      <c r="DH407" s="152"/>
      <c r="DI407" s="152"/>
      <c r="DJ407" s="152"/>
      <c r="DK407" s="152"/>
      <c r="DL407" s="152"/>
    </row>
    <row r="408" spans="1:116" x14ac:dyDescent="0.2">
      <c r="A408" s="169"/>
      <c r="B408" s="991">
        <f t="shared" si="393"/>
        <v>6</v>
      </c>
      <c r="C408" s="63" t="str">
        <f t="shared" si="398"/>
        <v>KFZ Kosten / Betriebliche Nutzung</v>
      </c>
      <c r="D408" s="87"/>
      <c r="E408" s="87"/>
      <c r="F408" s="87"/>
      <c r="G408" s="87"/>
      <c r="H408" s="87"/>
      <c r="I408" s="163"/>
      <c r="J408" s="148"/>
      <c r="K408" s="148"/>
      <c r="L408" s="148"/>
      <c r="M408" s="148"/>
      <c r="N408" s="148"/>
      <c r="O408" s="148"/>
      <c r="P408" s="148"/>
      <c r="S408" s="35"/>
      <c r="U408" s="34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CV408" s="68"/>
      <c r="CW408" s="68"/>
      <c r="CX408" s="152"/>
      <c r="CY408" s="152"/>
      <c r="CZ408" s="152"/>
      <c r="DA408" s="34"/>
      <c r="DB408" s="34"/>
      <c r="DC408" s="34"/>
      <c r="DD408" s="34"/>
      <c r="DE408" s="152"/>
      <c r="DF408" s="152"/>
      <c r="DG408" s="152"/>
      <c r="DH408" s="152"/>
      <c r="DI408" s="152"/>
      <c r="DJ408" s="152"/>
      <c r="DK408" s="152"/>
      <c r="DL408" s="152"/>
    </row>
    <row r="409" spans="1:116" x14ac:dyDescent="0.2">
      <c r="A409" s="169">
        <f t="shared" si="392"/>
        <v>0.19</v>
      </c>
      <c r="B409" s="992">
        <f t="shared" si="393"/>
        <v>0.19</v>
      </c>
      <c r="C409" s="73" t="str">
        <f t="shared" si="398"/>
        <v>Leasingraten Kfz</v>
      </c>
      <c r="D409" s="134">
        <f t="shared" ref="D409:H413" si="399">D189*POWER((1+$A409),$D$234)</f>
        <v>0</v>
      </c>
      <c r="E409" s="134">
        <f t="shared" si="399"/>
        <v>0</v>
      </c>
      <c r="F409" s="134">
        <f t="shared" si="399"/>
        <v>0</v>
      </c>
      <c r="G409" s="134">
        <f t="shared" si="399"/>
        <v>0</v>
      </c>
      <c r="H409" s="134">
        <f t="shared" si="399"/>
        <v>0</v>
      </c>
      <c r="I409" s="163"/>
      <c r="J409" s="148"/>
      <c r="K409" s="148"/>
      <c r="L409" s="148"/>
      <c r="M409" s="148"/>
      <c r="N409" s="148"/>
      <c r="O409" s="148"/>
      <c r="P409" s="148"/>
      <c r="S409" s="35"/>
      <c r="U409" s="34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CV409" s="68"/>
      <c r="CW409" s="68"/>
      <c r="CX409" s="152"/>
      <c r="CY409" s="152"/>
      <c r="CZ409" s="152"/>
      <c r="DA409" s="34"/>
      <c r="DB409" s="34"/>
      <c r="DC409" s="34"/>
      <c r="DD409" s="34"/>
      <c r="DE409" s="152"/>
      <c r="DF409" s="152"/>
      <c r="DG409" s="152"/>
      <c r="DH409" s="152"/>
      <c r="DI409" s="152"/>
      <c r="DJ409" s="152"/>
      <c r="DK409" s="152"/>
      <c r="DL409" s="152"/>
    </row>
    <row r="410" spans="1:116" x14ac:dyDescent="0.2">
      <c r="A410" s="169">
        <f t="shared" si="392"/>
        <v>0.19</v>
      </c>
      <c r="B410" s="992">
        <f t="shared" si="393"/>
        <v>0.19</v>
      </c>
      <c r="C410" s="73" t="str">
        <f t="shared" si="398"/>
        <v>Versicherungen/Kfz-Steuer</v>
      </c>
      <c r="D410" s="134">
        <f t="shared" si="399"/>
        <v>0</v>
      </c>
      <c r="E410" s="134">
        <f t="shared" si="399"/>
        <v>0</v>
      </c>
      <c r="F410" s="134">
        <f t="shared" si="399"/>
        <v>0</v>
      </c>
      <c r="G410" s="134">
        <f t="shared" si="399"/>
        <v>0</v>
      </c>
      <c r="H410" s="134">
        <f t="shared" si="399"/>
        <v>0</v>
      </c>
      <c r="I410" s="163"/>
      <c r="J410" s="148"/>
      <c r="K410" s="148"/>
      <c r="L410" s="148"/>
      <c r="M410" s="148"/>
      <c r="N410" s="148"/>
      <c r="O410" s="148"/>
      <c r="P410" s="148"/>
      <c r="S410" s="35"/>
      <c r="U410" s="34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CV410" s="68"/>
      <c r="CW410" s="68"/>
      <c r="CX410" s="152"/>
      <c r="CY410" s="152"/>
      <c r="CZ410" s="152"/>
      <c r="DA410" s="34"/>
      <c r="DB410" s="34"/>
      <c r="DC410" s="34"/>
      <c r="DD410" s="34"/>
      <c r="DE410" s="152"/>
      <c r="DF410" s="152"/>
      <c r="DG410" s="152"/>
      <c r="DH410" s="152"/>
      <c r="DI410" s="152"/>
      <c r="DJ410" s="152"/>
      <c r="DK410" s="152"/>
      <c r="DL410" s="152"/>
    </row>
    <row r="411" spans="1:116" x14ac:dyDescent="0.2">
      <c r="A411" s="169">
        <f t="shared" si="392"/>
        <v>0.19</v>
      </c>
      <c r="B411" s="992">
        <f t="shared" si="393"/>
        <v>0.19</v>
      </c>
      <c r="C411" s="73" t="str">
        <f t="shared" si="398"/>
        <v>Fahrzeugkosten (Tanken und Reparatur)</v>
      </c>
      <c r="D411" s="134">
        <f t="shared" si="399"/>
        <v>0</v>
      </c>
      <c r="E411" s="134">
        <f t="shared" si="399"/>
        <v>0</v>
      </c>
      <c r="F411" s="134">
        <f t="shared" si="399"/>
        <v>0</v>
      </c>
      <c r="G411" s="134">
        <f t="shared" si="399"/>
        <v>0</v>
      </c>
      <c r="H411" s="134">
        <f t="shared" si="399"/>
        <v>0</v>
      </c>
      <c r="I411" s="163"/>
      <c r="J411" s="148"/>
      <c r="K411" s="148"/>
      <c r="L411" s="148"/>
      <c r="M411" s="148"/>
      <c r="N411" s="148"/>
      <c r="O411" s="148"/>
      <c r="P411" s="148"/>
      <c r="S411" s="35"/>
      <c r="U411" s="34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CV411" s="68"/>
      <c r="CW411" s="68"/>
      <c r="CX411" s="152"/>
      <c r="CY411" s="152"/>
      <c r="CZ411" s="152"/>
      <c r="DA411" s="34"/>
      <c r="DB411" s="34"/>
      <c r="DC411" s="34"/>
      <c r="DD411" s="34"/>
      <c r="DE411" s="152"/>
      <c r="DF411" s="152"/>
      <c r="DG411" s="152"/>
      <c r="DH411" s="152"/>
      <c r="DI411" s="152"/>
      <c r="DJ411" s="152"/>
      <c r="DK411" s="152"/>
      <c r="DL411" s="152"/>
    </row>
    <row r="412" spans="1:116" x14ac:dyDescent="0.2">
      <c r="A412" s="169">
        <f t="shared" si="392"/>
        <v>0</v>
      </c>
      <c r="B412" s="992">
        <f t="shared" si="393"/>
        <v>0</v>
      </c>
      <c r="C412" s="73" t="str">
        <f t="shared" si="398"/>
        <v>Abrechenbare Kilometerkosten</v>
      </c>
      <c r="D412" s="134">
        <f t="shared" si="399"/>
        <v>0</v>
      </c>
      <c r="E412" s="134">
        <f t="shared" si="399"/>
        <v>0</v>
      </c>
      <c r="F412" s="134">
        <f t="shared" si="399"/>
        <v>0</v>
      </c>
      <c r="G412" s="134">
        <f t="shared" si="399"/>
        <v>0</v>
      </c>
      <c r="H412" s="134">
        <f t="shared" si="399"/>
        <v>0</v>
      </c>
      <c r="I412" s="163"/>
      <c r="J412" s="148"/>
      <c r="K412" s="148"/>
      <c r="L412" s="148"/>
      <c r="M412" s="148"/>
      <c r="N412" s="148"/>
      <c r="O412" s="148"/>
      <c r="P412" s="148"/>
      <c r="S412" s="35"/>
      <c r="U412" s="34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CV412" s="68"/>
      <c r="CW412" s="68"/>
      <c r="CX412" s="152"/>
      <c r="CY412" s="152"/>
      <c r="CZ412" s="152"/>
      <c r="DA412" s="34"/>
      <c r="DB412" s="34"/>
      <c r="DC412" s="34"/>
      <c r="DD412" s="34"/>
      <c r="DE412" s="152"/>
      <c r="DF412" s="152"/>
      <c r="DG412" s="152"/>
      <c r="DH412" s="152"/>
      <c r="DI412" s="152"/>
      <c r="DJ412" s="152"/>
      <c r="DK412" s="152"/>
      <c r="DL412" s="152"/>
    </row>
    <row r="413" spans="1:116" x14ac:dyDescent="0.2">
      <c r="A413" s="169">
        <f t="shared" si="392"/>
        <v>0.19</v>
      </c>
      <c r="B413" s="992">
        <f t="shared" si="393"/>
        <v>0.19</v>
      </c>
      <c r="C413" s="73" t="str">
        <f t="shared" si="398"/>
        <v>Sonstiges</v>
      </c>
      <c r="D413" s="134">
        <f t="shared" si="399"/>
        <v>0</v>
      </c>
      <c r="E413" s="134">
        <f t="shared" si="399"/>
        <v>0</v>
      </c>
      <c r="F413" s="134">
        <f t="shared" si="399"/>
        <v>0</v>
      </c>
      <c r="G413" s="134">
        <f t="shared" si="399"/>
        <v>0</v>
      </c>
      <c r="H413" s="134">
        <f t="shared" si="399"/>
        <v>0</v>
      </c>
      <c r="I413" s="163"/>
      <c r="J413" s="148"/>
      <c r="K413" s="148"/>
      <c r="L413" s="148"/>
      <c r="M413" s="148"/>
      <c r="N413" s="148"/>
      <c r="O413" s="148"/>
      <c r="P413" s="148"/>
      <c r="S413" s="35"/>
      <c r="U413" s="34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CV413" s="68"/>
      <c r="CW413" s="68"/>
      <c r="CX413" s="152"/>
      <c r="CY413" s="152"/>
      <c r="CZ413" s="152"/>
      <c r="DA413" s="34"/>
      <c r="DB413" s="34"/>
      <c r="DC413" s="34"/>
      <c r="DD413" s="34"/>
      <c r="DE413" s="152"/>
      <c r="DF413" s="152"/>
      <c r="DG413" s="152"/>
      <c r="DH413" s="152"/>
      <c r="DI413" s="152"/>
      <c r="DJ413" s="152"/>
      <c r="DK413" s="152"/>
      <c r="DL413" s="152"/>
    </row>
    <row r="414" spans="1:116" x14ac:dyDescent="0.2">
      <c r="A414" s="169"/>
      <c r="B414" s="993"/>
      <c r="C414" s="96" t="str">
        <f t="shared" si="398"/>
        <v>Summe KFZ Kosten / Betriebliche Nutzung</v>
      </c>
      <c r="D414" s="133">
        <f>SUM(D409:D413)</f>
        <v>0</v>
      </c>
      <c r="E414" s="133">
        <f>SUM(E409:E413)</f>
        <v>0</v>
      </c>
      <c r="F414" s="133">
        <f>SUM(F409:F413)</f>
        <v>0</v>
      </c>
      <c r="G414" s="133">
        <f>SUM(G409:G413)</f>
        <v>0</v>
      </c>
      <c r="H414" s="133">
        <f>SUM(H409:H413)</f>
        <v>0</v>
      </c>
      <c r="I414" s="163"/>
      <c r="J414" s="148"/>
      <c r="K414" s="148"/>
      <c r="L414" s="148"/>
      <c r="M414" s="148"/>
      <c r="N414" s="148"/>
      <c r="O414" s="148"/>
      <c r="P414" s="148"/>
      <c r="S414" s="35"/>
      <c r="U414" s="34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CV414" s="68"/>
      <c r="CW414" s="68"/>
      <c r="CX414" s="152"/>
      <c r="CY414" s="152"/>
      <c r="CZ414" s="152"/>
      <c r="DA414" s="34"/>
      <c r="DB414" s="34"/>
      <c r="DC414" s="34"/>
      <c r="DD414" s="34"/>
      <c r="DE414" s="152"/>
      <c r="DF414" s="152"/>
      <c r="DG414" s="152"/>
      <c r="DH414" s="152"/>
      <c r="DI414" s="152"/>
      <c r="DJ414" s="152"/>
      <c r="DK414" s="152"/>
      <c r="DL414" s="152"/>
    </row>
    <row r="415" spans="1:116" x14ac:dyDescent="0.2">
      <c r="A415" s="169"/>
      <c r="B415" s="991">
        <f t="shared" si="393"/>
        <v>7</v>
      </c>
      <c r="C415" s="86" t="str">
        <f t="shared" si="398"/>
        <v>Marketing  u. Werbung</v>
      </c>
      <c r="D415" s="87"/>
      <c r="E415" s="87"/>
      <c r="F415" s="87"/>
      <c r="G415" s="87"/>
      <c r="H415" s="87"/>
      <c r="I415" s="163"/>
      <c r="J415" s="148"/>
      <c r="K415" s="148"/>
      <c r="L415" s="148"/>
      <c r="M415" s="148"/>
      <c r="N415" s="148"/>
      <c r="O415" s="148"/>
      <c r="P415" s="148"/>
      <c r="S415" s="35"/>
      <c r="U415" s="129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CU415" s="40"/>
      <c r="CV415" s="68"/>
      <c r="CW415" s="68"/>
      <c r="CX415" s="862"/>
      <c r="CY415" s="862"/>
      <c r="CZ415" s="862"/>
      <c r="DA415" s="129"/>
      <c r="DB415" s="129"/>
      <c r="DC415" s="129"/>
      <c r="DD415" s="129"/>
      <c r="DE415" s="862"/>
      <c r="DF415" s="862"/>
      <c r="DG415" s="862"/>
      <c r="DH415" s="862"/>
      <c r="DI415" s="862"/>
      <c r="DJ415" s="862"/>
      <c r="DK415" s="862"/>
      <c r="DL415" s="862"/>
    </row>
    <row r="416" spans="1:116" x14ac:dyDescent="0.2">
      <c r="A416" s="169">
        <f t="shared" si="392"/>
        <v>0.19</v>
      </c>
      <c r="B416" s="992">
        <f t="shared" si="393"/>
        <v>0.19</v>
      </c>
      <c r="C416" s="73" t="str">
        <f t="shared" si="398"/>
        <v>Marktforschung</v>
      </c>
      <c r="D416" s="134">
        <f t="shared" ref="D416:H421" si="400">D196*POWER((1+$A416),$D$234)</f>
        <v>0</v>
      </c>
      <c r="E416" s="134">
        <f t="shared" si="400"/>
        <v>0</v>
      </c>
      <c r="F416" s="134">
        <f t="shared" si="400"/>
        <v>0</v>
      </c>
      <c r="G416" s="134">
        <f t="shared" si="400"/>
        <v>0</v>
      </c>
      <c r="H416" s="134">
        <f t="shared" si="400"/>
        <v>0</v>
      </c>
      <c r="I416" s="163"/>
      <c r="J416" s="148"/>
      <c r="K416" s="148"/>
      <c r="L416" s="148"/>
      <c r="M416" s="148"/>
      <c r="N416" s="148"/>
      <c r="O416" s="148"/>
      <c r="P416" s="148"/>
      <c r="S416" s="35"/>
      <c r="U416" s="129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CU416" s="911">
        <f>CU88</f>
        <v>0</v>
      </c>
      <c r="CV416" s="68"/>
      <c r="CW416" s="68"/>
      <c r="CX416" s="862"/>
      <c r="CY416" s="862"/>
      <c r="CZ416" s="862"/>
      <c r="DA416" s="129"/>
      <c r="DB416" s="129"/>
      <c r="DC416" s="129"/>
      <c r="DD416" s="129"/>
      <c r="DE416" s="862"/>
      <c r="DF416" s="862"/>
      <c r="DG416" s="862"/>
      <c r="DH416" s="862"/>
      <c r="DI416" s="862"/>
      <c r="DJ416" s="862"/>
      <c r="DK416" s="862"/>
      <c r="DL416" s="862"/>
    </row>
    <row r="417" spans="1:116" x14ac:dyDescent="0.2">
      <c r="A417" s="169">
        <f t="shared" si="392"/>
        <v>0.19</v>
      </c>
      <c r="B417" s="992">
        <f t="shared" si="393"/>
        <v>0.19</v>
      </c>
      <c r="C417" s="73" t="str">
        <f t="shared" si="398"/>
        <v>Briefpapier, Visitenkarte, Stempel</v>
      </c>
      <c r="D417" s="134">
        <f t="shared" si="400"/>
        <v>0</v>
      </c>
      <c r="E417" s="134">
        <f t="shared" si="400"/>
        <v>0</v>
      </c>
      <c r="F417" s="134">
        <f t="shared" si="400"/>
        <v>0</v>
      </c>
      <c r="G417" s="134">
        <f t="shared" si="400"/>
        <v>0</v>
      </c>
      <c r="H417" s="134">
        <f t="shared" si="400"/>
        <v>0</v>
      </c>
      <c r="I417" s="163"/>
      <c r="J417" s="148"/>
      <c r="K417" s="148"/>
      <c r="L417" s="148"/>
      <c r="M417" s="148"/>
      <c r="N417" s="148"/>
      <c r="O417" s="148"/>
      <c r="P417" s="148"/>
      <c r="S417" s="35"/>
      <c r="U417" s="129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CU417" s="911">
        <f>CU94</f>
        <v>0</v>
      </c>
      <c r="CV417" s="68"/>
      <c r="CW417" s="68"/>
      <c r="CX417" s="862"/>
      <c r="CY417" s="862"/>
      <c r="CZ417" s="862"/>
      <c r="DA417" s="129"/>
      <c r="DB417" s="129"/>
      <c r="DC417" s="129"/>
      <c r="DD417" s="129"/>
      <c r="DE417" s="862"/>
      <c r="DF417" s="862"/>
      <c r="DG417" s="862"/>
      <c r="DH417" s="862"/>
      <c r="DI417" s="862"/>
      <c r="DJ417" s="862"/>
      <c r="DK417" s="862"/>
      <c r="DL417" s="862"/>
    </row>
    <row r="418" spans="1:116" x14ac:dyDescent="0.2">
      <c r="A418" s="169">
        <f t="shared" si="392"/>
        <v>0.19</v>
      </c>
      <c r="B418" s="992">
        <f t="shared" si="393"/>
        <v>0.19</v>
      </c>
      <c r="C418" s="73" t="str">
        <f t="shared" si="398"/>
        <v>Webseite, lfd. Webseitenpflege</v>
      </c>
      <c r="D418" s="134">
        <f t="shared" si="400"/>
        <v>0</v>
      </c>
      <c r="E418" s="134">
        <f t="shared" si="400"/>
        <v>0</v>
      </c>
      <c r="F418" s="134">
        <f t="shared" si="400"/>
        <v>0</v>
      </c>
      <c r="G418" s="134">
        <f t="shared" si="400"/>
        <v>0</v>
      </c>
      <c r="H418" s="134">
        <f t="shared" si="400"/>
        <v>0</v>
      </c>
      <c r="I418" s="163"/>
      <c r="J418" s="148"/>
      <c r="K418" s="148"/>
      <c r="L418" s="148"/>
      <c r="M418" s="148"/>
      <c r="N418" s="148"/>
      <c r="O418" s="148"/>
      <c r="P418" s="148"/>
      <c r="S418" s="35"/>
      <c r="U418" s="129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CU418" s="911">
        <f>CU97</f>
        <v>0</v>
      </c>
      <c r="CV418" s="68"/>
      <c r="CW418" s="68"/>
      <c r="CX418" s="862"/>
      <c r="CY418" s="862"/>
      <c r="CZ418" s="862"/>
      <c r="DA418" s="129"/>
      <c r="DB418" s="129"/>
      <c r="DC418" s="129"/>
      <c r="DD418" s="129"/>
      <c r="DE418" s="862"/>
      <c r="DF418" s="862"/>
      <c r="DG418" s="862"/>
      <c r="DH418" s="862"/>
      <c r="DI418" s="862"/>
      <c r="DJ418" s="862"/>
      <c r="DK418" s="862"/>
      <c r="DL418" s="862"/>
    </row>
    <row r="419" spans="1:116" x14ac:dyDescent="0.2">
      <c r="A419" s="169">
        <f t="shared" si="392"/>
        <v>0.19</v>
      </c>
      <c r="B419" s="992">
        <f t="shared" si="393"/>
        <v>0.19</v>
      </c>
      <c r="C419" s="73" t="str">
        <f t="shared" si="398"/>
        <v>Flyer, Prospekte, Broschüren, Anzeigen</v>
      </c>
      <c r="D419" s="134">
        <f t="shared" si="400"/>
        <v>0</v>
      </c>
      <c r="E419" s="134">
        <f t="shared" si="400"/>
        <v>0</v>
      </c>
      <c r="F419" s="134">
        <f t="shared" si="400"/>
        <v>0</v>
      </c>
      <c r="G419" s="134">
        <f t="shared" si="400"/>
        <v>0</v>
      </c>
      <c r="H419" s="134">
        <f t="shared" si="400"/>
        <v>0</v>
      </c>
      <c r="I419" s="163"/>
      <c r="J419" s="148"/>
      <c r="K419" s="148"/>
      <c r="L419" s="148"/>
      <c r="M419" s="148"/>
      <c r="N419" s="148"/>
      <c r="O419" s="148"/>
      <c r="P419" s="148"/>
      <c r="S419" s="35"/>
      <c r="U419" s="129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CU419" s="911">
        <f>CU103</f>
        <v>0</v>
      </c>
      <c r="CV419" s="68"/>
      <c r="CW419" s="68"/>
      <c r="CX419" s="862"/>
      <c r="CY419" s="862"/>
      <c r="CZ419" s="862"/>
      <c r="DA419" s="129"/>
      <c r="DB419" s="129"/>
      <c r="DC419" s="129"/>
      <c r="DD419" s="129"/>
      <c r="DE419" s="862"/>
      <c r="DF419" s="862"/>
      <c r="DG419" s="862"/>
      <c r="DH419" s="862"/>
      <c r="DI419" s="862"/>
      <c r="DJ419" s="862"/>
      <c r="DK419" s="862"/>
      <c r="DL419" s="862"/>
    </row>
    <row r="420" spans="1:116" x14ac:dyDescent="0.2">
      <c r="A420" s="169">
        <f t="shared" si="392"/>
        <v>0.19</v>
      </c>
      <c r="B420" s="992">
        <f t="shared" si="393"/>
        <v>0.19</v>
      </c>
      <c r="C420" s="73" t="str">
        <f t="shared" si="398"/>
        <v>Bewirtungskosten</v>
      </c>
      <c r="D420" s="134">
        <f t="shared" si="400"/>
        <v>0</v>
      </c>
      <c r="E420" s="134">
        <f t="shared" si="400"/>
        <v>0</v>
      </c>
      <c r="F420" s="134">
        <f t="shared" si="400"/>
        <v>0</v>
      </c>
      <c r="G420" s="134">
        <f t="shared" si="400"/>
        <v>0</v>
      </c>
      <c r="H420" s="134">
        <f t="shared" si="400"/>
        <v>0</v>
      </c>
      <c r="I420" s="163"/>
      <c r="J420" s="148"/>
      <c r="K420" s="148"/>
      <c r="L420" s="148"/>
      <c r="M420" s="148"/>
      <c r="N420" s="148"/>
      <c r="O420" s="148"/>
      <c r="P420" s="148"/>
      <c r="S420" s="35"/>
      <c r="U420" s="129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CU420" s="911">
        <f>CU123</f>
        <v>0</v>
      </c>
      <c r="CV420" s="68"/>
      <c r="CW420" s="68"/>
      <c r="CX420" s="862"/>
      <c r="CY420" s="862"/>
      <c r="CZ420" s="862"/>
      <c r="DA420" s="129"/>
      <c r="DB420" s="129"/>
      <c r="DC420" s="129"/>
      <c r="DD420" s="129"/>
      <c r="DE420" s="862"/>
      <c r="DF420" s="862"/>
      <c r="DG420" s="862"/>
      <c r="DH420" s="862"/>
      <c r="DI420" s="862"/>
      <c r="DJ420" s="862"/>
      <c r="DK420" s="862"/>
      <c r="DL420" s="862"/>
    </row>
    <row r="421" spans="1:116" x14ac:dyDescent="0.2">
      <c r="A421" s="169">
        <f t="shared" si="392"/>
        <v>7.0000000000000007E-2</v>
      </c>
      <c r="B421" s="992">
        <f t="shared" si="393"/>
        <v>7.0000000000000007E-2</v>
      </c>
      <c r="C421" s="73" t="str">
        <f t="shared" si="398"/>
        <v>Sonstiges, Messen, ...</v>
      </c>
      <c r="D421" s="880">
        <f t="shared" si="400"/>
        <v>0</v>
      </c>
      <c r="E421" s="880">
        <f t="shared" si="400"/>
        <v>0</v>
      </c>
      <c r="F421" s="880">
        <f t="shared" si="400"/>
        <v>0</v>
      </c>
      <c r="G421" s="880">
        <f t="shared" si="400"/>
        <v>0</v>
      </c>
      <c r="H421" s="880">
        <f t="shared" si="400"/>
        <v>0</v>
      </c>
      <c r="I421" s="163"/>
      <c r="J421" s="148"/>
      <c r="K421" s="148"/>
      <c r="L421" s="148"/>
      <c r="M421" s="148"/>
      <c r="N421" s="148"/>
      <c r="O421" s="148"/>
      <c r="P421" s="148"/>
      <c r="S421" s="35"/>
      <c r="U421" s="129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CU421" s="911">
        <f>CU127</f>
        <v>0</v>
      </c>
      <c r="CV421" s="68"/>
      <c r="CW421" s="68"/>
      <c r="CX421" s="862"/>
      <c r="CY421" s="862"/>
      <c r="CZ421" s="862"/>
      <c r="DA421" s="129"/>
      <c r="DB421" s="129"/>
      <c r="DC421" s="129"/>
      <c r="DD421" s="129"/>
      <c r="DE421" s="862"/>
      <c r="DF421" s="862"/>
      <c r="DG421" s="862"/>
      <c r="DH421" s="862"/>
      <c r="DI421" s="862"/>
      <c r="DJ421" s="862"/>
      <c r="DK421" s="862"/>
      <c r="DL421" s="862"/>
    </row>
    <row r="422" spans="1:116" x14ac:dyDescent="0.2">
      <c r="A422" s="169"/>
      <c r="B422" s="993"/>
      <c r="C422" s="96" t="str">
        <f t="shared" si="398"/>
        <v>Summe Marketing  u. Werbung</v>
      </c>
      <c r="D422" s="133">
        <f>SUM(D416:D421)</f>
        <v>0</v>
      </c>
      <c r="E422" s="133">
        <f>SUM(E416:E421)</f>
        <v>0</v>
      </c>
      <c r="F422" s="133">
        <f>SUM(F416:F421)</f>
        <v>0</v>
      </c>
      <c r="G422" s="133">
        <f>SUM(G416:G421)</f>
        <v>0</v>
      </c>
      <c r="H422" s="133">
        <f>SUM(H416:H421)</f>
        <v>0</v>
      </c>
      <c r="I422" s="163"/>
      <c r="J422" s="148"/>
      <c r="K422" s="148"/>
      <c r="L422" s="148"/>
      <c r="M422" s="148"/>
      <c r="N422" s="148"/>
      <c r="O422" s="148"/>
      <c r="P422" s="148"/>
      <c r="S422" s="35"/>
      <c r="U422" s="129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CU422" s="911">
        <f>CU134</f>
        <v>0</v>
      </c>
      <c r="CV422" s="68"/>
      <c r="CW422" s="68"/>
      <c r="CX422" s="862"/>
      <c r="CY422" s="862"/>
      <c r="CZ422" s="862"/>
      <c r="DA422" s="129"/>
      <c r="DB422" s="129"/>
      <c r="DC422" s="129"/>
      <c r="DD422" s="129"/>
      <c r="DE422" s="862"/>
      <c r="DF422" s="862"/>
      <c r="DG422" s="862"/>
      <c r="DH422" s="862"/>
      <c r="DI422" s="862"/>
      <c r="DJ422" s="862"/>
      <c r="DK422" s="862"/>
      <c r="DL422" s="862"/>
    </row>
    <row r="423" spans="1:116" x14ac:dyDescent="0.2">
      <c r="A423" s="169"/>
      <c r="B423" s="991">
        <f t="shared" si="393"/>
        <v>8</v>
      </c>
      <c r="C423" s="86" t="str">
        <f t="shared" si="398"/>
        <v>Rechts- und Beratungskosten</v>
      </c>
      <c r="D423" s="87"/>
      <c r="E423" s="87"/>
      <c r="F423" s="87"/>
      <c r="G423" s="87"/>
      <c r="H423" s="87"/>
      <c r="I423" s="163"/>
      <c r="J423" s="148"/>
      <c r="K423" s="148"/>
      <c r="L423" s="148"/>
      <c r="M423" s="148"/>
      <c r="N423" s="148"/>
      <c r="O423" s="148"/>
      <c r="P423" s="148"/>
      <c r="S423" s="35"/>
      <c r="U423" s="129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CU423" s="911">
        <f>CU141</f>
        <v>0</v>
      </c>
      <c r="CV423" s="68"/>
      <c r="CW423" s="68"/>
      <c r="CX423" s="862"/>
      <c r="CY423" s="862"/>
      <c r="CZ423" s="862"/>
      <c r="DA423" s="129"/>
      <c r="DB423" s="129"/>
      <c r="DC423" s="129"/>
      <c r="DD423" s="129"/>
      <c r="DE423" s="862"/>
      <c r="DF423" s="862"/>
      <c r="DG423" s="862"/>
      <c r="DH423" s="862"/>
      <c r="DI423" s="862"/>
      <c r="DJ423" s="862"/>
      <c r="DK423" s="862"/>
      <c r="DL423" s="862"/>
    </row>
    <row r="424" spans="1:116" x14ac:dyDescent="0.2">
      <c r="A424" s="169">
        <f t="shared" si="392"/>
        <v>0.19</v>
      </c>
      <c r="B424" s="992">
        <f t="shared" si="393"/>
        <v>0.19</v>
      </c>
      <c r="C424" s="73" t="str">
        <f t="shared" si="398"/>
        <v>Buchhaltung</v>
      </c>
      <c r="D424" s="134">
        <f t="shared" ref="D424:H426" si="401">D204*POWER((1+$A424),$D$234)</f>
        <v>0</v>
      </c>
      <c r="E424" s="134">
        <f t="shared" si="401"/>
        <v>0</v>
      </c>
      <c r="F424" s="134">
        <f t="shared" si="401"/>
        <v>0</v>
      </c>
      <c r="G424" s="134">
        <f t="shared" si="401"/>
        <v>0</v>
      </c>
      <c r="H424" s="134">
        <f t="shared" si="401"/>
        <v>0</v>
      </c>
      <c r="I424" s="163"/>
      <c r="J424" s="148"/>
      <c r="K424" s="148"/>
      <c r="L424" s="148"/>
      <c r="M424" s="148"/>
      <c r="N424" s="148"/>
      <c r="O424" s="148"/>
      <c r="P424" s="148"/>
      <c r="S424" s="35"/>
      <c r="U424" s="129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CU424" s="911">
        <f>CU143</f>
        <v>0</v>
      </c>
      <c r="CV424" s="68"/>
      <c r="CW424" s="68"/>
      <c r="CX424" s="862"/>
      <c r="CY424" s="862"/>
      <c r="CZ424" s="862"/>
      <c r="DA424" s="129"/>
      <c r="DB424" s="129"/>
      <c r="DC424" s="129"/>
      <c r="DD424" s="129"/>
      <c r="DE424" s="862"/>
      <c r="DF424" s="862"/>
      <c r="DG424" s="862"/>
      <c r="DH424" s="862"/>
      <c r="DI424" s="862"/>
      <c r="DJ424" s="862"/>
      <c r="DK424" s="862"/>
      <c r="DL424" s="862"/>
    </row>
    <row r="425" spans="1:116" x14ac:dyDescent="0.2">
      <c r="A425" s="169">
        <f t="shared" si="392"/>
        <v>0.19</v>
      </c>
      <c r="B425" s="992">
        <f t="shared" si="393"/>
        <v>0.19</v>
      </c>
      <c r="C425" s="73" t="str">
        <f t="shared" si="398"/>
        <v>Steuerberatung, Abschluss, Prüfung</v>
      </c>
      <c r="D425" s="134">
        <f t="shared" si="401"/>
        <v>0</v>
      </c>
      <c r="E425" s="134">
        <f t="shared" si="401"/>
        <v>0</v>
      </c>
      <c r="F425" s="134">
        <f t="shared" si="401"/>
        <v>0</v>
      </c>
      <c r="G425" s="134">
        <f t="shared" si="401"/>
        <v>0</v>
      </c>
      <c r="H425" s="134">
        <f t="shared" si="401"/>
        <v>0</v>
      </c>
      <c r="I425" s="163"/>
      <c r="J425" s="148"/>
      <c r="K425" s="148"/>
      <c r="L425" s="148"/>
      <c r="M425" s="148"/>
      <c r="N425" s="148"/>
      <c r="O425" s="148"/>
      <c r="P425" s="148"/>
      <c r="S425" s="35"/>
      <c r="U425" s="34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CV425" s="68"/>
      <c r="CW425" s="68"/>
      <c r="CX425" s="152"/>
      <c r="CY425" s="152"/>
      <c r="CZ425" s="152"/>
      <c r="DA425" s="34"/>
      <c r="DB425" s="34"/>
      <c r="DC425" s="34"/>
      <c r="DD425" s="34"/>
      <c r="DE425" s="152"/>
      <c r="DF425" s="152"/>
      <c r="DG425" s="152"/>
      <c r="DH425" s="152"/>
      <c r="DI425" s="152"/>
      <c r="DJ425" s="152"/>
      <c r="DK425" s="152"/>
      <c r="DL425" s="152"/>
    </row>
    <row r="426" spans="1:116" x14ac:dyDescent="0.2">
      <c r="A426" s="169">
        <f t="shared" si="392"/>
        <v>0.19</v>
      </c>
      <c r="B426" s="992">
        <f t="shared" si="393"/>
        <v>0.19</v>
      </c>
      <c r="C426" s="73" t="str">
        <f t="shared" si="398"/>
        <v>Sonstiges</v>
      </c>
      <c r="D426" s="134">
        <f t="shared" si="401"/>
        <v>0</v>
      </c>
      <c r="E426" s="134">
        <f t="shared" si="401"/>
        <v>0</v>
      </c>
      <c r="F426" s="134">
        <f t="shared" si="401"/>
        <v>0</v>
      </c>
      <c r="G426" s="134">
        <f t="shared" si="401"/>
        <v>0</v>
      </c>
      <c r="H426" s="134">
        <f t="shared" si="401"/>
        <v>0</v>
      </c>
      <c r="I426" s="163"/>
      <c r="J426" s="148"/>
      <c r="K426" s="148"/>
      <c r="L426" s="148"/>
      <c r="M426" s="148"/>
      <c r="N426" s="148"/>
      <c r="O426" s="148"/>
      <c r="P426" s="148"/>
      <c r="S426" s="35"/>
      <c r="U426" s="34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CV426" s="68"/>
      <c r="CW426" s="68"/>
      <c r="CX426" s="152"/>
      <c r="CY426" s="152"/>
      <c r="CZ426" s="152"/>
      <c r="DA426" s="34"/>
      <c r="DB426" s="34"/>
      <c r="DC426" s="34"/>
      <c r="DD426" s="34"/>
      <c r="DE426" s="152"/>
      <c r="DF426" s="152"/>
      <c r="DG426" s="152"/>
      <c r="DH426" s="152"/>
      <c r="DI426" s="152"/>
      <c r="DJ426" s="152"/>
      <c r="DK426" s="152"/>
      <c r="DL426" s="152"/>
    </row>
    <row r="427" spans="1:116" x14ac:dyDescent="0.2">
      <c r="A427" s="169"/>
      <c r="B427" s="993"/>
      <c r="C427" s="96" t="str">
        <f t="shared" si="398"/>
        <v>Summe Rechts- und Beratungskosten</v>
      </c>
      <c r="D427" s="133">
        <f>SUM(D424:D426)</f>
        <v>0</v>
      </c>
      <c r="E427" s="133">
        <f>SUM(E424:E426)</f>
        <v>0</v>
      </c>
      <c r="F427" s="133">
        <f>SUM(F424:F426)</f>
        <v>0</v>
      </c>
      <c r="G427" s="133">
        <f>SUM(G424:G426)</f>
        <v>0</v>
      </c>
      <c r="H427" s="133">
        <f>SUM(H424:H426)</f>
        <v>0</v>
      </c>
      <c r="I427" s="163"/>
      <c r="J427" s="148"/>
      <c r="K427" s="148"/>
      <c r="L427" s="148"/>
      <c r="M427" s="148"/>
      <c r="N427" s="148"/>
      <c r="O427" s="148"/>
      <c r="P427" s="148"/>
      <c r="S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CV427" s="68"/>
      <c r="CW427" s="68"/>
      <c r="CX427" s="152"/>
      <c r="CY427" s="152"/>
      <c r="CZ427" s="152"/>
      <c r="DA427" s="34"/>
      <c r="DB427" s="34"/>
      <c r="DC427" s="34"/>
      <c r="DD427" s="34"/>
      <c r="DE427" s="152"/>
      <c r="DF427" s="152"/>
      <c r="DG427" s="152"/>
      <c r="DH427" s="152"/>
      <c r="DI427" s="152"/>
      <c r="DJ427" s="152"/>
      <c r="DK427" s="152"/>
      <c r="DL427" s="152"/>
    </row>
    <row r="428" spans="1:116" x14ac:dyDescent="0.2">
      <c r="A428" s="169"/>
      <c r="B428" s="991">
        <f t="shared" si="393"/>
        <v>9</v>
      </c>
      <c r="C428" s="63" t="str">
        <f t="shared" si="398"/>
        <v>Verschiedenes</v>
      </c>
      <c r="D428" s="87"/>
      <c r="E428" s="87"/>
      <c r="F428" s="87"/>
      <c r="G428" s="87"/>
      <c r="H428" s="87"/>
      <c r="I428" s="163"/>
      <c r="J428" s="148"/>
      <c r="K428" s="148"/>
      <c r="L428" s="148"/>
      <c r="M428" s="148"/>
      <c r="N428" s="148"/>
      <c r="O428" s="148"/>
      <c r="P428" s="148"/>
      <c r="S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CV428" s="68"/>
      <c r="CW428" s="68"/>
      <c r="CX428" s="152"/>
      <c r="CY428" s="152"/>
      <c r="CZ428" s="152"/>
      <c r="DA428" s="34"/>
      <c r="DB428" s="34"/>
      <c r="DC428" s="34"/>
      <c r="DD428" s="34"/>
      <c r="DE428" s="152"/>
      <c r="DF428" s="152"/>
      <c r="DG428" s="152"/>
      <c r="DH428" s="152"/>
      <c r="DI428" s="152"/>
      <c r="DJ428" s="152"/>
      <c r="DK428" s="152"/>
      <c r="DL428" s="152"/>
    </row>
    <row r="429" spans="1:116" x14ac:dyDescent="0.2">
      <c r="A429" s="169">
        <f t="shared" si="392"/>
        <v>0</v>
      </c>
      <c r="B429" s="992">
        <f t="shared" si="393"/>
        <v>0</v>
      </c>
      <c r="C429" s="73" t="str">
        <f t="shared" si="398"/>
        <v>Finanzaufwand / Zinsen *)</v>
      </c>
      <c r="D429" s="153">
        <f t="shared" ref="D429:H433" si="402">D209*POWER((1+$A429),$D$234)</f>
        <v>0</v>
      </c>
      <c r="E429" s="153">
        <f t="shared" si="402"/>
        <v>0</v>
      </c>
      <c r="F429" s="153">
        <f t="shared" si="402"/>
        <v>0</v>
      </c>
      <c r="G429" s="153">
        <f t="shared" si="402"/>
        <v>0</v>
      </c>
      <c r="H429" s="153">
        <f t="shared" si="402"/>
        <v>0</v>
      </c>
      <c r="I429" s="163"/>
      <c r="J429" s="148"/>
      <c r="K429" s="148"/>
      <c r="L429" s="148"/>
      <c r="M429" s="148"/>
      <c r="N429" s="148"/>
      <c r="O429" s="148"/>
      <c r="P429" s="148"/>
      <c r="S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CV429" s="68"/>
      <c r="CW429" s="68"/>
      <c r="CX429" s="152"/>
      <c r="CY429" s="152"/>
      <c r="CZ429" s="152"/>
      <c r="DA429" s="34"/>
      <c r="DB429" s="34"/>
      <c r="DC429" s="34"/>
      <c r="DD429" s="34"/>
      <c r="DE429" s="152"/>
      <c r="DF429" s="152"/>
      <c r="DG429" s="152"/>
      <c r="DH429" s="152"/>
      <c r="DI429" s="152"/>
      <c r="DJ429" s="152"/>
      <c r="DK429" s="152"/>
      <c r="DL429" s="152"/>
    </row>
    <row r="430" spans="1:116" x14ac:dyDescent="0.2">
      <c r="A430" s="169">
        <f t="shared" si="392"/>
        <v>0.19</v>
      </c>
      <c r="B430" s="992">
        <f t="shared" si="393"/>
        <v>0.19</v>
      </c>
      <c r="C430" s="73" t="str">
        <f t="shared" si="398"/>
        <v>Reisekosten</v>
      </c>
      <c r="D430" s="134">
        <f t="shared" si="402"/>
        <v>0</v>
      </c>
      <c r="E430" s="134">
        <f t="shared" si="402"/>
        <v>0</v>
      </c>
      <c r="F430" s="134">
        <f t="shared" si="402"/>
        <v>0</v>
      </c>
      <c r="G430" s="134">
        <f t="shared" si="402"/>
        <v>0</v>
      </c>
      <c r="H430" s="134">
        <f t="shared" si="402"/>
        <v>0</v>
      </c>
      <c r="I430" s="163"/>
      <c r="J430" s="148"/>
      <c r="K430" s="148"/>
      <c r="L430" s="148"/>
      <c r="M430" s="148"/>
      <c r="N430" s="148"/>
      <c r="O430" s="148"/>
      <c r="P430" s="148"/>
      <c r="S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CV430" s="68"/>
      <c r="CW430" s="68"/>
      <c r="CX430" s="152"/>
      <c r="CY430" s="152"/>
      <c r="CZ430" s="152"/>
      <c r="DA430" s="34"/>
      <c r="DB430" s="34"/>
      <c r="DC430" s="34"/>
      <c r="DD430" s="34"/>
      <c r="DE430" s="152"/>
      <c r="DF430" s="152"/>
      <c r="DG430" s="152"/>
      <c r="DH430" s="152"/>
      <c r="DI430" s="152"/>
      <c r="DJ430" s="152"/>
      <c r="DK430" s="152"/>
      <c r="DL430" s="152"/>
    </row>
    <row r="431" spans="1:116" x14ac:dyDescent="0.2">
      <c r="A431" s="169">
        <f t="shared" si="392"/>
        <v>7.0000000000000007E-2</v>
      </c>
      <c r="B431" s="992">
        <f t="shared" si="393"/>
        <v>7.0000000000000007E-2</v>
      </c>
      <c r="C431" s="73" t="str">
        <f t="shared" si="398"/>
        <v>Fachliteratur, Bücher</v>
      </c>
      <c r="D431" s="134">
        <f t="shared" si="402"/>
        <v>0</v>
      </c>
      <c r="E431" s="134">
        <f t="shared" si="402"/>
        <v>0</v>
      </c>
      <c r="F431" s="134">
        <f t="shared" si="402"/>
        <v>0</v>
      </c>
      <c r="G431" s="134">
        <f t="shared" si="402"/>
        <v>0</v>
      </c>
      <c r="H431" s="134">
        <f t="shared" si="402"/>
        <v>0</v>
      </c>
      <c r="I431" s="163"/>
      <c r="J431" s="148"/>
      <c r="K431" s="148"/>
      <c r="L431" s="148"/>
      <c r="M431" s="148"/>
      <c r="N431" s="148"/>
      <c r="O431" s="148"/>
      <c r="P431" s="148"/>
      <c r="S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CV431" s="68"/>
      <c r="CW431" s="68"/>
      <c r="CX431" s="152"/>
      <c r="CY431" s="152"/>
      <c r="CZ431" s="152"/>
      <c r="DA431" s="34"/>
      <c r="DB431" s="34"/>
      <c r="DC431" s="34"/>
      <c r="DD431" s="34"/>
      <c r="DE431" s="152"/>
      <c r="DF431" s="152"/>
      <c r="DG431" s="152"/>
      <c r="DH431" s="152"/>
      <c r="DI431" s="152"/>
      <c r="DJ431" s="152"/>
      <c r="DK431" s="152"/>
      <c r="DL431" s="152"/>
    </row>
    <row r="432" spans="1:116" x14ac:dyDescent="0.2">
      <c r="A432" s="169">
        <f t="shared" si="392"/>
        <v>0.19</v>
      </c>
      <c r="B432" s="992">
        <f t="shared" si="393"/>
        <v>0.19</v>
      </c>
      <c r="C432" s="73" t="str">
        <f t="shared" si="398"/>
        <v>Schulungen</v>
      </c>
      <c r="D432" s="134">
        <f t="shared" si="402"/>
        <v>0</v>
      </c>
      <c r="E432" s="134">
        <f t="shared" si="402"/>
        <v>0</v>
      </c>
      <c r="F432" s="134">
        <f t="shared" si="402"/>
        <v>0</v>
      </c>
      <c r="G432" s="134">
        <f t="shared" si="402"/>
        <v>0</v>
      </c>
      <c r="H432" s="134">
        <f t="shared" si="402"/>
        <v>0</v>
      </c>
      <c r="I432" s="163"/>
      <c r="J432" s="148"/>
      <c r="K432" s="148"/>
      <c r="L432" s="148"/>
      <c r="M432" s="148"/>
      <c r="N432" s="148"/>
      <c r="O432" s="148"/>
      <c r="P432" s="148"/>
      <c r="S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CV432" s="68"/>
      <c r="CW432" s="68"/>
      <c r="CX432" s="152"/>
      <c r="CY432" s="152"/>
      <c r="CZ432" s="152"/>
      <c r="DA432" s="34"/>
      <c r="DB432" s="34"/>
      <c r="DC432" s="34"/>
      <c r="DD432" s="34"/>
      <c r="DE432" s="152"/>
      <c r="DF432" s="152"/>
      <c r="DG432" s="152"/>
      <c r="DH432" s="152"/>
      <c r="DI432" s="152"/>
      <c r="DJ432" s="152"/>
      <c r="DK432" s="152"/>
      <c r="DL432" s="152"/>
    </row>
    <row r="433" spans="1:121" x14ac:dyDescent="0.2">
      <c r="A433" s="169">
        <f t="shared" si="392"/>
        <v>7.0000000000000007E-2</v>
      </c>
      <c r="B433" s="992">
        <f t="shared" si="393"/>
        <v>7.0000000000000007E-2</v>
      </c>
      <c r="C433" s="73" t="str">
        <f t="shared" si="398"/>
        <v>Sonstiges</v>
      </c>
      <c r="D433" s="880">
        <f t="shared" si="402"/>
        <v>0</v>
      </c>
      <c r="E433" s="880">
        <f t="shared" si="402"/>
        <v>0</v>
      </c>
      <c r="F433" s="880">
        <f t="shared" si="402"/>
        <v>0</v>
      </c>
      <c r="G433" s="880">
        <f t="shared" si="402"/>
        <v>0</v>
      </c>
      <c r="H433" s="880">
        <f t="shared" si="402"/>
        <v>0</v>
      </c>
      <c r="I433" s="163"/>
      <c r="J433" s="148"/>
      <c r="K433" s="148"/>
      <c r="L433" s="148"/>
      <c r="M433" s="148"/>
      <c r="N433" s="148"/>
      <c r="O433" s="148"/>
      <c r="P433" s="148"/>
      <c r="S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CV433" s="68"/>
      <c r="CW433" s="68"/>
      <c r="CX433" s="152"/>
      <c r="CY433" s="152"/>
      <c r="CZ433" s="152"/>
      <c r="DA433" s="34"/>
      <c r="DB433" s="34"/>
      <c r="DC433" s="34"/>
      <c r="DD433" s="34"/>
      <c r="DE433" s="152"/>
      <c r="DF433" s="152"/>
      <c r="DG433" s="152"/>
      <c r="DH433" s="152"/>
      <c r="DI433" s="152"/>
      <c r="DJ433" s="152"/>
      <c r="DK433" s="152"/>
      <c r="DL433" s="152"/>
    </row>
    <row r="434" spans="1:121" ht="15" thickBot="1" x14ac:dyDescent="0.25">
      <c r="A434" s="169"/>
      <c r="B434" s="994"/>
      <c r="C434" s="96" t="str">
        <f t="shared" si="398"/>
        <v>Summe Verschiedenes</v>
      </c>
      <c r="D434" s="133">
        <f>SUM(D429:D433)</f>
        <v>0</v>
      </c>
      <c r="E434" s="133">
        <f>SUM(E429:E433)</f>
        <v>0</v>
      </c>
      <c r="F434" s="133">
        <f>SUM(F429:F433)</f>
        <v>0</v>
      </c>
      <c r="G434" s="133">
        <f>SUM(G429:G433)</f>
        <v>0</v>
      </c>
      <c r="H434" s="133">
        <f>SUM(H429:H433)</f>
        <v>0</v>
      </c>
      <c r="I434" s="163"/>
      <c r="J434" s="148"/>
      <c r="K434" s="148"/>
      <c r="L434" s="148"/>
      <c r="M434" s="148"/>
      <c r="N434" s="148"/>
      <c r="O434" s="148"/>
      <c r="P434" s="148"/>
      <c r="S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CV434" s="68"/>
      <c r="CW434" s="68"/>
      <c r="CX434" s="152"/>
      <c r="CY434" s="152"/>
      <c r="CZ434" s="152"/>
      <c r="DA434" s="34"/>
      <c r="DB434" s="34"/>
      <c r="DC434" s="34"/>
      <c r="DD434" s="34"/>
      <c r="DE434" s="152"/>
      <c r="DF434" s="152"/>
      <c r="DG434" s="152"/>
      <c r="DH434" s="152"/>
      <c r="DI434" s="152"/>
      <c r="DJ434" s="152"/>
      <c r="DK434" s="152"/>
      <c r="DL434" s="152"/>
    </row>
    <row r="435" spans="1:121" ht="15" thickTop="1" x14ac:dyDescent="0.2">
      <c r="A435" s="169"/>
      <c r="B435" s="995"/>
      <c r="C435" s="99" t="str">
        <f t="shared" si="398"/>
        <v>Summe Betriebskosten I</v>
      </c>
      <c r="D435" s="100">
        <f>SUM(D375:D434)/2</f>
        <v>0</v>
      </c>
      <c r="E435" s="100">
        <f>SUM(E375:E434)/2</f>
        <v>0</v>
      </c>
      <c r="F435" s="100">
        <f>SUM(F375:F434)/2</f>
        <v>0</v>
      </c>
      <c r="G435" s="100">
        <f>SUM(G375:G434)/2</f>
        <v>0</v>
      </c>
      <c r="H435" s="100">
        <f>SUM(H375:H434)/2</f>
        <v>0</v>
      </c>
      <c r="I435" s="161"/>
      <c r="J435" s="162"/>
      <c r="K435" s="162"/>
      <c r="L435" s="162"/>
      <c r="M435" s="162"/>
      <c r="N435" s="162"/>
      <c r="O435" s="162"/>
      <c r="P435" s="162"/>
      <c r="Q435" s="1573"/>
      <c r="S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CV435" s="68"/>
      <c r="CW435" s="68"/>
      <c r="CX435" s="152"/>
      <c r="CY435" s="152"/>
      <c r="CZ435" s="152"/>
      <c r="DA435" s="34"/>
      <c r="DB435" s="34"/>
      <c r="DC435" s="34"/>
      <c r="DD435" s="34"/>
      <c r="DE435" s="152"/>
      <c r="DF435" s="152"/>
      <c r="DG435" s="152"/>
      <c r="DH435" s="152"/>
      <c r="DI435" s="152"/>
      <c r="DJ435" s="152"/>
      <c r="DK435" s="152"/>
      <c r="DL435" s="152"/>
    </row>
    <row r="436" spans="1:121" ht="15" thickBot="1" x14ac:dyDescent="0.25">
      <c r="A436" s="169"/>
      <c r="B436" s="172"/>
      <c r="C436" s="102" t="str">
        <f t="shared" si="398"/>
        <v>Abschreibungen (aus "3 Anschaffungen|Investment")</v>
      </c>
      <c r="D436" s="103">
        <f>D205</f>
        <v>0</v>
      </c>
      <c r="E436" s="103">
        <f>E205*POWER((1+$A436),$D$234)</f>
        <v>0</v>
      </c>
      <c r="F436" s="103">
        <f>F205*POWER((1+$A436),$D$234)</f>
        <v>0</v>
      </c>
      <c r="G436" s="103">
        <f>G205*POWER((1+$A436),$D$234)</f>
        <v>0</v>
      </c>
      <c r="H436" s="103">
        <f>H205*POWER((1+$A436),$D$234)</f>
        <v>0</v>
      </c>
      <c r="I436" s="163"/>
      <c r="J436" s="148"/>
      <c r="K436" s="148"/>
      <c r="L436" s="148"/>
      <c r="M436" s="148"/>
      <c r="N436" s="148"/>
      <c r="O436" s="148"/>
      <c r="P436" s="148"/>
      <c r="S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CV436" s="68"/>
      <c r="CW436" s="68"/>
      <c r="CX436" s="152"/>
      <c r="CY436" s="152"/>
      <c r="CZ436" s="152"/>
      <c r="DA436" s="34"/>
      <c r="DB436" s="34"/>
      <c r="DC436" s="34"/>
      <c r="DD436" s="34"/>
      <c r="DE436" s="152"/>
      <c r="DF436" s="152"/>
      <c r="DG436" s="152"/>
      <c r="DH436" s="152"/>
      <c r="DI436" s="152"/>
      <c r="DJ436" s="152"/>
      <c r="DK436" s="152"/>
      <c r="DL436" s="152"/>
    </row>
    <row r="437" spans="1:121" ht="15.75" thickTop="1" thickBot="1" x14ac:dyDescent="0.25">
      <c r="A437" s="169"/>
      <c r="B437" s="996"/>
      <c r="C437" s="106" t="str">
        <f t="shared" si="398"/>
        <v>Summe Betriebskosten II</v>
      </c>
      <c r="D437" s="107">
        <f>SUM(D435:D436)</f>
        <v>0</v>
      </c>
      <c r="E437" s="107">
        <f>SUM(E435:E436)</f>
        <v>0</v>
      </c>
      <c r="F437" s="107">
        <f>SUM(F435:F436)</f>
        <v>0</v>
      </c>
      <c r="G437" s="107">
        <f>SUM(G435:G436)</f>
        <v>0</v>
      </c>
      <c r="H437" s="107">
        <f>SUM(H435:H436)</f>
        <v>0</v>
      </c>
      <c r="I437" s="161"/>
      <c r="J437" s="162"/>
      <c r="K437" s="162"/>
      <c r="L437" s="162"/>
      <c r="M437" s="162"/>
      <c r="N437" s="162"/>
      <c r="O437" s="162"/>
      <c r="P437" s="162"/>
      <c r="Q437" s="1573"/>
      <c r="S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CV437" s="68"/>
      <c r="CW437" s="68"/>
      <c r="CX437" s="152"/>
      <c r="CY437" s="152"/>
      <c r="CZ437" s="152"/>
      <c r="DA437" s="34"/>
      <c r="DB437" s="34"/>
      <c r="DC437" s="34"/>
      <c r="DD437" s="34"/>
      <c r="DE437" s="152"/>
      <c r="DF437" s="152"/>
      <c r="DG437" s="152"/>
      <c r="DH437" s="152"/>
      <c r="DI437" s="152"/>
      <c r="DJ437" s="152"/>
      <c r="DK437" s="152"/>
      <c r="DL437" s="152"/>
    </row>
    <row r="438" spans="1:121" s="35" customFormat="1" x14ac:dyDescent="0.2">
      <c r="A438" s="129"/>
      <c r="C438" s="33" t="str">
        <f>C70</f>
        <v>*) wird aus Tabelle "7 Finanzierung|Financing" übernommen (auf ganze Euro gerundet!)</v>
      </c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565"/>
      <c r="R438" s="1097"/>
      <c r="CU438" s="875"/>
      <c r="CV438" s="68"/>
      <c r="CW438" s="68"/>
      <c r="CX438" s="152"/>
      <c r="CY438" s="152"/>
      <c r="CZ438" s="152"/>
      <c r="DA438" s="34"/>
      <c r="DB438" s="34"/>
      <c r="DC438" s="34"/>
      <c r="DD438" s="34"/>
      <c r="DE438" s="152"/>
      <c r="DF438" s="152"/>
      <c r="DG438" s="152"/>
      <c r="DH438" s="152"/>
      <c r="DI438" s="152"/>
      <c r="DJ438" s="152"/>
      <c r="DK438" s="152"/>
      <c r="DL438" s="152"/>
      <c r="DM438" s="152"/>
      <c r="DN438" s="152"/>
      <c r="DO438" s="152"/>
      <c r="DP438" s="152"/>
      <c r="DQ438" s="152"/>
    </row>
    <row r="439" spans="1:121" s="35" customFormat="1" x14ac:dyDescent="0.2">
      <c r="A439" s="129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565"/>
      <c r="R439" s="1097"/>
      <c r="CU439" s="875"/>
      <c r="CV439" s="68"/>
      <c r="CW439" s="68"/>
      <c r="CX439" s="152"/>
      <c r="CY439" s="152"/>
      <c r="CZ439" s="152"/>
      <c r="DA439" s="34"/>
      <c r="DB439" s="34"/>
      <c r="DC439" s="34"/>
      <c r="DD439" s="34"/>
      <c r="DE439" s="152"/>
      <c r="DF439" s="152"/>
      <c r="DG439" s="152"/>
      <c r="DH439" s="152"/>
      <c r="DI439" s="152"/>
      <c r="DJ439" s="152"/>
      <c r="DK439" s="152"/>
      <c r="DL439" s="152"/>
      <c r="DM439" s="152"/>
      <c r="DN439" s="152"/>
      <c r="DO439" s="152"/>
      <c r="DP439" s="152"/>
      <c r="DQ439" s="152"/>
    </row>
    <row r="440" spans="1:121" s="35" customFormat="1" x14ac:dyDescent="0.2">
      <c r="A440" s="129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565"/>
      <c r="R440" s="1097"/>
      <c r="CU440" s="875"/>
      <c r="CV440" s="68"/>
      <c r="CW440" s="68"/>
      <c r="CX440" s="152"/>
      <c r="CY440" s="152"/>
      <c r="CZ440" s="152"/>
      <c r="DA440" s="34"/>
      <c r="DB440" s="34"/>
      <c r="DC440" s="34"/>
      <c r="DD440" s="34"/>
      <c r="DE440" s="152"/>
      <c r="DF440" s="152"/>
      <c r="DG440" s="152"/>
      <c r="DH440" s="152"/>
      <c r="DI440" s="152"/>
      <c r="DJ440" s="152"/>
      <c r="DK440" s="152"/>
      <c r="DL440" s="152"/>
      <c r="DM440" s="152"/>
      <c r="DN440" s="152"/>
      <c r="DO440" s="152"/>
      <c r="DP440" s="152"/>
      <c r="DQ440" s="152"/>
    </row>
    <row r="441" spans="1:121" s="35" customFormat="1" x14ac:dyDescent="0.2">
      <c r="A441" s="129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565"/>
      <c r="R441" s="1097"/>
      <c r="CU441" s="875"/>
      <c r="CV441" s="68"/>
      <c r="CW441" s="68"/>
      <c r="CX441" s="152"/>
      <c r="CY441" s="152"/>
      <c r="CZ441" s="152"/>
      <c r="DA441" s="34"/>
      <c r="DB441" s="34"/>
      <c r="DC441" s="34"/>
      <c r="DD441" s="34"/>
      <c r="DE441" s="152"/>
      <c r="DF441" s="152"/>
      <c r="DG441" s="152"/>
      <c r="DH441" s="152"/>
      <c r="DI441" s="152"/>
      <c r="DJ441" s="152"/>
      <c r="DK441" s="152"/>
      <c r="DL441" s="152"/>
      <c r="DM441" s="152"/>
      <c r="DN441" s="152"/>
      <c r="DO441" s="152"/>
      <c r="DP441" s="152"/>
      <c r="DQ441" s="152"/>
    </row>
    <row r="442" spans="1:121" s="35" customFormat="1" x14ac:dyDescent="0.2">
      <c r="A442" s="129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565"/>
      <c r="R442" s="1097"/>
      <c r="CU442" s="875"/>
      <c r="CV442" s="68"/>
      <c r="CW442" s="68"/>
      <c r="CX442" s="152"/>
      <c r="CY442" s="152"/>
      <c r="CZ442" s="152"/>
      <c r="DA442" s="34"/>
      <c r="DB442" s="34"/>
      <c r="DC442" s="34"/>
      <c r="DD442" s="34"/>
      <c r="DE442" s="152"/>
      <c r="DF442" s="152"/>
      <c r="DG442" s="152"/>
      <c r="DH442" s="152"/>
      <c r="DI442" s="152"/>
      <c r="DJ442" s="152"/>
      <c r="DK442" s="152"/>
      <c r="DL442" s="152"/>
      <c r="DM442" s="152"/>
      <c r="DN442" s="152"/>
      <c r="DO442" s="152"/>
      <c r="DP442" s="152"/>
      <c r="DQ442" s="152"/>
    </row>
    <row r="443" spans="1:121" s="35" customFormat="1" x14ac:dyDescent="0.2">
      <c r="A443" s="129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565"/>
      <c r="R443" s="1097"/>
      <c r="CU443" s="875"/>
      <c r="CV443" s="68"/>
      <c r="CW443" s="68"/>
      <c r="CX443" s="152"/>
      <c r="CY443" s="152"/>
      <c r="CZ443" s="152"/>
      <c r="DA443" s="34"/>
      <c r="DB443" s="34"/>
      <c r="DC443" s="34"/>
      <c r="DD443" s="34"/>
      <c r="DE443" s="152"/>
      <c r="DF443" s="152"/>
      <c r="DG443" s="152"/>
      <c r="DH443" s="152"/>
      <c r="DI443" s="152"/>
      <c r="DJ443" s="152"/>
      <c r="DK443" s="152"/>
      <c r="DL443" s="152"/>
      <c r="DM443" s="152"/>
      <c r="DN443" s="152"/>
      <c r="DO443" s="152"/>
      <c r="DP443" s="152"/>
      <c r="DQ443" s="152"/>
    </row>
    <row r="444" spans="1:121" s="35" customFormat="1" x14ac:dyDescent="0.2">
      <c r="A444" s="129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565"/>
      <c r="R444" s="1097"/>
      <c r="CU444" s="875"/>
      <c r="CV444" s="68"/>
      <c r="CW444" s="68"/>
      <c r="CX444" s="152"/>
      <c r="CY444" s="152"/>
      <c r="CZ444" s="152"/>
      <c r="DA444" s="34"/>
      <c r="DB444" s="34"/>
      <c r="DC444" s="34"/>
      <c r="DD444" s="34"/>
      <c r="DE444" s="152"/>
      <c r="DF444" s="152"/>
      <c r="DG444" s="152"/>
      <c r="DH444" s="152"/>
      <c r="DI444" s="152"/>
      <c r="DJ444" s="152"/>
      <c r="DK444" s="152"/>
      <c r="DL444" s="152"/>
      <c r="DM444" s="152"/>
      <c r="DN444" s="152"/>
      <c r="DO444" s="152"/>
      <c r="DP444" s="152"/>
      <c r="DQ444" s="152"/>
    </row>
    <row r="445" spans="1:121" s="35" customFormat="1" x14ac:dyDescent="0.2">
      <c r="A445" s="129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565"/>
      <c r="R445" s="1097"/>
      <c r="CU445" s="875"/>
      <c r="CV445" s="68"/>
      <c r="CW445" s="68"/>
      <c r="CX445" s="152"/>
      <c r="CY445" s="152"/>
      <c r="CZ445" s="152"/>
      <c r="DA445" s="34"/>
      <c r="DB445" s="34"/>
      <c r="DC445" s="34"/>
      <c r="DD445" s="34"/>
      <c r="DE445" s="152"/>
      <c r="DF445" s="152"/>
      <c r="DG445" s="152"/>
      <c r="DH445" s="152"/>
      <c r="DI445" s="152"/>
      <c r="DJ445" s="152"/>
      <c r="DK445" s="152"/>
      <c r="DL445" s="152"/>
      <c r="DM445" s="152"/>
      <c r="DN445" s="152"/>
      <c r="DO445" s="152"/>
      <c r="DP445" s="152"/>
      <c r="DQ445" s="152"/>
    </row>
    <row r="446" spans="1:121" s="35" customFormat="1" x14ac:dyDescent="0.2">
      <c r="A446" s="129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565"/>
      <c r="R446" s="1097"/>
      <c r="CU446" s="875"/>
      <c r="CV446" s="68"/>
      <c r="CW446" s="68"/>
      <c r="CX446" s="152"/>
      <c r="CY446" s="152"/>
      <c r="CZ446" s="152"/>
      <c r="DA446" s="34"/>
      <c r="DB446" s="34"/>
      <c r="DC446" s="34"/>
      <c r="DD446" s="34"/>
      <c r="DE446" s="152"/>
      <c r="DF446" s="152"/>
      <c r="DG446" s="152"/>
      <c r="DH446" s="152"/>
      <c r="DI446" s="152"/>
      <c r="DJ446" s="152"/>
      <c r="DK446" s="152"/>
      <c r="DL446" s="152"/>
      <c r="DM446" s="152"/>
      <c r="DN446" s="152"/>
      <c r="DO446" s="152"/>
      <c r="DP446" s="152"/>
      <c r="DQ446" s="152"/>
    </row>
    <row r="447" spans="1:121" s="35" customFormat="1" x14ac:dyDescent="0.2">
      <c r="A447" s="129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565"/>
      <c r="R447" s="1097"/>
      <c r="CU447" s="875"/>
      <c r="CV447" s="68"/>
      <c r="CW447" s="68"/>
      <c r="CX447" s="152"/>
      <c r="CY447" s="152"/>
      <c r="CZ447" s="152"/>
      <c r="DA447" s="34"/>
      <c r="DB447" s="34"/>
      <c r="DC447" s="34"/>
      <c r="DD447" s="34"/>
      <c r="DE447" s="152"/>
      <c r="DF447" s="152"/>
      <c r="DG447" s="152"/>
      <c r="DH447" s="152"/>
      <c r="DI447" s="152"/>
      <c r="DJ447" s="152"/>
      <c r="DK447" s="152"/>
      <c r="DL447" s="152"/>
      <c r="DM447" s="152"/>
      <c r="DN447" s="152"/>
      <c r="DO447" s="152"/>
      <c r="DP447" s="152"/>
      <c r="DQ447" s="152"/>
    </row>
    <row r="448" spans="1:121" s="35" customFormat="1" x14ac:dyDescent="0.2">
      <c r="A448" s="129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565"/>
      <c r="R448" s="1097"/>
      <c r="CU448" s="875"/>
      <c r="CV448" s="68"/>
      <c r="CW448" s="68"/>
      <c r="CX448" s="152"/>
      <c r="CY448" s="152"/>
      <c r="CZ448" s="152"/>
      <c r="DA448" s="34"/>
      <c r="DB448" s="34"/>
      <c r="DC448" s="34"/>
      <c r="DD448" s="34"/>
      <c r="DE448" s="152"/>
      <c r="DF448" s="152"/>
      <c r="DG448" s="152"/>
      <c r="DH448" s="152"/>
      <c r="DI448" s="152"/>
      <c r="DJ448" s="152"/>
      <c r="DK448" s="152"/>
      <c r="DL448" s="152"/>
      <c r="DM448" s="152"/>
      <c r="DN448" s="152"/>
      <c r="DO448" s="152"/>
      <c r="DP448" s="152"/>
      <c r="DQ448" s="152"/>
    </row>
    <row r="449" spans="1:121" s="35" customFormat="1" x14ac:dyDescent="0.2">
      <c r="A449" s="34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565"/>
      <c r="R449" s="1097"/>
      <c r="CU449" s="875"/>
      <c r="CV449" s="68"/>
      <c r="CW449" s="68"/>
      <c r="CX449" s="152"/>
      <c r="CY449" s="152"/>
      <c r="CZ449" s="152"/>
      <c r="DA449" s="34"/>
      <c r="DB449" s="34"/>
      <c r="DC449" s="34"/>
      <c r="DD449" s="34"/>
      <c r="DE449" s="152"/>
      <c r="DF449" s="152"/>
      <c r="DG449" s="152"/>
      <c r="DH449" s="152"/>
      <c r="DI449" s="152"/>
      <c r="DJ449" s="152"/>
      <c r="DK449" s="152"/>
      <c r="DL449" s="152"/>
      <c r="DM449" s="152"/>
      <c r="DN449" s="152"/>
      <c r="DO449" s="152"/>
      <c r="DP449" s="152"/>
      <c r="DQ449" s="152"/>
    </row>
    <row r="450" spans="1:121" s="35" customFormat="1" x14ac:dyDescent="0.2">
      <c r="A450" s="34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565"/>
      <c r="R450" s="1097"/>
      <c r="CU450" s="875"/>
      <c r="CV450" s="68"/>
      <c r="CW450" s="68"/>
      <c r="CX450" s="152"/>
      <c r="CY450" s="152"/>
      <c r="CZ450" s="152"/>
      <c r="DA450" s="34"/>
      <c r="DB450" s="34"/>
      <c r="DC450" s="34"/>
      <c r="DD450" s="34"/>
      <c r="DE450" s="152"/>
      <c r="DF450" s="152"/>
      <c r="DG450" s="152"/>
      <c r="DH450" s="152"/>
      <c r="DI450" s="152"/>
      <c r="DJ450" s="152"/>
      <c r="DK450" s="152"/>
      <c r="DL450" s="152"/>
      <c r="DM450" s="152"/>
      <c r="DN450" s="152"/>
      <c r="DO450" s="152"/>
      <c r="DP450" s="152"/>
      <c r="DQ450" s="152"/>
    </row>
    <row r="451" spans="1:121" s="35" customFormat="1" x14ac:dyDescent="0.2">
      <c r="A451" s="34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565"/>
      <c r="R451" s="1097"/>
      <c r="CU451" s="875"/>
      <c r="CV451" s="68"/>
      <c r="CW451" s="68"/>
      <c r="CX451" s="152"/>
      <c r="CY451" s="152"/>
      <c r="CZ451" s="152"/>
      <c r="DA451" s="34"/>
      <c r="DB451" s="34"/>
      <c r="DC451" s="34"/>
      <c r="DD451" s="34"/>
      <c r="DE451" s="152"/>
      <c r="DF451" s="152"/>
      <c r="DG451" s="152"/>
      <c r="DH451" s="152"/>
      <c r="DI451" s="152"/>
      <c r="DJ451" s="152"/>
      <c r="DK451" s="152"/>
      <c r="DL451" s="152"/>
      <c r="DM451" s="152"/>
      <c r="DN451" s="152"/>
      <c r="DO451" s="152"/>
      <c r="DP451" s="152"/>
      <c r="DQ451" s="152"/>
    </row>
    <row r="452" spans="1:121" s="35" customFormat="1" x14ac:dyDescent="0.2">
      <c r="A452" s="34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565"/>
      <c r="R452" s="1097"/>
      <c r="CU452" s="875"/>
      <c r="CV452" s="68"/>
      <c r="CW452" s="68"/>
      <c r="CX452" s="152"/>
      <c r="CY452" s="152"/>
      <c r="CZ452" s="152"/>
      <c r="DA452" s="34"/>
      <c r="DB452" s="34"/>
      <c r="DC452" s="34"/>
      <c r="DD452" s="34"/>
      <c r="DE452" s="152"/>
      <c r="DF452" s="152"/>
      <c r="DG452" s="152"/>
      <c r="DH452" s="152"/>
      <c r="DI452" s="152"/>
      <c r="DJ452" s="152"/>
      <c r="DK452" s="152"/>
      <c r="DL452" s="152"/>
      <c r="DM452" s="152"/>
      <c r="DN452" s="152"/>
      <c r="DO452" s="152"/>
      <c r="DP452" s="152"/>
      <c r="DQ452" s="152"/>
    </row>
    <row r="453" spans="1:121" s="35" customFormat="1" x14ac:dyDescent="0.2">
      <c r="A453" s="34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565"/>
      <c r="R453" s="1097"/>
      <c r="CU453" s="875"/>
      <c r="CV453" s="68"/>
      <c r="CW453" s="68"/>
      <c r="CX453" s="152"/>
      <c r="CY453" s="152"/>
      <c r="CZ453" s="152"/>
      <c r="DA453" s="34"/>
      <c r="DB453" s="34"/>
      <c r="DC453" s="34"/>
      <c r="DD453" s="34"/>
      <c r="DE453" s="152"/>
      <c r="DF453" s="152"/>
      <c r="DG453" s="152"/>
      <c r="DH453" s="152"/>
      <c r="DI453" s="152"/>
      <c r="DJ453" s="152"/>
      <c r="DK453" s="152"/>
      <c r="DL453" s="152"/>
      <c r="DM453" s="152"/>
      <c r="DN453" s="152"/>
      <c r="DO453" s="152"/>
      <c r="DP453" s="152"/>
      <c r="DQ453" s="152"/>
    </row>
    <row r="454" spans="1:121" s="35" customFormat="1" x14ac:dyDescent="0.2">
      <c r="A454" s="34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565"/>
      <c r="R454" s="1097"/>
      <c r="CU454" s="875"/>
      <c r="CV454" s="68"/>
      <c r="CW454" s="68"/>
      <c r="CX454" s="152"/>
      <c r="CY454" s="152"/>
      <c r="CZ454" s="152"/>
      <c r="DA454" s="34"/>
      <c r="DB454" s="34"/>
      <c r="DC454" s="34"/>
      <c r="DD454" s="34"/>
      <c r="DE454" s="152"/>
      <c r="DF454" s="152"/>
      <c r="DG454" s="152"/>
      <c r="DH454" s="152"/>
      <c r="DI454" s="152"/>
      <c r="DJ454" s="152"/>
      <c r="DK454" s="152"/>
      <c r="DL454" s="152"/>
      <c r="DM454" s="152"/>
      <c r="DN454" s="152"/>
      <c r="DO454" s="152"/>
      <c r="DP454" s="152"/>
      <c r="DQ454" s="152"/>
    </row>
    <row r="455" spans="1:121" s="35" customFormat="1" x14ac:dyDescent="0.2">
      <c r="A455" s="34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565"/>
      <c r="R455" s="1097"/>
      <c r="CU455" s="875"/>
      <c r="CV455" s="68"/>
      <c r="CW455" s="68"/>
      <c r="CX455" s="152"/>
      <c r="CY455" s="152"/>
      <c r="CZ455" s="152"/>
      <c r="DA455" s="34"/>
      <c r="DB455" s="34"/>
      <c r="DC455" s="34"/>
      <c r="DD455" s="34"/>
      <c r="DE455" s="152"/>
      <c r="DF455" s="152"/>
      <c r="DG455" s="152"/>
      <c r="DH455" s="152"/>
      <c r="DI455" s="152"/>
      <c r="DJ455" s="152"/>
      <c r="DK455" s="152"/>
      <c r="DL455" s="152"/>
      <c r="DM455" s="152"/>
      <c r="DN455" s="152"/>
      <c r="DO455" s="152"/>
      <c r="DP455" s="152"/>
      <c r="DQ455" s="152"/>
    </row>
    <row r="456" spans="1:121" s="35" customFormat="1" x14ac:dyDescent="0.2">
      <c r="A456" s="34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565"/>
      <c r="R456" s="1097"/>
      <c r="CU456" s="875"/>
      <c r="CV456" s="68"/>
      <c r="CW456" s="68"/>
      <c r="CX456" s="152"/>
      <c r="CY456" s="152"/>
      <c r="CZ456" s="152"/>
      <c r="DA456" s="34"/>
      <c r="DB456" s="34"/>
      <c r="DC456" s="34"/>
      <c r="DD456" s="34"/>
      <c r="DE456" s="152"/>
      <c r="DF456" s="152"/>
      <c r="DG456" s="152"/>
      <c r="DH456" s="152"/>
      <c r="DI456" s="152"/>
      <c r="DJ456" s="152"/>
      <c r="DK456" s="152"/>
      <c r="DL456" s="152"/>
      <c r="DM456" s="152"/>
      <c r="DN456" s="152"/>
      <c r="DO456" s="152"/>
      <c r="DP456" s="152"/>
      <c r="DQ456" s="152"/>
    </row>
    <row r="457" spans="1:121" s="35" customFormat="1" x14ac:dyDescent="0.2">
      <c r="A457" s="34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565"/>
      <c r="R457" s="1097"/>
      <c r="CU457" s="875"/>
      <c r="CV457" s="68"/>
      <c r="CW457" s="68"/>
      <c r="CX457" s="152"/>
      <c r="CY457" s="152"/>
      <c r="CZ457" s="152"/>
      <c r="DA457" s="34"/>
      <c r="DB457" s="34"/>
      <c r="DC457" s="34"/>
      <c r="DD457" s="34"/>
      <c r="DE457" s="152"/>
      <c r="DF457" s="152"/>
      <c r="DG457" s="152"/>
      <c r="DH457" s="152"/>
      <c r="DI457" s="152"/>
      <c r="DJ457" s="152"/>
      <c r="DK457" s="152"/>
      <c r="DL457" s="152"/>
      <c r="DM457" s="152"/>
      <c r="DN457" s="152"/>
      <c r="DO457" s="152"/>
      <c r="DP457" s="152"/>
      <c r="DQ457" s="152"/>
    </row>
    <row r="458" spans="1:121" s="35" customFormat="1" x14ac:dyDescent="0.2">
      <c r="A458" s="34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565"/>
      <c r="R458" s="1097"/>
      <c r="CU458" s="875"/>
      <c r="CV458" s="68"/>
      <c r="CW458" s="68"/>
      <c r="CX458" s="152"/>
      <c r="CY458" s="152"/>
      <c r="CZ458" s="152"/>
      <c r="DA458" s="34"/>
      <c r="DB458" s="34"/>
      <c r="DC458" s="34"/>
      <c r="DD458" s="34"/>
      <c r="DE458" s="152"/>
      <c r="DF458" s="152"/>
      <c r="DG458" s="152"/>
      <c r="DH458" s="152"/>
      <c r="DI458" s="152"/>
      <c r="DJ458" s="152"/>
      <c r="DK458" s="152"/>
      <c r="DL458" s="152"/>
      <c r="DM458" s="152"/>
      <c r="DN458" s="152"/>
      <c r="DO458" s="152"/>
      <c r="DP458" s="152"/>
      <c r="DQ458" s="152"/>
    </row>
    <row r="459" spans="1:121" s="35" customFormat="1" x14ac:dyDescent="0.2">
      <c r="A459" s="34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565"/>
      <c r="R459" s="1097"/>
      <c r="CU459" s="875"/>
      <c r="CV459" s="68"/>
      <c r="CW459" s="68"/>
      <c r="CX459" s="152"/>
      <c r="CY459" s="152"/>
      <c r="CZ459" s="152"/>
      <c r="DA459" s="34"/>
      <c r="DB459" s="34"/>
      <c r="DC459" s="34"/>
      <c r="DD459" s="34"/>
      <c r="DE459" s="152"/>
      <c r="DF459" s="152"/>
      <c r="DG459" s="152"/>
      <c r="DH459" s="152"/>
      <c r="DI459" s="152"/>
      <c r="DJ459" s="152"/>
      <c r="DK459" s="152"/>
      <c r="DL459" s="152"/>
      <c r="DM459" s="152"/>
      <c r="DN459" s="152"/>
      <c r="DO459" s="152"/>
      <c r="DP459" s="152"/>
      <c r="DQ459" s="152"/>
    </row>
    <row r="460" spans="1:121" s="35" customFormat="1" x14ac:dyDescent="0.2">
      <c r="A460" s="34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565"/>
      <c r="R460" s="1097"/>
      <c r="CU460" s="875"/>
      <c r="CV460" s="68"/>
      <c r="CW460" s="68"/>
      <c r="CX460" s="152"/>
      <c r="CY460" s="152"/>
      <c r="CZ460" s="152"/>
      <c r="DA460" s="34"/>
      <c r="DB460" s="34"/>
      <c r="DC460" s="34"/>
      <c r="DD460" s="34"/>
      <c r="DE460" s="152"/>
      <c r="DF460" s="152"/>
      <c r="DG460" s="152"/>
      <c r="DH460" s="152"/>
      <c r="DI460" s="152"/>
      <c r="DJ460" s="152"/>
      <c r="DK460" s="152"/>
      <c r="DL460" s="152"/>
      <c r="DM460" s="152"/>
      <c r="DN460" s="152"/>
      <c r="DO460" s="152"/>
      <c r="DP460" s="152"/>
      <c r="DQ460" s="152"/>
    </row>
    <row r="461" spans="1:121" s="35" customFormat="1" x14ac:dyDescent="0.2">
      <c r="A461" s="34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565"/>
      <c r="R461" s="1097"/>
      <c r="CU461" s="875"/>
      <c r="CV461" s="68"/>
      <c r="CW461" s="68"/>
      <c r="CX461" s="152"/>
      <c r="CY461" s="152"/>
      <c r="CZ461" s="152"/>
      <c r="DA461" s="34"/>
      <c r="DB461" s="34"/>
      <c r="DC461" s="34"/>
      <c r="DD461" s="34"/>
      <c r="DE461" s="152"/>
      <c r="DF461" s="152"/>
      <c r="DG461" s="152"/>
      <c r="DH461" s="152"/>
      <c r="DI461" s="152"/>
      <c r="DJ461" s="152"/>
      <c r="DK461" s="152"/>
      <c r="DL461" s="152"/>
      <c r="DM461" s="152"/>
      <c r="DN461" s="152"/>
      <c r="DO461" s="152"/>
      <c r="DP461" s="152"/>
      <c r="DQ461" s="152"/>
    </row>
    <row r="462" spans="1:121" s="35" customFormat="1" x14ac:dyDescent="0.2">
      <c r="A462" s="34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565"/>
      <c r="R462" s="1097"/>
      <c r="CU462" s="875"/>
      <c r="CV462" s="68"/>
      <c r="CW462" s="68"/>
      <c r="CX462" s="152"/>
      <c r="CY462" s="152"/>
      <c r="CZ462" s="152"/>
      <c r="DA462" s="34"/>
      <c r="DB462" s="34"/>
      <c r="DC462" s="34"/>
      <c r="DD462" s="34"/>
      <c r="DE462" s="152"/>
      <c r="DF462" s="152"/>
      <c r="DG462" s="152"/>
      <c r="DH462" s="152"/>
      <c r="DI462" s="152"/>
      <c r="DJ462" s="152"/>
      <c r="DK462" s="152"/>
      <c r="DL462" s="152"/>
      <c r="DM462" s="152"/>
      <c r="DN462" s="152"/>
      <c r="DO462" s="152"/>
      <c r="DP462" s="152"/>
      <c r="DQ462" s="152"/>
    </row>
    <row r="463" spans="1:121" s="35" customFormat="1" x14ac:dyDescent="0.2">
      <c r="A463" s="34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565"/>
      <c r="R463" s="1097"/>
      <c r="CU463" s="875"/>
      <c r="CV463" s="68"/>
      <c r="CW463" s="68"/>
      <c r="CX463" s="152"/>
      <c r="CY463" s="152"/>
      <c r="CZ463" s="152"/>
      <c r="DA463" s="34"/>
      <c r="DB463" s="34"/>
      <c r="DC463" s="34"/>
      <c r="DD463" s="34"/>
      <c r="DE463" s="152"/>
      <c r="DF463" s="152"/>
      <c r="DG463" s="152"/>
      <c r="DH463" s="152"/>
      <c r="DI463" s="152"/>
      <c r="DJ463" s="152"/>
      <c r="DK463" s="152"/>
      <c r="DL463" s="152"/>
      <c r="DM463" s="152"/>
      <c r="DN463" s="152"/>
      <c r="DO463" s="152"/>
      <c r="DP463" s="152"/>
      <c r="DQ463" s="152"/>
    </row>
    <row r="464" spans="1:121" s="35" customFormat="1" x14ac:dyDescent="0.2">
      <c r="A464" s="34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565"/>
      <c r="R464" s="1097"/>
      <c r="CU464" s="875"/>
      <c r="CV464" s="68"/>
      <c r="CW464" s="68"/>
      <c r="CX464" s="152"/>
      <c r="CY464" s="152"/>
      <c r="CZ464" s="152"/>
      <c r="DA464" s="34"/>
      <c r="DB464" s="34"/>
      <c r="DC464" s="34"/>
      <c r="DD464" s="34"/>
      <c r="DE464" s="152"/>
      <c r="DF464" s="152"/>
      <c r="DG464" s="152"/>
      <c r="DH464" s="152"/>
      <c r="DI464" s="152"/>
      <c r="DJ464" s="152"/>
      <c r="DK464" s="152"/>
      <c r="DL464" s="152"/>
      <c r="DM464" s="152"/>
      <c r="DN464" s="152"/>
      <c r="DO464" s="152"/>
      <c r="DP464" s="152"/>
      <c r="DQ464" s="152"/>
    </row>
    <row r="465" spans="1:121" s="35" customFormat="1" x14ac:dyDescent="0.2">
      <c r="A465" s="34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565"/>
      <c r="R465" s="1097"/>
      <c r="CU465" s="875"/>
      <c r="CV465" s="68"/>
      <c r="CW465" s="68"/>
      <c r="CX465" s="152"/>
      <c r="CY465" s="152"/>
      <c r="CZ465" s="152"/>
      <c r="DA465" s="34"/>
      <c r="DB465" s="34"/>
      <c r="DC465" s="34"/>
      <c r="DD465" s="34"/>
      <c r="DE465" s="152"/>
      <c r="DF465" s="152"/>
      <c r="DG465" s="152"/>
      <c r="DH465" s="152"/>
      <c r="DI465" s="152"/>
      <c r="DJ465" s="152"/>
      <c r="DK465" s="152"/>
      <c r="DL465" s="152"/>
      <c r="DM465" s="152"/>
      <c r="DN465" s="152"/>
      <c r="DO465" s="152"/>
      <c r="DP465" s="152"/>
      <c r="DQ465" s="152"/>
    </row>
    <row r="466" spans="1:121" s="35" customFormat="1" x14ac:dyDescent="0.2">
      <c r="A466" s="34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565"/>
      <c r="R466" s="1097"/>
      <c r="CU466" s="875"/>
      <c r="CV466" s="68"/>
      <c r="CW466" s="68"/>
      <c r="CX466" s="152"/>
      <c r="CY466" s="152"/>
      <c r="CZ466" s="152"/>
      <c r="DA466" s="34"/>
      <c r="DB466" s="34"/>
      <c r="DC466" s="34"/>
      <c r="DD466" s="34"/>
      <c r="DE466" s="152"/>
      <c r="DF466" s="152"/>
      <c r="DG466" s="152"/>
      <c r="DH466" s="152"/>
      <c r="DI466" s="152"/>
      <c r="DJ466" s="152"/>
      <c r="DK466" s="152"/>
      <c r="DL466" s="152"/>
      <c r="DM466" s="152"/>
      <c r="DN466" s="152"/>
      <c r="DO466" s="152"/>
      <c r="DP466" s="152"/>
      <c r="DQ466" s="152"/>
    </row>
    <row r="467" spans="1:121" s="35" customFormat="1" x14ac:dyDescent="0.2">
      <c r="A467" s="34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565"/>
      <c r="R467" s="1097"/>
      <c r="CU467" s="875"/>
      <c r="CV467" s="68"/>
      <c r="CW467" s="68"/>
      <c r="CX467" s="152"/>
      <c r="CY467" s="152"/>
      <c r="CZ467" s="152"/>
      <c r="DA467" s="34"/>
      <c r="DB467" s="34"/>
      <c r="DC467" s="34"/>
      <c r="DD467" s="34"/>
      <c r="DE467" s="152"/>
      <c r="DF467" s="152"/>
      <c r="DG467" s="152"/>
      <c r="DH467" s="152"/>
      <c r="DI467" s="152"/>
      <c r="DJ467" s="152"/>
      <c r="DK467" s="152"/>
      <c r="DL467" s="152"/>
      <c r="DM467" s="152"/>
      <c r="DN467" s="152"/>
      <c r="DO467" s="152"/>
      <c r="DP467" s="152"/>
      <c r="DQ467" s="152"/>
    </row>
    <row r="468" spans="1:121" s="35" customFormat="1" x14ac:dyDescent="0.2">
      <c r="A468" s="34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565"/>
      <c r="R468" s="1097"/>
      <c r="U468" s="39"/>
      <c r="CU468" s="875"/>
      <c r="CV468" s="875"/>
      <c r="CW468" s="875"/>
      <c r="CX468" s="856"/>
      <c r="CY468" s="856"/>
      <c r="CZ468" s="856"/>
      <c r="DA468" s="126"/>
      <c r="DB468" s="126"/>
      <c r="DC468" s="126"/>
      <c r="DD468" s="126"/>
      <c r="DE468" s="856"/>
      <c r="DF468" s="856"/>
      <c r="DG468" s="856"/>
      <c r="DH468" s="856"/>
      <c r="DI468" s="856"/>
      <c r="DJ468" s="856"/>
      <c r="DK468" s="856"/>
      <c r="DL468" s="856"/>
      <c r="DM468" s="152"/>
      <c r="DN468" s="152"/>
      <c r="DO468" s="152"/>
      <c r="DP468" s="152"/>
      <c r="DQ468" s="152"/>
    </row>
    <row r="469" spans="1:121" s="35" customFormat="1" x14ac:dyDescent="0.2">
      <c r="A469" s="34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565"/>
      <c r="R469" s="1097"/>
      <c r="U469" s="39"/>
      <c r="CU469" s="875"/>
      <c r="CV469" s="875"/>
      <c r="CW469" s="875"/>
      <c r="CX469" s="856"/>
      <c r="CY469" s="856"/>
      <c r="CZ469" s="856"/>
      <c r="DA469" s="126"/>
      <c r="DB469" s="126"/>
      <c r="DC469" s="126"/>
      <c r="DD469" s="126"/>
      <c r="DE469" s="856"/>
      <c r="DF469" s="856"/>
      <c r="DG469" s="856"/>
      <c r="DH469" s="856"/>
      <c r="DI469" s="856"/>
      <c r="DJ469" s="856"/>
      <c r="DK469" s="856"/>
      <c r="DL469" s="856"/>
      <c r="DM469" s="152"/>
      <c r="DN469" s="152"/>
      <c r="DO469" s="152"/>
      <c r="DP469" s="152"/>
      <c r="DQ469" s="152"/>
    </row>
    <row r="470" spans="1:121" s="35" customFormat="1" x14ac:dyDescent="0.2">
      <c r="A470" s="34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565"/>
      <c r="R470" s="1097"/>
      <c r="U470" s="39"/>
      <c r="CU470" s="875"/>
      <c r="CV470" s="875"/>
      <c r="CW470" s="875"/>
      <c r="CX470" s="856"/>
      <c r="CY470" s="856"/>
      <c r="CZ470" s="856"/>
      <c r="DA470" s="126"/>
      <c r="DB470" s="126"/>
      <c r="DC470" s="126"/>
      <c r="DD470" s="126"/>
      <c r="DE470" s="856"/>
      <c r="DF470" s="856"/>
      <c r="DG470" s="856"/>
      <c r="DH470" s="856"/>
      <c r="DI470" s="856"/>
      <c r="DJ470" s="856"/>
      <c r="DK470" s="856"/>
      <c r="DL470" s="856"/>
      <c r="DM470" s="152"/>
      <c r="DN470" s="152"/>
      <c r="DO470" s="152"/>
      <c r="DP470" s="152"/>
      <c r="DQ470" s="152"/>
    </row>
    <row r="471" spans="1:121" s="35" customFormat="1" x14ac:dyDescent="0.2">
      <c r="A471" s="34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565"/>
      <c r="R471" s="1097"/>
      <c r="U471" s="39"/>
      <c r="CU471" s="875"/>
      <c r="CV471" s="875"/>
      <c r="CW471" s="875"/>
      <c r="CX471" s="856"/>
      <c r="CY471" s="856"/>
      <c r="CZ471" s="856"/>
      <c r="DA471" s="126"/>
      <c r="DB471" s="126"/>
      <c r="DC471" s="126"/>
      <c r="DD471" s="126"/>
      <c r="DE471" s="856"/>
      <c r="DF471" s="856"/>
      <c r="DG471" s="856"/>
      <c r="DH471" s="856"/>
      <c r="DI471" s="856"/>
      <c r="DJ471" s="856"/>
      <c r="DK471" s="856"/>
      <c r="DL471" s="856"/>
      <c r="DM471" s="152"/>
      <c r="DN471" s="152"/>
      <c r="DO471" s="152"/>
      <c r="DP471" s="152"/>
      <c r="DQ471" s="152"/>
    </row>
    <row r="472" spans="1:121" s="35" customFormat="1" x14ac:dyDescent="0.2">
      <c r="A472" s="34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565"/>
      <c r="R472" s="1097"/>
      <c r="U472" s="39"/>
      <c r="CU472" s="875"/>
      <c r="CV472" s="875"/>
      <c r="CW472" s="875"/>
      <c r="CX472" s="856"/>
      <c r="CY472" s="856"/>
      <c r="CZ472" s="856"/>
      <c r="DA472" s="126"/>
      <c r="DB472" s="126"/>
      <c r="DC472" s="126"/>
      <c r="DD472" s="126"/>
      <c r="DE472" s="856"/>
      <c r="DF472" s="856"/>
      <c r="DG472" s="856"/>
      <c r="DH472" s="856"/>
      <c r="DI472" s="856"/>
      <c r="DJ472" s="856"/>
      <c r="DK472" s="856"/>
      <c r="DL472" s="856"/>
      <c r="DM472" s="152"/>
      <c r="DN472" s="152"/>
      <c r="DO472" s="152"/>
      <c r="DP472" s="152"/>
      <c r="DQ472" s="152"/>
    </row>
    <row r="473" spans="1:121" s="35" customFormat="1" x14ac:dyDescent="0.2">
      <c r="A473" s="34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565"/>
      <c r="R473" s="1097"/>
      <c r="U473" s="39"/>
      <c r="CU473" s="875"/>
      <c r="CV473" s="875"/>
      <c r="CW473" s="875"/>
      <c r="CX473" s="856"/>
      <c r="CY473" s="856"/>
      <c r="CZ473" s="856"/>
      <c r="DA473" s="126"/>
      <c r="DB473" s="126"/>
      <c r="DC473" s="126"/>
      <c r="DD473" s="126"/>
      <c r="DE473" s="856"/>
      <c r="DF473" s="856"/>
      <c r="DG473" s="856"/>
      <c r="DH473" s="856"/>
      <c r="DI473" s="856"/>
      <c r="DJ473" s="856"/>
      <c r="DK473" s="856"/>
      <c r="DL473" s="856"/>
      <c r="DM473" s="152"/>
      <c r="DN473" s="152"/>
      <c r="DO473" s="152"/>
      <c r="DP473" s="152"/>
      <c r="DQ473" s="152"/>
    </row>
    <row r="474" spans="1:121" s="35" customFormat="1" x14ac:dyDescent="0.2">
      <c r="A474" s="34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565"/>
      <c r="R474" s="1097"/>
      <c r="U474" s="39"/>
      <c r="CU474" s="875"/>
      <c r="CV474" s="875"/>
      <c r="CW474" s="875"/>
      <c r="CX474" s="856"/>
      <c r="CY474" s="856"/>
      <c r="CZ474" s="856"/>
      <c r="DA474" s="126"/>
      <c r="DB474" s="126"/>
      <c r="DC474" s="126"/>
      <c r="DD474" s="126"/>
      <c r="DE474" s="856"/>
      <c r="DF474" s="856"/>
      <c r="DG474" s="856"/>
      <c r="DH474" s="856"/>
      <c r="DI474" s="856"/>
      <c r="DJ474" s="856"/>
      <c r="DK474" s="856"/>
      <c r="DL474" s="856"/>
      <c r="DM474" s="152"/>
      <c r="DN474" s="152"/>
      <c r="DO474" s="152"/>
      <c r="DP474" s="152"/>
      <c r="DQ474" s="152"/>
    </row>
    <row r="475" spans="1:121" s="35" customFormat="1" x14ac:dyDescent="0.2">
      <c r="A475" s="34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565"/>
      <c r="R475" s="1097"/>
      <c r="U475" s="39"/>
      <c r="CU475" s="875"/>
      <c r="CV475" s="875"/>
      <c r="CW475" s="875"/>
      <c r="CX475" s="856"/>
      <c r="CY475" s="856"/>
      <c r="CZ475" s="856"/>
      <c r="DA475" s="126"/>
      <c r="DB475" s="126"/>
      <c r="DC475" s="126"/>
      <c r="DD475" s="126"/>
      <c r="DE475" s="856"/>
      <c r="DF475" s="856"/>
      <c r="DG475" s="856"/>
      <c r="DH475" s="856"/>
      <c r="DI475" s="856"/>
      <c r="DJ475" s="856"/>
      <c r="DK475" s="856"/>
      <c r="DL475" s="856"/>
      <c r="DM475" s="152"/>
      <c r="DN475" s="152"/>
      <c r="DO475" s="152"/>
      <c r="DP475" s="152"/>
      <c r="DQ475" s="152"/>
    </row>
    <row r="476" spans="1:121" s="35" customFormat="1" x14ac:dyDescent="0.2">
      <c r="A476" s="34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565"/>
      <c r="R476" s="1097"/>
      <c r="U476" s="39"/>
      <c r="CU476" s="875"/>
      <c r="CV476" s="875"/>
      <c r="CW476" s="875"/>
      <c r="CX476" s="856"/>
      <c r="CY476" s="856"/>
      <c r="CZ476" s="856"/>
      <c r="DA476" s="126"/>
      <c r="DB476" s="126"/>
      <c r="DC476" s="126"/>
      <c r="DD476" s="126"/>
      <c r="DE476" s="856"/>
      <c r="DF476" s="856"/>
      <c r="DG476" s="856"/>
      <c r="DH476" s="856"/>
      <c r="DI476" s="856"/>
      <c r="DJ476" s="856"/>
      <c r="DK476" s="856"/>
      <c r="DL476" s="856"/>
      <c r="DM476" s="152"/>
      <c r="DN476" s="152"/>
      <c r="DO476" s="152"/>
      <c r="DP476" s="152"/>
      <c r="DQ476" s="152"/>
    </row>
    <row r="477" spans="1:121" s="35" customFormat="1" x14ac:dyDescent="0.2">
      <c r="A477" s="34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565"/>
      <c r="R477" s="1097"/>
      <c r="U477" s="39"/>
      <c r="CU477" s="875"/>
      <c r="CV477" s="875"/>
      <c r="CW477" s="875"/>
      <c r="CX477" s="856"/>
      <c r="CY477" s="856"/>
      <c r="CZ477" s="856"/>
      <c r="DA477" s="126"/>
      <c r="DB477" s="126"/>
      <c r="DC477" s="126"/>
      <c r="DD477" s="126"/>
      <c r="DE477" s="856"/>
      <c r="DF477" s="856"/>
      <c r="DG477" s="856"/>
      <c r="DH477" s="856"/>
      <c r="DI477" s="856"/>
      <c r="DJ477" s="856"/>
      <c r="DK477" s="856"/>
      <c r="DL477" s="856"/>
      <c r="DM477" s="152"/>
      <c r="DN477" s="152"/>
      <c r="DO477" s="152"/>
      <c r="DP477" s="152"/>
      <c r="DQ477" s="152"/>
    </row>
    <row r="478" spans="1:121" s="35" customFormat="1" x14ac:dyDescent="0.2">
      <c r="A478" s="34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565"/>
      <c r="R478" s="1097"/>
      <c r="U478" s="39"/>
      <c r="CU478" s="875"/>
      <c r="CV478" s="875"/>
      <c r="CW478" s="875"/>
      <c r="CX478" s="856"/>
      <c r="CY478" s="856"/>
      <c r="CZ478" s="856"/>
      <c r="DA478" s="126"/>
      <c r="DB478" s="126"/>
      <c r="DC478" s="126"/>
      <c r="DD478" s="126"/>
      <c r="DE478" s="856"/>
      <c r="DF478" s="856"/>
      <c r="DG478" s="856"/>
      <c r="DH478" s="856"/>
      <c r="DI478" s="856"/>
      <c r="DJ478" s="856"/>
      <c r="DK478" s="856"/>
      <c r="DL478" s="856"/>
      <c r="DM478" s="152"/>
      <c r="DN478" s="152"/>
      <c r="DO478" s="152"/>
      <c r="DP478" s="152"/>
      <c r="DQ478" s="152"/>
    </row>
    <row r="479" spans="1:121" s="35" customFormat="1" x14ac:dyDescent="0.2">
      <c r="A479" s="34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565"/>
      <c r="R479" s="1097"/>
      <c r="U479" s="39"/>
      <c r="CU479" s="875"/>
      <c r="CV479" s="875"/>
      <c r="CW479" s="875"/>
      <c r="CX479" s="856"/>
      <c r="CY479" s="856"/>
      <c r="CZ479" s="856"/>
      <c r="DA479" s="126"/>
      <c r="DB479" s="126"/>
      <c r="DC479" s="126"/>
      <c r="DD479" s="126"/>
      <c r="DE479" s="856"/>
      <c r="DF479" s="856"/>
      <c r="DG479" s="856"/>
      <c r="DH479" s="856"/>
      <c r="DI479" s="856"/>
      <c r="DJ479" s="856"/>
      <c r="DK479" s="856"/>
      <c r="DL479" s="856"/>
      <c r="DM479" s="152"/>
      <c r="DN479" s="152"/>
      <c r="DO479" s="152"/>
      <c r="DP479" s="152"/>
      <c r="DQ479" s="152"/>
    </row>
    <row r="480" spans="1:121" s="35" customFormat="1" x14ac:dyDescent="0.2">
      <c r="A480" s="34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565"/>
      <c r="R480" s="1097"/>
      <c r="U480" s="39"/>
      <c r="CU480" s="875"/>
      <c r="CV480" s="875"/>
      <c r="CW480" s="875"/>
      <c r="CX480" s="856"/>
      <c r="CY480" s="856"/>
      <c r="CZ480" s="856"/>
      <c r="DA480" s="126"/>
      <c r="DB480" s="126"/>
      <c r="DC480" s="126"/>
      <c r="DD480" s="126"/>
      <c r="DE480" s="856"/>
      <c r="DF480" s="856"/>
      <c r="DG480" s="856"/>
      <c r="DH480" s="856"/>
      <c r="DI480" s="856"/>
      <c r="DJ480" s="856"/>
      <c r="DK480" s="856"/>
      <c r="DL480" s="856"/>
      <c r="DM480" s="152"/>
      <c r="DN480" s="152"/>
      <c r="DO480" s="152"/>
      <c r="DP480" s="152"/>
      <c r="DQ480" s="152"/>
    </row>
    <row r="481" spans="1:121" s="35" customFormat="1" x14ac:dyDescent="0.2">
      <c r="A481" s="34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565"/>
      <c r="R481" s="1097"/>
      <c r="U481" s="39"/>
      <c r="CU481" s="875"/>
      <c r="CV481" s="875"/>
      <c r="CW481" s="875"/>
      <c r="CX481" s="856"/>
      <c r="CY481" s="856"/>
      <c r="CZ481" s="856"/>
      <c r="DA481" s="126"/>
      <c r="DB481" s="126"/>
      <c r="DC481" s="126"/>
      <c r="DD481" s="126"/>
      <c r="DE481" s="856"/>
      <c r="DF481" s="856"/>
      <c r="DG481" s="856"/>
      <c r="DH481" s="856"/>
      <c r="DI481" s="856"/>
      <c r="DJ481" s="856"/>
      <c r="DK481" s="856"/>
      <c r="DL481" s="856"/>
      <c r="DM481" s="152"/>
      <c r="DN481" s="152"/>
      <c r="DO481" s="152"/>
      <c r="DP481" s="152"/>
      <c r="DQ481" s="152"/>
    </row>
    <row r="482" spans="1:121" s="35" customFormat="1" x14ac:dyDescent="0.2">
      <c r="A482" s="34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565"/>
      <c r="R482" s="1097"/>
      <c r="U482" s="39"/>
      <c r="CU482" s="875"/>
      <c r="CV482" s="875"/>
      <c r="CW482" s="875"/>
      <c r="CX482" s="856"/>
      <c r="CY482" s="856"/>
      <c r="CZ482" s="856"/>
      <c r="DA482" s="126"/>
      <c r="DB482" s="126"/>
      <c r="DC482" s="126"/>
      <c r="DD482" s="126"/>
      <c r="DE482" s="856"/>
      <c r="DF482" s="856"/>
      <c r="DG482" s="856"/>
      <c r="DH482" s="856"/>
      <c r="DI482" s="856"/>
      <c r="DJ482" s="856"/>
      <c r="DK482" s="856"/>
      <c r="DL482" s="856"/>
      <c r="DM482" s="152"/>
      <c r="DN482" s="152"/>
      <c r="DO482" s="152"/>
      <c r="DP482" s="152"/>
      <c r="DQ482" s="152"/>
    </row>
    <row r="483" spans="1:121" s="35" customFormat="1" x14ac:dyDescent="0.2">
      <c r="A483" s="34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565"/>
      <c r="R483" s="1097"/>
      <c r="U483" s="39"/>
      <c r="CU483" s="875"/>
      <c r="CV483" s="875"/>
      <c r="CW483" s="875"/>
      <c r="CX483" s="856"/>
      <c r="CY483" s="856"/>
      <c r="CZ483" s="856"/>
      <c r="DA483" s="126"/>
      <c r="DB483" s="126"/>
      <c r="DC483" s="126"/>
      <c r="DD483" s="126"/>
      <c r="DE483" s="856"/>
      <c r="DF483" s="856"/>
      <c r="DG483" s="856"/>
      <c r="DH483" s="856"/>
      <c r="DI483" s="856"/>
      <c r="DJ483" s="856"/>
      <c r="DK483" s="856"/>
      <c r="DL483" s="856"/>
      <c r="DM483" s="152"/>
      <c r="DN483" s="152"/>
      <c r="DO483" s="152"/>
      <c r="DP483" s="152"/>
      <c r="DQ483" s="152"/>
    </row>
    <row r="484" spans="1:121" s="35" customFormat="1" x14ac:dyDescent="0.2">
      <c r="A484" s="34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565"/>
      <c r="R484" s="1097"/>
      <c r="U484" s="39"/>
      <c r="CU484" s="875"/>
      <c r="CV484" s="875"/>
      <c r="CW484" s="875"/>
      <c r="CX484" s="856"/>
      <c r="CY484" s="856"/>
      <c r="CZ484" s="856"/>
      <c r="DA484" s="126"/>
      <c r="DB484" s="126"/>
      <c r="DC484" s="126"/>
      <c r="DD484" s="126"/>
      <c r="DE484" s="856"/>
      <c r="DF484" s="856"/>
      <c r="DG484" s="856"/>
      <c r="DH484" s="856"/>
      <c r="DI484" s="856"/>
      <c r="DJ484" s="856"/>
      <c r="DK484" s="856"/>
      <c r="DL484" s="856"/>
      <c r="DM484" s="152"/>
      <c r="DN484" s="152"/>
      <c r="DO484" s="152"/>
      <c r="DP484" s="152"/>
      <c r="DQ484" s="152"/>
    </row>
    <row r="485" spans="1:121" s="35" customFormat="1" x14ac:dyDescent="0.2">
      <c r="A485" s="34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565"/>
      <c r="R485" s="1097"/>
      <c r="U485" s="39"/>
      <c r="CU485" s="875"/>
      <c r="CV485" s="875"/>
      <c r="CW485" s="875"/>
      <c r="CX485" s="856"/>
      <c r="CY485" s="856"/>
      <c r="CZ485" s="856"/>
      <c r="DA485" s="126"/>
      <c r="DB485" s="126"/>
      <c r="DC485" s="126"/>
      <c r="DD485" s="126"/>
      <c r="DE485" s="856"/>
      <c r="DF485" s="856"/>
      <c r="DG485" s="856"/>
      <c r="DH485" s="856"/>
      <c r="DI485" s="856"/>
      <c r="DJ485" s="856"/>
      <c r="DK485" s="856"/>
      <c r="DL485" s="856"/>
      <c r="DM485" s="152"/>
      <c r="DN485" s="152"/>
      <c r="DO485" s="152"/>
      <c r="DP485" s="152"/>
      <c r="DQ485" s="152"/>
    </row>
    <row r="486" spans="1:121" s="35" customFormat="1" x14ac:dyDescent="0.2">
      <c r="A486" s="34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565"/>
      <c r="R486" s="1097"/>
      <c r="U486" s="39"/>
      <c r="CU486" s="875"/>
      <c r="CV486" s="875"/>
      <c r="CW486" s="875"/>
      <c r="CX486" s="856"/>
      <c r="CY486" s="856"/>
      <c r="CZ486" s="856"/>
      <c r="DA486" s="126"/>
      <c r="DB486" s="126"/>
      <c r="DC486" s="126"/>
      <c r="DD486" s="126"/>
      <c r="DE486" s="856"/>
      <c r="DF486" s="856"/>
      <c r="DG486" s="856"/>
      <c r="DH486" s="856"/>
      <c r="DI486" s="856"/>
      <c r="DJ486" s="856"/>
      <c r="DK486" s="856"/>
      <c r="DL486" s="856"/>
      <c r="DM486" s="152"/>
      <c r="DN486" s="152"/>
      <c r="DO486" s="152"/>
      <c r="DP486" s="152"/>
      <c r="DQ486" s="152"/>
    </row>
    <row r="487" spans="1:121" s="35" customFormat="1" x14ac:dyDescent="0.2">
      <c r="A487" s="34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565"/>
      <c r="R487" s="1097"/>
      <c r="U487" s="39"/>
      <c r="CU487" s="875"/>
      <c r="CV487" s="875"/>
      <c r="CW487" s="875"/>
      <c r="CX487" s="856"/>
      <c r="CY487" s="856"/>
      <c r="CZ487" s="856"/>
      <c r="DA487" s="126"/>
      <c r="DB487" s="126"/>
      <c r="DC487" s="126"/>
      <c r="DD487" s="126"/>
      <c r="DE487" s="856"/>
      <c r="DF487" s="856"/>
      <c r="DG487" s="856"/>
      <c r="DH487" s="856"/>
      <c r="DI487" s="856"/>
      <c r="DJ487" s="856"/>
      <c r="DK487" s="856"/>
      <c r="DL487" s="856"/>
      <c r="DM487" s="152"/>
      <c r="DN487" s="152"/>
      <c r="DO487" s="152"/>
      <c r="DP487" s="152"/>
      <c r="DQ487" s="152"/>
    </row>
    <row r="488" spans="1:121" s="35" customFormat="1" x14ac:dyDescent="0.2">
      <c r="A488" s="34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565"/>
      <c r="R488" s="1097"/>
      <c r="U488" s="39"/>
      <c r="CU488" s="875"/>
      <c r="CV488" s="875"/>
      <c r="CW488" s="875"/>
      <c r="CX488" s="856"/>
      <c r="CY488" s="856"/>
      <c r="CZ488" s="856"/>
      <c r="DA488" s="126"/>
      <c r="DB488" s="126"/>
      <c r="DC488" s="126"/>
      <c r="DD488" s="126"/>
      <c r="DE488" s="856"/>
      <c r="DF488" s="856"/>
      <c r="DG488" s="856"/>
      <c r="DH488" s="856"/>
      <c r="DI488" s="856"/>
      <c r="DJ488" s="856"/>
      <c r="DK488" s="856"/>
      <c r="DL488" s="856"/>
      <c r="DM488" s="152"/>
      <c r="DN488" s="152"/>
      <c r="DO488" s="152"/>
      <c r="DP488" s="152"/>
      <c r="DQ488" s="152"/>
    </row>
    <row r="489" spans="1:121" s="35" customFormat="1" x14ac:dyDescent="0.2">
      <c r="A489" s="34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565"/>
      <c r="R489" s="1097"/>
      <c r="U489" s="39"/>
      <c r="CU489" s="875"/>
      <c r="CV489" s="875"/>
      <c r="CW489" s="875"/>
      <c r="CX489" s="856"/>
      <c r="CY489" s="856"/>
      <c r="CZ489" s="856"/>
      <c r="DA489" s="126"/>
      <c r="DB489" s="126"/>
      <c r="DC489" s="126"/>
      <c r="DD489" s="126"/>
      <c r="DE489" s="856"/>
      <c r="DF489" s="856"/>
      <c r="DG489" s="856"/>
      <c r="DH489" s="856"/>
      <c r="DI489" s="856"/>
      <c r="DJ489" s="856"/>
      <c r="DK489" s="856"/>
      <c r="DL489" s="856"/>
      <c r="DM489" s="152"/>
      <c r="DN489" s="152"/>
      <c r="DO489" s="152"/>
      <c r="DP489" s="152"/>
      <c r="DQ489" s="152"/>
    </row>
    <row r="490" spans="1:121" s="35" customFormat="1" x14ac:dyDescent="0.2">
      <c r="A490" s="34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565"/>
      <c r="R490" s="1097"/>
      <c r="U490" s="39"/>
      <c r="CU490" s="875"/>
      <c r="CV490" s="875"/>
      <c r="CW490" s="875"/>
      <c r="CX490" s="856"/>
      <c r="CY490" s="856"/>
      <c r="CZ490" s="856"/>
      <c r="DA490" s="126"/>
      <c r="DB490" s="126"/>
      <c r="DC490" s="126"/>
      <c r="DD490" s="126"/>
      <c r="DE490" s="856"/>
      <c r="DF490" s="856"/>
      <c r="DG490" s="856"/>
      <c r="DH490" s="856"/>
      <c r="DI490" s="856"/>
      <c r="DJ490" s="856"/>
      <c r="DK490" s="856"/>
      <c r="DL490" s="856"/>
      <c r="DM490" s="152"/>
      <c r="DN490" s="152"/>
      <c r="DO490" s="152"/>
      <c r="DP490" s="152"/>
      <c r="DQ490" s="152"/>
    </row>
    <row r="491" spans="1:121" s="35" customFormat="1" x14ac:dyDescent="0.2">
      <c r="A491" s="34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565"/>
      <c r="R491" s="1097"/>
      <c r="U491" s="39"/>
      <c r="CU491" s="875"/>
      <c r="CV491" s="875"/>
      <c r="CW491" s="875"/>
      <c r="CX491" s="856"/>
      <c r="CY491" s="856"/>
      <c r="CZ491" s="856"/>
      <c r="DA491" s="126"/>
      <c r="DB491" s="126"/>
      <c r="DC491" s="126"/>
      <c r="DD491" s="126"/>
      <c r="DE491" s="856"/>
      <c r="DF491" s="856"/>
      <c r="DG491" s="856"/>
      <c r="DH491" s="856"/>
      <c r="DI491" s="856"/>
      <c r="DJ491" s="856"/>
      <c r="DK491" s="856"/>
      <c r="DL491" s="856"/>
      <c r="DM491" s="152"/>
      <c r="DN491" s="152"/>
      <c r="DO491" s="152"/>
      <c r="DP491" s="152"/>
      <c r="DQ491" s="152"/>
    </row>
    <row r="492" spans="1:121" s="35" customFormat="1" x14ac:dyDescent="0.2">
      <c r="A492" s="34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565"/>
      <c r="R492" s="1097"/>
      <c r="U492" s="39"/>
      <c r="CU492" s="875"/>
      <c r="CV492" s="875"/>
      <c r="CW492" s="875"/>
      <c r="CX492" s="856"/>
      <c r="CY492" s="856"/>
      <c r="CZ492" s="856"/>
      <c r="DA492" s="126"/>
      <c r="DB492" s="126"/>
      <c r="DC492" s="126"/>
      <c r="DD492" s="126"/>
      <c r="DE492" s="856"/>
      <c r="DF492" s="856"/>
      <c r="DG492" s="856"/>
      <c r="DH492" s="856"/>
      <c r="DI492" s="856"/>
      <c r="DJ492" s="856"/>
      <c r="DK492" s="856"/>
      <c r="DL492" s="856"/>
      <c r="DM492" s="152"/>
      <c r="DN492" s="152"/>
      <c r="DO492" s="152"/>
      <c r="DP492" s="152"/>
      <c r="DQ492" s="152"/>
    </row>
    <row r="493" spans="1:121" s="35" customFormat="1" x14ac:dyDescent="0.2">
      <c r="A493" s="34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565"/>
      <c r="R493" s="1097"/>
      <c r="U493" s="39"/>
      <c r="CU493" s="875"/>
      <c r="CV493" s="875"/>
      <c r="CW493" s="875"/>
      <c r="CX493" s="856"/>
      <c r="CY493" s="856"/>
      <c r="CZ493" s="856"/>
      <c r="DA493" s="126"/>
      <c r="DB493" s="126"/>
      <c r="DC493" s="126"/>
      <c r="DD493" s="126"/>
      <c r="DE493" s="856"/>
      <c r="DF493" s="856"/>
      <c r="DG493" s="856"/>
      <c r="DH493" s="856"/>
      <c r="DI493" s="856"/>
      <c r="DJ493" s="856"/>
      <c r="DK493" s="856"/>
      <c r="DL493" s="856"/>
      <c r="DM493" s="152"/>
      <c r="DN493" s="152"/>
      <c r="DO493" s="152"/>
      <c r="DP493" s="152"/>
      <c r="DQ493" s="152"/>
    </row>
    <row r="494" spans="1:121" s="35" customFormat="1" x14ac:dyDescent="0.2">
      <c r="A494" s="34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565"/>
      <c r="R494" s="1097"/>
      <c r="U494" s="39"/>
      <c r="CU494" s="875"/>
      <c r="CV494" s="875"/>
      <c r="CW494" s="875"/>
      <c r="CX494" s="856"/>
      <c r="CY494" s="856"/>
      <c r="CZ494" s="856"/>
      <c r="DA494" s="126"/>
      <c r="DB494" s="126"/>
      <c r="DC494" s="126"/>
      <c r="DD494" s="126"/>
      <c r="DE494" s="856"/>
      <c r="DF494" s="856"/>
      <c r="DG494" s="856"/>
      <c r="DH494" s="856"/>
      <c r="DI494" s="856"/>
      <c r="DJ494" s="856"/>
      <c r="DK494" s="856"/>
      <c r="DL494" s="856"/>
      <c r="DM494" s="152"/>
      <c r="DN494" s="152"/>
      <c r="DO494" s="152"/>
      <c r="DP494" s="152"/>
      <c r="DQ494" s="152"/>
    </row>
    <row r="495" spans="1:121" s="35" customFormat="1" x14ac:dyDescent="0.2">
      <c r="A495" s="34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565"/>
      <c r="R495" s="1097"/>
      <c r="U495" s="39"/>
      <c r="CU495" s="875"/>
      <c r="CV495" s="875"/>
      <c r="CW495" s="875"/>
      <c r="CX495" s="856"/>
      <c r="CY495" s="856"/>
      <c r="CZ495" s="856"/>
      <c r="DA495" s="126"/>
      <c r="DB495" s="126"/>
      <c r="DC495" s="126"/>
      <c r="DD495" s="126"/>
      <c r="DE495" s="856"/>
      <c r="DF495" s="856"/>
      <c r="DG495" s="856"/>
      <c r="DH495" s="856"/>
      <c r="DI495" s="856"/>
      <c r="DJ495" s="856"/>
      <c r="DK495" s="856"/>
      <c r="DL495" s="856"/>
      <c r="DM495" s="152"/>
      <c r="DN495" s="152"/>
      <c r="DO495" s="152"/>
      <c r="DP495" s="152"/>
      <c r="DQ495" s="152"/>
    </row>
    <row r="496" spans="1:121" s="35" customFormat="1" x14ac:dyDescent="0.2">
      <c r="A496" s="34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565"/>
      <c r="R496" s="1097"/>
      <c r="U496" s="39"/>
      <c r="CU496" s="875"/>
      <c r="CV496" s="875"/>
      <c r="CW496" s="875"/>
      <c r="CX496" s="856"/>
      <c r="CY496" s="856"/>
      <c r="CZ496" s="856"/>
      <c r="DA496" s="126"/>
      <c r="DB496" s="126"/>
      <c r="DC496" s="126"/>
      <c r="DD496" s="126"/>
      <c r="DE496" s="856"/>
      <c r="DF496" s="856"/>
      <c r="DG496" s="856"/>
      <c r="DH496" s="856"/>
      <c r="DI496" s="856"/>
      <c r="DJ496" s="856"/>
      <c r="DK496" s="856"/>
      <c r="DL496" s="856"/>
      <c r="DM496" s="152"/>
      <c r="DN496" s="152"/>
      <c r="DO496" s="152"/>
      <c r="DP496" s="152"/>
      <c r="DQ496" s="152"/>
    </row>
    <row r="497" spans="1:121" s="35" customFormat="1" x14ac:dyDescent="0.2">
      <c r="A497" s="34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565"/>
      <c r="R497" s="1097"/>
      <c r="U497" s="39"/>
      <c r="CU497" s="875"/>
      <c r="CV497" s="875"/>
      <c r="CW497" s="875"/>
      <c r="CX497" s="856"/>
      <c r="CY497" s="856"/>
      <c r="CZ497" s="856"/>
      <c r="DA497" s="126"/>
      <c r="DB497" s="126"/>
      <c r="DC497" s="126"/>
      <c r="DD497" s="126"/>
      <c r="DE497" s="856"/>
      <c r="DF497" s="856"/>
      <c r="DG497" s="856"/>
      <c r="DH497" s="856"/>
      <c r="DI497" s="856"/>
      <c r="DJ497" s="856"/>
      <c r="DK497" s="856"/>
      <c r="DL497" s="856"/>
      <c r="DM497" s="152"/>
      <c r="DN497" s="152"/>
      <c r="DO497" s="152"/>
      <c r="DP497" s="152"/>
      <c r="DQ497" s="152"/>
    </row>
    <row r="498" spans="1:121" s="35" customFormat="1" x14ac:dyDescent="0.2">
      <c r="A498" s="34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565"/>
      <c r="R498" s="1097"/>
      <c r="U498" s="39"/>
      <c r="CU498" s="875"/>
      <c r="CV498" s="875"/>
      <c r="CW498" s="875"/>
      <c r="CX498" s="856"/>
      <c r="CY498" s="856"/>
      <c r="CZ498" s="856"/>
      <c r="DA498" s="126"/>
      <c r="DB498" s="126"/>
      <c r="DC498" s="126"/>
      <c r="DD498" s="126"/>
      <c r="DE498" s="856"/>
      <c r="DF498" s="856"/>
      <c r="DG498" s="856"/>
      <c r="DH498" s="856"/>
      <c r="DI498" s="856"/>
      <c r="DJ498" s="856"/>
      <c r="DK498" s="856"/>
      <c r="DL498" s="856"/>
      <c r="DM498" s="152"/>
      <c r="DN498" s="152"/>
      <c r="DO498" s="152"/>
      <c r="DP498" s="152"/>
      <c r="DQ498" s="152"/>
    </row>
    <row r="499" spans="1:121" s="35" customFormat="1" x14ac:dyDescent="0.2">
      <c r="A499" s="34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565"/>
      <c r="R499" s="1097"/>
      <c r="U499" s="39"/>
      <c r="CU499" s="875"/>
      <c r="CV499" s="875"/>
      <c r="CW499" s="875"/>
      <c r="CX499" s="856"/>
      <c r="CY499" s="856"/>
      <c r="CZ499" s="856"/>
      <c r="DA499" s="126"/>
      <c r="DB499" s="126"/>
      <c r="DC499" s="126"/>
      <c r="DD499" s="126"/>
      <c r="DE499" s="856"/>
      <c r="DF499" s="856"/>
      <c r="DG499" s="856"/>
      <c r="DH499" s="856"/>
      <c r="DI499" s="856"/>
      <c r="DJ499" s="856"/>
      <c r="DK499" s="856"/>
      <c r="DL499" s="856"/>
      <c r="DM499" s="152"/>
      <c r="DN499" s="152"/>
      <c r="DO499" s="152"/>
      <c r="DP499" s="152"/>
      <c r="DQ499" s="152"/>
    </row>
    <row r="500" spans="1:121" s="35" customFormat="1" x14ac:dyDescent="0.2">
      <c r="A500" s="34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565"/>
      <c r="R500" s="1097"/>
      <c r="U500" s="39"/>
      <c r="CU500" s="875"/>
      <c r="CV500" s="875"/>
      <c r="CW500" s="875"/>
      <c r="CX500" s="856"/>
      <c r="CY500" s="856"/>
      <c r="CZ500" s="856"/>
      <c r="DA500" s="126"/>
      <c r="DB500" s="126"/>
      <c r="DC500" s="126"/>
      <c r="DD500" s="126"/>
      <c r="DE500" s="856"/>
      <c r="DF500" s="856"/>
      <c r="DG500" s="856"/>
      <c r="DH500" s="856"/>
      <c r="DI500" s="856"/>
      <c r="DJ500" s="856"/>
      <c r="DK500" s="856"/>
      <c r="DL500" s="856"/>
      <c r="DM500" s="152"/>
      <c r="DN500" s="152"/>
      <c r="DO500" s="152"/>
      <c r="DP500" s="152"/>
      <c r="DQ500" s="152"/>
    </row>
    <row r="501" spans="1:121" s="35" customFormat="1" x14ac:dyDescent="0.2">
      <c r="A501" s="34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565"/>
      <c r="R501" s="1097"/>
      <c r="U501" s="39"/>
      <c r="CU501" s="875"/>
      <c r="CV501" s="875"/>
      <c r="CW501" s="875"/>
      <c r="CX501" s="856"/>
      <c r="CY501" s="856"/>
      <c r="CZ501" s="856"/>
      <c r="DA501" s="126"/>
      <c r="DB501" s="126"/>
      <c r="DC501" s="126"/>
      <c r="DD501" s="126"/>
      <c r="DE501" s="856"/>
      <c r="DF501" s="856"/>
      <c r="DG501" s="856"/>
      <c r="DH501" s="856"/>
      <c r="DI501" s="856"/>
      <c r="DJ501" s="856"/>
      <c r="DK501" s="856"/>
      <c r="DL501" s="856"/>
      <c r="DM501" s="152"/>
      <c r="DN501" s="152"/>
      <c r="DO501" s="152"/>
      <c r="DP501" s="152"/>
      <c r="DQ501" s="152"/>
    </row>
    <row r="502" spans="1:121" s="35" customFormat="1" x14ac:dyDescent="0.2">
      <c r="A502" s="34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565"/>
      <c r="R502" s="1097"/>
      <c r="U502" s="39"/>
      <c r="CU502" s="875"/>
      <c r="CV502" s="875"/>
      <c r="CW502" s="875"/>
      <c r="CX502" s="856"/>
      <c r="CY502" s="856"/>
      <c r="CZ502" s="856"/>
      <c r="DA502" s="126"/>
      <c r="DB502" s="126"/>
      <c r="DC502" s="126"/>
      <c r="DD502" s="126"/>
      <c r="DE502" s="856"/>
      <c r="DF502" s="856"/>
      <c r="DG502" s="856"/>
      <c r="DH502" s="856"/>
      <c r="DI502" s="856"/>
      <c r="DJ502" s="856"/>
      <c r="DK502" s="856"/>
      <c r="DL502" s="856"/>
      <c r="DM502" s="152"/>
      <c r="DN502" s="152"/>
      <c r="DO502" s="152"/>
      <c r="DP502" s="152"/>
      <c r="DQ502" s="152"/>
    </row>
    <row r="503" spans="1:121" s="35" customFormat="1" x14ac:dyDescent="0.2">
      <c r="A503" s="34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565"/>
      <c r="R503" s="1097"/>
      <c r="U503" s="39"/>
      <c r="CU503" s="875"/>
      <c r="CV503" s="875"/>
      <c r="CW503" s="875"/>
      <c r="CX503" s="856"/>
      <c r="CY503" s="856"/>
      <c r="CZ503" s="856"/>
      <c r="DA503" s="126"/>
      <c r="DB503" s="126"/>
      <c r="DC503" s="126"/>
      <c r="DD503" s="126"/>
      <c r="DE503" s="856"/>
      <c r="DF503" s="856"/>
      <c r="DG503" s="856"/>
      <c r="DH503" s="856"/>
      <c r="DI503" s="856"/>
      <c r="DJ503" s="856"/>
      <c r="DK503" s="856"/>
      <c r="DL503" s="856"/>
      <c r="DM503" s="152"/>
      <c r="DN503" s="152"/>
      <c r="DO503" s="152"/>
      <c r="DP503" s="152"/>
      <c r="DQ503" s="152"/>
    </row>
    <row r="504" spans="1:121" s="35" customFormat="1" x14ac:dyDescent="0.2">
      <c r="A504" s="34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565"/>
      <c r="R504" s="1097"/>
      <c r="U504" s="39"/>
      <c r="CU504" s="875"/>
      <c r="CV504" s="875"/>
      <c r="CW504" s="875"/>
      <c r="CX504" s="856"/>
      <c r="CY504" s="856"/>
      <c r="CZ504" s="856"/>
      <c r="DA504" s="126"/>
      <c r="DB504" s="126"/>
      <c r="DC504" s="126"/>
      <c r="DD504" s="126"/>
      <c r="DE504" s="856"/>
      <c r="DF504" s="856"/>
      <c r="DG504" s="856"/>
      <c r="DH504" s="856"/>
      <c r="DI504" s="856"/>
      <c r="DJ504" s="856"/>
      <c r="DK504" s="856"/>
      <c r="DL504" s="856"/>
      <c r="DM504" s="152"/>
      <c r="DN504" s="152"/>
      <c r="DO504" s="152"/>
      <c r="DP504" s="152"/>
      <c r="DQ504" s="152"/>
    </row>
    <row r="505" spans="1:121" s="35" customFormat="1" x14ac:dyDescent="0.2">
      <c r="A505" s="34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565"/>
      <c r="R505" s="1097"/>
      <c r="U505" s="39"/>
      <c r="CU505" s="875"/>
      <c r="CV505" s="875"/>
      <c r="CW505" s="875"/>
      <c r="CX505" s="856"/>
      <c r="CY505" s="856"/>
      <c r="CZ505" s="856"/>
      <c r="DA505" s="126"/>
      <c r="DB505" s="126"/>
      <c r="DC505" s="126"/>
      <c r="DD505" s="126"/>
      <c r="DE505" s="856"/>
      <c r="DF505" s="856"/>
      <c r="DG505" s="856"/>
      <c r="DH505" s="856"/>
      <c r="DI505" s="856"/>
      <c r="DJ505" s="856"/>
      <c r="DK505" s="856"/>
      <c r="DL505" s="856"/>
      <c r="DM505" s="152"/>
      <c r="DN505" s="152"/>
      <c r="DO505" s="152"/>
      <c r="DP505" s="152"/>
      <c r="DQ505" s="152"/>
    </row>
    <row r="506" spans="1:121" s="35" customFormat="1" x14ac:dyDescent="0.2">
      <c r="A506" s="34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565"/>
      <c r="R506" s="1097"/>
      <c r="U506" s="39"/>
      <c r="CU506" s="875"/>
      <c r="CV506" s="875"/>
      <c r="CW506" s="875"/>
      <c r="CX506" s="856"/>
      <c r="CY506" s="856"/>
      <c r="CZ506" s="856"/>
      <c r="DA506" s="126"/>
      <c r="DB506" s="126"/>
      <c r="DC506" s="126"/>
      <c r="DD506" s="126"/>
      <c r="DE506" s="856"/>
      <c r="DF506" s="856"/>
      <c r="DG506" s="856"/>
      <c r="DH506" s="856"/>
      <c r="DI506" s="856"/>
      <c r="DJ506" s="856"/>
      <c r="DK506" s="856"/>
      <c r="DL506" s="856"/>
      <c r="DM506" s="152"/>
      <c r="DN506" s="152"/>
      <c r="DO506" s="152"/>
      <c r="DP506" s="152"/>
      <c r="DQ506" s="152"/>
    </row>
    <row r="507" spans="1:121" s="35" customFormat="1" x14ac:dyDescent="0.2">
      <c r="A507" s="34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565"/>
      <c r="R507" s="1097"/>
      <c r="U507" s="39"/>
      <c r="CU507" s="875"/>
      <c r="CV507" s="875"/>
      <c r="CW507" s="875"/>
      <c r="CX507" s="856"/>
      <c r="CY507" s="856"/>
      <c r="CZ507" s="856"/>
      <c r="DA507" s="126"/>
      <c r="DB507" s="126"/>
      <c r="DC507" s="126"/>
      <c r="DD507" s="126"/>
      <c r="DE507" s="856"/>
      <c r="DF507" s="856"/>
      <c r="DG507" s="856"/>
      <c r="DH507" s="856"/>
      <c r="DI507" s="856"/>
      <c r="DJ507" s="856"/>
      <c r="DK507" s="856"/>
      <c r="DL507" s="856"/>
      <c r="DM507" s="152"/>
      <c r="DN507" s="152"/>
      <c r="DO507" s="152"/>
      <c r="DP507" s="152"/>
      <c r="DQ507" s="152"/>
    </row>
    <row r="508" spans="1:121" s="35" customFormat="1" x14ac:dyDescent="0.2">
      <c r="A508" s="34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565"/>
      <c r="R508" s="1097"/>
      <c r="U508" s="39"/>
      <c r="CU508" s="875"/>
      <c r="CV508" s="875"/>
      <c r="CW508" s="875"/>
      <c r="CX508" s="856"/>
      <c r="CY508" s="856"/>
      <c r="CZ508" s="856"/>
      <c r="DA508" s="126"/>
      <c r="DB508" s="126"/>
      <c r="DC508" s="126"/>
      <c r="DD508" s="126"/>
      <c r="DE508" s="856"/>
      <c r="DF508" s="856"/>
      <c r="DG508" s="856"/>
      <c r="DH508" s="856"/>
      <c r="DI508" s="856"/>
      <c r="DJ508" s="856"/>
      <c r="DK508" s="856"/>
      <c r="DL508" s="856"/>
      <c r="DM508" s="152"/>
      <c r="DN508" s="152"/>
      <c r="DO508" s="152"/>
      <c r="DP508" s="152"/>
      <c r="DQ508" s="152"/>
    </row>
    <row r="509" spans="1:121" s="35" customFormat="1" x14ac:dyDescent="0.2">
      <c r="A509" s="34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565"/>
      <c r="R509" s="1097"/>
      <c r="U509" s="39"/>
      <c r="CU509" s="875"/>
      <c r="CV509" s="875"/>
      <c r="CW509" s="875"/>
      <c r="CX509" s="856"/>
      <c r="CY509" s="856"/>
      <c r="CZ509" s="856"/>
      <c r="DA509" s="126"/>
      <c r="DB509" s="126"/>
      <c r="DC509" s="126"/>
      <c r="DD509" s="126"/>
      <c r="DE509" s="856"/>
      <c r="DF509" s="856"/>
      <c r="DG509" s="856"/>
      <c r="DH509" s="856"/>
      <c r="DI509" s="856"/>
      <c r="DJ509" s="856"/>
      <c r="DK509" s="856"/>
      <c r="DL509" s="856"/>
      <c r="DM509" s="152"/>
      <c r="DN509" s="152"/>
      <c r="DO509" s="152"/>
      <c r="DP509" s="152"/>
      <c r="DQ509" s="152"/>
    </row>
    <row r="510" spans="1:121" s="35" customFormat="1" x14ac:dyDescent="0.2">
      <c r="A510" s="34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565"/>
      <c r="R510" s="1097"/>
      <c r="U510" s="39"/>
      <c r="CU510" s="875"/>
      <c r="CV510" s="875"/>
      <c r="CW510" s="875"/>
      <c r="CX510" s="856"/>
      <c r="CY510" s="856"/>
      <c r="CZ510" s="856"/>
      <c r="DA510" s="126"/>
      <c r="DB510" s="126"/>
      <c r="DC510" s="126"/>
      <c r="DD510" s="126"/>
      <c r="DE510" s="856"/>
      <c r="DF510" s="856"/>
      <c r="DG510" s="856"/>
      <c r="DH510" s="856"/>
      <c r="DI510" s="856"/>
      <c r="DJ510" s="856"/>
      <c r="DK510" s="856"/>
      <c r="DL510" s="856"/>
      <c r="DM510" s="152"/>
      <c r="DN510" s="152"/>
      <c r="DO510" s="152"/>
      <c r="DP510" s="152"/>
      <c r="DQ510" s="152"/>
    </row>
    <row r="511" spans="1:121" s="35" customFormat="1" x14ac:dyDescent="0.2">
      <c r="A511" s="34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565"/>
      <c r="R511" s="1097"/>
      <c r="U511" s="39"/>
      <c r="CU511" s="875"/>
      <c r="CV511" s="875"/>
      <c r="CW511" s="875"/>
      <c r="CX511" s="856"/>
      <c r="CY511" s="856"/>
      <c r="CZ511" s="856"/>
      <c r="DA511" s="126"/>
      <c r="DB511" s="126"/>
      <c r="DC511" s="126"/>
      <c r="DD511" s="126"/>
      <c r="DE511" s="856"/>
      <c r="DF511" s="856"/>
      <c r="DG511" s="856"/>
      <c r="DH511" s="856"/>
      <c r="DI511" s="856"/>
      <c r="DJ511" s="856"/>
      <c r="DK511" s="856"/>
      <c r="DL511" s="856"/>
      <c r="DM511" s="152"/>
      <c r="DN511" s="152"/>
      <c r="DO511" s="152"/>
      <c r="DP511" s="152"/>
      <c r="DQ511" s="152"/>
    </row>
    <row r="512" spans="1:121" s="35" customFormat="1" x14ac:dyDescent="0.2">
      <c r="A512" s="34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565"/>
      <c r="R512" s="1097"/>
      <c r="U512" s="39"/>
      <c r="CU512" s="875"/>
      <c r="CV512" s="875"/>
      <c r="CW512" s="875"/>
      <c r="CX512" s="856"/>
      <c r="CY512" s="856"/>
      <c r="CZ512" s="856"/>
      <c r="DA512" s="126"/>
      <c r="DB512" s="126"/>
      <c r="DC512" s="126"/>
      <c r="DD512" s="126"/>
      <c r="DE512" s="856"/>
      <c r="DF512" s="856"/>
      <c r="DG512" s="856"/>
      <c r="DH512" s="856"/>
      <c r="DI512" s="856"/>
      <c r="DJ512" s="856"/>
      <c r="DK512" s="856"/>
      <c r="DL512" s="856"/>
      <c r="DM512" s="152"/>
      <c r="DN512" s="152"/>
      <c r="DO512" s="152"/>
      <c r="DP512" s="152"/>
      <c r="DQ512" s="152"/>
    </row>
    <row r="513" spans="1:121" s="35" customFormat="1" x14ac:dyDescent="0.2">
      <c r="A513" s="34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565"/>
      <c r="R513" s="1097"/>
      <c r="U513" s="39"/>
      <c r="CU513" s="875"/>
      <c r="CV513" s="875"/>
      <c r="CW513" s="875"/>
      <c r="CX513" s="856"/>
      <c r="CY513" s="856"/>
      <c r="CZ513" s="856"/>
      <c r="DA513" s="126"/>
      <c r="DB513" s="126"/>
      <c r="DC513" s="126"/>
      <c r="DD513" s="126"/>
      <c r="DE513" s="856"/>
      <c r="DF513" s="856"/>
      <c r="DG513" s="856"/>
      <c r="DH513" s="856"/>
      <c r="DI513" s="856"/>
      <c r="DJ513" s="856"/>
      <c r="DK513" s="856"/>
      <c r="DL513" s="856"/>
      <c r="DM513" s="152"/>
      <c r="DN513" s="152"/>
      <c r="DO513" s="152"/>
      <c r="DP513" s="152"/>
      <c r="DQ513" s="152"/>
    </row>
    <row r="514" spans="1:121" s="35" customFormat="1" x14ac:dyDescent="0.2">
      <c r="A514" s="34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565"/>
      <c r="R514" s="1097"/>
      <c r="U514" s="39"/>
      <c r="CU514" s="875"/>
      <c r="CV514" s="875"/>
      <c r="CW514" s="875"/>
      <c r="CX514" s="856"/>
      <c r="CY514" s="856"/>
      <c r="CZ514" s="856"/>
      <c r="DA514" s="126"/>
      <c r="DB514" s="126"/>
      <c r="DC514" s="126"/>
      <c r="DD514" s="126"/>
      <c r="DE514" s="856"/>
      <c r="DF514" s="856"/>
      <c r="DG514" s="856"/>
      <c r="DH514" s="856"/>
      <c r="DI514" s="856"/>
      <c r="DJ514" s="856"/>
      <c r="DK514" s="856"/>
      <c r="DL514" s="856"/>
      <c r="DM514" s="152"/>
      <c r="DN514" s="152"/>
      <c r="DO514" s="152"/>
      <c r="DP514" s="152"/>
      <c r="DQ514" s="152"/>
    </row>
    <row r="515" spans="1:121" s="35" customFormat="1" x14ac:dyDescent="0.2">
      <c r="A515" s="34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565"/>
      <c r="R515" s="1097"/>
      <c r="U515" s="39"/>
      <c r="CU515" s="875"/>
      <c r="CV515" s="875"/>
      <c r="CW515" s="875"/>
      <c r="CX515" s="856"/>
      <c r="CY515" s="856"/>
      <c r="CZ515" s="856"/>
      <c r="DA515" s="126"/>
      <c r="DB515" s="126"/>
      <c r="DC515" s="126"/>
      <c r="DD515" s="126"/>
      <c r="DE515" s="856"/>
      <c r="DF515" s="856"/>
      <c r="DG515" s="856"/>
      <c r="DH515" s="856"/>
      <c r="DI515" s="856"/>
      <c r="DJ515" s="856"/>
      <c r="DK515" s="856"/>
      <c r="DL515" s="856"/>
      <c r="DM515" s="152"/>
      <c r="DN515" s="152"/>
      <c r="DO515" s="152"/>
      <c r="DP515" s="152"/>
      <c r="DQ515" s="152"/>
    </row>
    <row r="516" spans="1:121" s="35" customFormat="1" x14ac:dyDescent="0.2">
      <c r="A516" s="34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565"/>
      <c r="R516" s="1097"/>
      <c r="U516" s="39"/>
      <c r="CU516" s="875"/>
      <c r="CV516" s="875"/>
      <c r="CW516" s="875"/>
      <c r="CX516" s="856"/>
      <c r="CY516" s="856"/>
      <c r="CZ516" s="856"/>
      <c r="DA516" s="126"/>
      <c r="DB516" s="126"/>
      <c r="DC516" s="126"/>
      <c r="DD516" s="126"/>
      <c r="DE516" s="856"/>
      <c r="DF516" s="856"/>
      <c r="DG516" s="856"/>
      <c r="DH516" s="856"/>
      <c r="DI516" s="856"/>
      <c r="DJ516" s="856"/>
      <c r="DK516" s="856"/>
      <c r="DL516" s="856"/>
      <c r="DM516" s="152"/>
      <c r="DN516" s="152"/>
      <c r="DO516" s="152"/>
      <c r="DP516" s="152"/>
      <c r="DQ516" s="152"/>
    </row>
    <row r="517" spans="1:121" s="35" customFormat="1" x14ac:dyDescent="0.2">
      <c r="A517" s="34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565"/>
      <c r="R517" s="1097"/>
      <c r="U517" s="39"/>
      <c r="CU517" s="875"/>
      <c r="CV517" s="875"/>
      <c r="CW517" s="875"/>
      <c r="CX517" s="856"/>
      <c r="CY517" s="856"/>
      <c r="CZ517" s="856"/>
      <c r="DA517" s="126"/>
      <c r="DB517" s="126"/>
      <c r="DC517" s="126"/>
      <c r="DD517" s="126"/>
      <c r="DE517" s="856"/>
      <c r="DF517" s="856"/>
      <c r="DG517" s="856"/>
      <c r="DH517" s="856"/>
      <c r="DI517" s="856"/>
      <c r="DJ517" s="856"/>
      <c r="DK517" s="856"/>
      <c r="DL517" s="856"/>
      <c r="DM517" s="152"/>
      <c r="DN517" s="152"/>
      <c r="DO517" s="152"/>
      <c r="DP517" s="152"/>
      <c r="DQ517" s="152"/>
    </row>
    <row r="518" spans="1:121" s="35" customFormat="1" x14ac:dyDescent="0.2">
      <c r="A518" s="34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565"/>
      <c r="R518" s="1097"/>
      <c r="U518" s="39"/>
      <c r="CU518" s="875"/>
      <c r="CV518" s="875"/>
      <c r="CW518" s="875"/>
      <c r="CX518" s="856"/>
      <c r="CY518" s="856"/>
      <c r="CZ518" s="856"/>
      <c r="DA518" s="126"/>
      <c r="DB518" s="126"/>
      <c r="DC518" s="126"/>
      <c r="DD518" s="126"/>
      <c r="DE518" s="856"/>
      <c r="DF518" s="856"/>
      <c r="DG518" s="856"/>
      <c r="DH518" s="856"/>
      <c r="DI518" s="856"/>
      <c r="DJ518" s="856"/>
      <c r="DK518" s="856"/>
      <c r="DL518" s="856"/>
      <c r="DM518" s="152"/>
      <c r="DN518" s="152"/>
      <c r="DO518" s="152"/>
      <c r="DP518" s="152"/>
      <c r="DQ518" s="152"/>
    </row>
    <row r="519" spans="1:121" s="35" customFormat="1" x14ac:dyDescent="0.2">
      <c r="A519" s="34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565"/>
      <c r="R519" s="1097"/>
      <c r="U519" s="39"/>
      <c r="CU519" s="875"/>
      <c r="CV519" s="875"/>
      <c r="CW519" s="875"/>
      <c r="CX519" s="856"/>
      <c r="CY519" s="856"/>
      <c r="CZ519" s="856"/>
      <c r="DA519" s="126"/>
      <c r="DB519" s="126"/>
      <c r="DC519" s="126"/>
      <c r="DD519" s="126"/>
      <c r="DE519" s="856"/>
      <c r="DF519" s="856"/>
      <c r="DG519" s="856"/>
      <c r="DH519" s="856"/>
      <c r="DI519" s="856"/>
      <c r="DJ519" s="856"/>
      <c r="DK519" s="856"/>
      <c r="DL519" s="856"/>
      <c r="DM519" s="152"/>
      <c r="DN519" s="152"/>
      <c r="DO519" s="152"/>
      <c r="DP519" s="152"/>
      <c r="DQ519" s="152"/>
    </row>
    <row r="520" spans="1:121" s="35" customFormat="1" x14ac:dyDescent="0.2">
      <c r="A520" s="34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565"/>
      <c r="R520" s="1097"/>
      <c r="U520" s="39"/>
      <c r="CU520" s="875"/>
      <c r="CV520" s="875"/>
      <c r="CW520" s="875"/>
      <c r="CX520" s="856"/>
      <c r="CY520" s="856"/>
      <c r="CZ520" s="856"/>
      <c r="DA520" s="126"/>
      <c r="DB520" s="126"/>
      <c r="DC520" s="126"/>
      <c r="DD520" s="126"/>
      <c r="DE520" s="856"/>
      <c r="DF520" s="856"/>
      <c r="DG520" s="856"/>
      <c r="DH520" s="856"/>
      <c r="DI520" s="856"/>
      <c r="DJ520" s="856"/>
      <c r="DK520" s="856"/>
      <c r="DL520" s="856"/>
      <c r="DM520" s="152"/>
      <c r="DN520" s="152"/>
      <c r="DO520" s="152"/>
      <c r="DP520" s="152"/>
      <c r="DQ520" s="152"/>
    </row>
    <row r="521" spans="1:121" s="35" customFormat="1" x14ac:dyDescent="0.2">
      <c r="A521" s="34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565"/>
      <c r="R521" s="1097"/>
      <c r="U521" s="39"/>
      <c r="CU521" s="875"/>
      <c r="CV521" s="875"/>
      <c r="CW521" s="875"/>
      <c r="CX521" s="856"/>
      <c r="CY521" s="856"/>
      <c r="CZ521" s="856"/>
      <c r="DA521" s="126"/>
      <c r="DB521" s="126"/>
      <c r="DC521" s="126"/>
      <c r="DD521" s="126"/>
      <c r="DE521" s="856"/>
      <c r="DF521" s="856"/>
      <c r="DG521" s="856"/>
      <c r="DH521" s="856"/>
      <c r="DI521" s="856"/>
      <c r="DJ521" s="856"/>
      <c r="DK521" s="856"/>
      <c r="DL521" s="856"/>
      <c r="DM521" s="152"/>
      <c r="DN521" s="152"/>
      <c r="DO521" s="152"/>
      <c r="DP521" s="152"/>
      <c r="DQ521" s="152"/>
    </row>
    <row r="522" spans="1:121" s="35" customFormat="1" x14ac:dyDescent="0.2">
      <c r="A522" s="34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565"/>
      <c r="R522" s="1097"/>
      <c r="U522" s="39"/>
      <c r="CU522" s="875"/>
      <c r="CV522" s="875"/>
      <c r="CW522" s="875"/>
      <c r="CX522" s="856"/>
      <c r="CY522" s="856"/>
      <c r="CZ522" s="856"/>
      <c r="DA522" s="126"/>
      <c r="DB522" s="126"/>
      <c r="DC522" s="126"/>
      <c r="DD522" s="126"/>
      <c r="DE522" s="856"/>
      <c r="DF522" s="856"/>
      <c r="DG522" s="856"/>
      <c r="DH522" s="856"/>
      <c r="DI522" s="856"/>
      <c r="DJ522" s="856"/>
      <c r="DK522" s="856"/>
      <c r="DL522" s="856"/>
      <c r="DM522" s="152"/>
      <c r="DN522" s="152"/>
      <c r="DO522" s="152"/>
      <c r="DP522" s="152"/>
      <c r="DQ522" s="152"/>
    </row>
    <row r="523" spans="1:121" s="35" customFormat="1" x14ac:dyDescent="0.2">
      <c r="A523" s="34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565"/>
      <c r="R523" s="1097"/>
      <c r="U523" s="39"/>
      <c r="CU523" s="875"/>
      <c r="CV523" s="875"/>
      <c r="CW523" s="875"/>
      <c r="CX523" s="856"/>
      <c r="CY523" s="856"/>
      <c r="CZ523" s="856"/>
      <c r="DA523" s="126"/>
      <c r="DB523" s="126"/>
      <c r="DC523" s="126"/>
      <c r="DD523" s="126"/>
      <c r="DE523" s="856"/>
      <c r="DF523" s="856"/>
      <c r="DG523" s="856"/>
      <c r="DH523" s="856"/>
      <c r="DI523" s="856"/>
      <c r="DJ523" s="856"/>
      <c r="DK523" s="856"/>
      <c r="DL523" s="856"/>
      <c r="DM523" s="152"/>
      <c r="DN523" s="152"/>
      <c r="DO523" s="152"/>
      <c r="DP523" s="152"/>
      <c r="DQ523" s="152"/>
    </row>
    <row r="524" spans="1:121" s="35" customFormat="1" x14ac:dyDescent="0.2">
      <c r="A524" s="34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565"/>
      <c r="R524" s="1097"/>
      <c r="U524" s="39"/>
      <c r="CU524" s="875"/>
      <c r="CV524" s="875"/>
      <c r="CW524" s="875"/>
      <c r="CX524" s="856"/>
      <c r="CY524" s="856"/>
      <c r="CZ524" s="856"/>
      <c r="DA524" s="126"/>
      <c r="DB524" s="126"/>
      <c r="DC524" s="126"/>
      <c r="DD524" s="126"/>
      <c r="DE524" s="856"/>
      <c r="DF524" s="856"/>
      <c r="DG524" s="856"/>
      <c r="DH524" s="856"/>
      <c r="DI524" s="856"/>
      <c r="DJ524" s="856"/>
      <c r="DK524" s="856"/>
      <c r="DL524" s="856"/>
      <c r="DM524" s="152"/>
      <c r="DN524" s="152"/>
      <c r="DO524" s="152"/>
      <c r="DP524" s="152"/>
      <c r="DQ524" s="152"/>
    </row>
    <row r="525" spans="1:121" s="35" customFormat="1" x14ac:dyDescent="0.2">
      <c r="A525" s="34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565"/>
      <c r="R525" s="1097"/>
      <c r="U525" s="39"/>
      <c r="CU525" s="875"/>
      <c r="CV525" s="875"/>
      <c r="CW525" s="875"/>
      <c r="CX525" s="856"/>
      <c r="CY525" s="856"/>
      <c r="CZ525" s="856"/>
      <c r="DA525" s="126"/>
      <c r="DB525" s="126"/>
      <c r="DC525" s="126"/>
      <c r="DD525" s="126"/>
      <c r="DE525" s="856"/>
      <c r="DF525" s="856"/>
      <c r="DG525" s="856"/>
      <c r="DH525" s="856"/>
      <c r="DI525" s="856"/>
      <c r="DJ525" s="856"/>
      <c r="DK525" s="856"/>
      <c r="DL525" s="856"/>
      <c r="DM525" s="152"/>
      <c r="DN525" s="152"/>
      <c r="DO525" s="152"/>
      <c r="DP525" s="152"/>
      <c r="DQ525" s="152"/>
    </row>
    <row r="526" spans="1:121" s="35" customFormat="1" x14ac:dyDescent="0.2">
      <c r="A526" s="34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565"/>
      <c r="R526" s="1097"/>
      <c r="U526" s="39"/>
      <c r="CU526" s="875"/>
      <c r="CV526" s="875"/>
      <c r="CW526" s="875"/>
      <c r="CX526" s="856"/>
      <c r="CY526" s="856"/>
      <c r="CZ526" s="856"/>
      <c r="DA526" s="126"/>
      <c r="DB526" s="126"/>
      <c r="DC526" s="126"/>
      <c r="DD526" s="126"/>
      <c r="DE526" s="856"/>
      <c r="DF526" s="856"/>
      <c r="DG526" s="856"/>
      <c r="DH526" s="856"/>
      <c r="DI526" s="856"/>
      <c r="DJ526" s="856"/>
      <c r="DK526" s="856"/>
      <c r="DL526" s="856"/>
      <c r="DM526" s="152"/>
      <c r="DN526" s="152"/>
      <c r="DO526" s="152"/>
      <c r="DP526" s="152"/>
      <c r="DQ526" s="152"/>
    </row>
    <row r="527" spans="1:121" s="35" customFormat="1" x14ac:dyDescent="0.2">
      <c r="A527" s="34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565"/>
      <c r="R527" s="1097"/>
      <c r="U527" s="39"/>
      <c r="CU527" s="875"/>
      <c r="CV527" s="875"/>
      <c r="CW527" s="875"/>
      <c r="CX527" s="856"/>
      <c r="CY527" s="856"/>
      <c r="CZ527" s="856"/>
      <c r="DA527" s="126"/>
      <c r="DB527" s="126"/>
      <c r="DC527" s="126"/>
      <c r="DD527" s="126"/>
      <c r="DE527" s="856"/>
      <c r="DF527" s="856"/>
      <c r="DG527" s="856"/>
      <c r="DH527" s="856"/>
      <c r="DI527" s="856"/>
      <c r="DJ527" s="856"/>
      <c r="DK527" s="856"/>
      <c r="DL527" s="856"/>
      <c r="DM527" s="152"/>
      <c r="DN527" s="152"/>
      <c r="DO527" s="152"/>
      <c r="DP527" s="152"/>
      <c r="DQ527" s="152"/>
    </row>
    <row r="528" spans="1:121" s="35" customFormat="1" x14ac:dyDescent="0.2">
      <c r="A528" s="34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565"/>
      <c r="R528" s="1097"/>
      <c r="U528" s="39"/>
      <c r="CU528" s="875"/>
      <c r="CV528" s="875"/>
      <c r="CW528" s="875"/>
      <c r="CX528" s="856"/>
      <c r="CY528" s="856"/>
      <c r="CZ528" s="856"/>
      <c r="DA528" s="126"/>
      <c r="DB528" s="126"/>
      <c r="DC528" s="126"/>
      <c r="DD528" s="126"/>
      <c r="DE528" s="856"/>
      <c r="DF528" s="856"/>
      <c r="DG528" s="856"/>
      <c r="DH528" s="856"/>
      <c r="DI528" s="856"/>
      <c r="DJ528" s="856"/>
      <c r="DK528" s="856"/>
      <c r="DL528" s="856"/>
      <c r="DM528" s="152"/>
      <c r="DN528" s="152"/>
      <c r="DO528" s="152"/>
      <c r="DP528" s="152"/>
      <c r="DQ528" s="152"/>
    </row>
    <row r="529" spans="1:121" s="35" customFormat="1" x14ac:dyDescent="0.2">
      <c r="A529" s="34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565"/>
      <c r="R529" s="1097"/>
      <c r="U529" s="39"/>
      <c r="CU529" s="875"/>
      <c r="CV529" s="875"/>
      <c r="CW529" s="875"/>
      <c r="CX529" s="856"/>
      <c r="CY529" s="856"/>
      <c r="CZ529" s="856"/>
      <c r="DA529" s="126"/>
      <c r="DB529" s="126"/>
      <c r="DC529" s="126"/>
      <c r="DD529" s="126"/>
      <c r="DE529" s="856"/>
      <c r="DF529" s="856"/>
      <c r="DG529" s="856"/>
      <c r="DH529" s="856"/>
      <c r="DI529" s="856"/>
      <c r="DJ529" s="856"/>
      <c r="DK529" s="856"/>
      <c r="DL529" s="856"/>
      <c r="DM529" s="152"/>
      <c r="DN529" s="152"/>
      <c r="DO529" s="152"/>
      <c r="DP529" s="152"/>
      <c r="DQ529" s="152"/>
    </row>
    <row r="530" spans="1:121" s="35" customFormat="1" x14ac:dyDescent="0.2">
      <c r="A530" s="34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565"/>
      <c r="R530" s="1097"/>
      <c r="U530" s="39"/>
      <c r="CU530" s="875"/>
      <c r="CV530" s="875"/>
      <c r="CW530" s="875"/>
      <c r="CX530" s="856"/>
      <c r="CY530" s="856"/>
      <c r="CZ530" s="856"/>
      <c r="DA530" s="126"/>
      <c r="DB530" s="126"/>
      <c r="DC530" s="126"/>
      <c r="DD530" s="126"/>
      <c r="DE530" s="856"/>
      <c r="DF530" s="856"/>
      <c r="DG530" s="856"/>
      <c r="DH530" s="856"/>
      <c r="DI530" s="856"/>
      <c r="DJ530" s="856"/>
      <c r="DK530" s="856"/>
      <c r="DL530" s="856"/>
      <c r="DM530" s="152"/>
      <c r="DN530" s="152"/>
      <c r="DO530" s="152"/>
      <c r="DP530" s="152"/>
      <c r="DQ530" s="152"/>
    </row>
    <row r="531" spans="1:121" s="35" customFormat="1" x14ac:dyDescent="0.2">
      <c r="A531" s="34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565"/>
      <c r="R531" s="1097"/>
      <c r="U531" s="39"/>
      <c r="CU531" s="875"/>
      <c r="CV531" s="875"/>
      <c r="CW531" s="875"/>
      <c r="CX531" s="856"/>
      <c r="CY531" s="856"/>
      <c r="CZ531" s="856"/>
      <c r="DA531" s="126"/>
      <c r="DB531" s="126"/>
      <c r="DC531" s="126"/>
      <c r="DD531" s="126"/>
      <c r="DE531" s="856"/>
      <c r="DF531" s="856"/>
      <c r="DG531" s="856"/>
      <c r="DH531" s="856"/>
      <c r="DI531" s="856"/>
      <c r="DJ531" s="856"/>
      <c r="DK531" s="856"/>
      <c r="DL531" s="856"/>
      <c r="DM531" s="152"/>
      <c r="DN531" s="152"/>
      <c r="DO531" s="152"/>
      <c r="DP531" s="152"/>
      <c r="DQ531" s="152"/>
    </row>
    <row r="532" spans="1:121" s="35" customFormat="1" x14ac:dyDescent="0.2">
      <c r="A532" s="34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565"/>
      <c r="R532" s="1097"/>
      <c r="U532" s="39"/>
      <c r="CU532" s="875"/>
      <c r="CV532" s="875"/>
      <c r="CW532" s="875"/>
      <c r="CX532" s="856"/>
      <c r="CY532" s="856"/>
      <c r="CZ532" s="856"/>
      <c r="DA532" s="126"/>
      <c r="DB532" s="126"/>
      <c r="DC532" s="126"/>
      <c r="DD532" s="126"/>
      <c r="DE532" s="856"/>
      <c r="DF532" s="856"/>
      <c r="DG532" s="856"/>
      <c r="DH532" s="856"/>
      <c r="DI532" s="856"/>
      <c r="DJ532" s="856"/>
      <c r="DK532" s="856"/>
      <c r="DL532" s="856"/>
      <c r="DM532" s="152"/>
      <c r="DN532" s="152"/>
      <c r="DO532" s="152"/>
      <c r="DP532" s="152"/>
      <c r="DQ532" s="152"/>
    </row>
    <row r="533" spans="1:121" s="35" customFormat="1" x14ac:dyDescent="0.2">
      <c r="A533" s="34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565"/>
      <c r="R533" s="1097"/>
      <c r="U533" s="39"/>
      <c r="CU533" s="875"/>
      <c r="CV533" s="875"/>
      <c r="CW533" s="875"/>
      <c r="CX533" s="856"/>
      <c r="CY533" s="856"/>
      <c r="CZ533" s="856"/>
      <c r="DA533" s="126"/>
      <c r="DB533" s="126"/>
      <c r="DC533" s="126"/>
      <c r="DD533" s="126"/>
      <c r="DE533" s="856"/>
      <c r="DF533" s="856"/>
      <c r="DG533" s="856"/>
      <c r="DH533" s="856"/>
      <c r="DI533" s="856"/>
      <c r="DJ533" s="856"/>
      <c r="DK533" s="856"/>
      <c r="DL533" s="856"/>
      <c r="DM533" s="152"/>
      <c r="DN533" s="152"/>
      <c r="DO533" s="152"/>
      <c r="DP533" s="152"/>
      <c r="DQ533" s="152"/>
    </row>
    <row r="534" spans="1:121" s="35" customFormat="1" x14ac:dyDescent="0.2">
      <c r="A534" s="34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565"/>
      <c r="R534" s="1097"/>
      <c r="U534" s="39"/>
      <c r="CU534" s="875"/>
      <c r="CV534" s="875"/>
      <c r="CW534" s="875"/>
      <c r="CX534" s="856"/>
      <c r="CY534" s="856"/>
      <c r="CZ534" s="856"/>
      <c r="DA534" s="126"/>
      <c r="DB534" s="126"/>
      <c r="DC534" s="126"/>
      <c r="DD534" s="126"/>
      <c r="DE534" s="856"/>
      <c r="DF534" s="856"/>
      <c r="DG534" s="856"/>
      <c r="DH534" s="856"/>
      <c r="DI534" s="856"/>
      <c r="DJ534" s="856"/>
      <c r="DK534" s="856"/>
      <c r="DL534" s="856"/>
      <c r="DM534" s="152"/>
      <c r="DN534" s="152"/>
      <c r="DO534" s="152"/>
      <c r="DP534" s="152"/>
      <c r="DQ534" s="152"/>
    </row>
    <row r="535" spans="1:121" s="35" customFormat="1" x14ac:dyDescent="0.2">
      <c r="A535" s="34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565"/>
      <c r="R535" s="1097"/>
      <c r="U535" s="39"/>
      <c r="CU535" s="875"/>
      <c r="CV535" s="875"/>
      <c r="CW535" s="875"/>
      <c r="CX535" s="856"/>
      <c r="CY535" s="856"/>
      <c r="CZ535" s="856"/>
      <c r="DA535" s="126"/>
      <c r="DB535" s="126"/>
      <c r="DC535" s="126"/>
      <c r="DD535" s="126"/>
      <c r="DE535" s="856"/>
      <c r="DF535" s="856"/>
      <c r="DG535" s="856"/>
      <c r="DH535" s="856"/>
      <c r="DI535" s="856"/>
      <c r="DJ535" s="856"/>
      <c r="DK535" s="856"/>
      <c r="DL535" s="856"/>
      <c r="DM535" s="152"/>
      <c r="DN535" s="152"/>
      <c r="DO535" s="152"/>
      <c r="DP535" s="152"/>
      <c r="DQ535" s="152"/>
    </row>
    <row r="536" spans="1:121" s="35" customFormat="1" x14ac:dyDescent="0.2">
      <c r="A536" s="34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565"/>
      <c r="R536" s="1097"/>
      <c r="U536" s="39"/>
      <c r="CU536" s="875"/>
      <c r="CV536" s="875"/>
      <c r="CW536" s="875"/>
      <c r="CX536" s="856"/>
      <c r="CY536" s="856"/>
      <c r="CZ536" s="856"/>
      <c r="DA536" s="126"/>
      <c r="DB536" s="126"/>
      <c r="DC536" s="126"/>
      <c r="DD536" s="126"/>
      <c r="DE536" s="856"/>
      <c r="DF536" s="856"/>
      <c r="DG536" s="856"/>
      <c r="DH536" s="856"/>
      <c r="DI536" s="856"/>
      <c r="DJ536" s="856"/>
      <c r="DK536" s="856"/>
      <c r="DL536" s="856"/>
      <c r="DM536" s="152"/>
      <c r="DN536" s="152"/>
      <c r="DO536" s="152"/>
      <c r="DP536" s="152"/>
      <c r="DQ536" s="152"/>
    </row>
    <row r="537" spans="1:121" s="35" customFormat="1" x14ac:dyDescent="0.2">
      <c r="A537" s="34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565"/>
      <c r="R537" s="1097"/>
      <c r="U537" s="39"/>
      <c r="CU537" s="875"/>
      <c r="CV537" s="875"/>
      <c r="CW537" s="875"/>
      <c r="CX537" s="856"/>
      <c r="CY537" s="856"/>
      <c r="CZ537" s="856"/>
      <c r="DA537" s="126"/>
      <c r="DB537" s="126"/>
      <c r="DC537" s="126"/>
      <c r="DD537" s="126"/>
      <c r="DE537" s="856"/>
      <c r="DF537" s="856"/>
      <c r="DG537" s="856"/>
      <c r="DH537" s="856"/>
      <c r="DI537" s="856"/>
      <c r="DJ537" s="856"/>
      <c r="DK537" s="856"/>
      <c r="DL537" s="856"/>
      <c r="DM537" s="152"/>
      <c r="DN537" s="152"/>
      <c r="DO537" s="152"/>
      <c r="DP537" s="152"/>
      <c r="DQ537" s="152"/>
    </row>
    <row r="538" spans="1:121" s="35" customFormat="1" x14ac:dyDescent="0.2">
      <c r="A538" s="34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565"/>
      <c r="R538" s="1097"/>
      <c r="U538" s="39"/>
      <c r="CU538" s="875"/>
      <c r="CV538" s="875"/>
      <c r="CW538" s="875"/>
      <c r="CX538" s="856"/>
      <c r="CY538" s="856"/>
      <c r="CZ538" s="856"/>
      <c r="DA538" s="126"/>
      <c r="DB538" s="126"/>
      <c r="DC538" s="126"/>
      <c r="DD538" s="126"/>
      <c r="DE538" s="856"/>
      <c r="DF538" s="856"/>
      <c r="DG538" s="856"/>
      <c r="DH538" s="856"/>
      <c r="DI538" s="856"/>
      <c r="DJ538" s="856"/>
      <c r="DK538" s="856"/>
      <c r="DL538" s="856"/>
      <c r="DM538" s="152"/>
      <c r="DN538" s="152"/>
      <c r="DO538" s="152"/>
      <c r="DP538" s="152"/>
      <c r="DQ538" s="152"/>
    </row>
    <row r="539" spans="1:121" s="35" customFormat="1" x14ac:dyDescent="0.2">
      <c r="A539" s="34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565"/>
      <c r="R539" s="1097"/>
      <c r="U539" s="39"/>
      <c r="CU539" s="875"/>
      <c r="CV539" s="875"/>
      <c r="CW539" s="875"/>
      <c r="CX539" s="856"/>
      <c r="CY539" s="856"/>
      <c r="CZ539" s="856"/>
      <c r="DA539" s="126"/>
      <c r="DB539" s="126"/>
      <c r="DC539" s="126"/>
      <c r="DD539" s="126"/>
      <c r="DE539" s="856"/>
      <c r="DF539" s="856"/>
      <c r="DG539" s="856"/>
      <c r="DH539" s="856"/>
      <c r="DI539" s="856"/>
      <c r="DJ539" s="856"/>
      <c r="DK539" s="856"/>
      <c r="DL539" s="856"/>
      <c r="DM539" s="152"/>
      <c r="DN539" s="152"/>
      <c r="DO539" s="152"/>
      <c r="DP539" s="152"/>
      <c r="DQ539" s="152"/>
    </row>
    <row r="540" spans="1:121" s="35" customFormat="1" x14ac:dyDescent="0.2">
      <c r="A540" s="34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565"/>
      <c r="R540" s="1097"/>
      <c r="U540" s="39"/>
      <c r="CU540" s="875"/>
      <c r="CV540" s="875"/>
      <c r="CW540" s="875"/>
      <c r="CX540" s="856"/>
      <c r="CY540" s="856"/>
      <c r="CZ540" s="856"/>
      <c r="DA540" s="126"/>
      <c r="DB540" s="126"/>
      <c r="DC540" s="126"/>
      <c r="DD540" s="126"/>
      <c r="DE540" s="856"/>
      <c r="DF540" s="856"/>
      <c r="DG540" s="856"/>
      <c r="DH540" s="856"/>
      <c r="DI540" s="856"/>
      <c r="DJ540" s="856"/>
      <c r="DK540" s="856"/>
      <c r="DL540" s="856"/>
      <c r="DM540" s="152"/>
      <c r="DN540" s="152"/>
      <c r="DO540" s="152"/>
      <c r="DP540" s="152"/>
      <c r="DQ540" s="152"/>
    </row>
    <row r="541" spans="1:121" s="35" customFormat="1" x14ac:dyDescent="0.2">
      <c r="A541" s="34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565"/>
      <c r="R541" s="1097"/>
      <c r="U541" s="39"/>
      <c r="CU541" s="875"/>
      <c r="CV541" s="875"/>
      <c r="CW541" s="875"/>
      <c r="CX541" s="856"/>
      <c r="CY541" s="856"/>
      <c r="CZ541" s="856"/>
      <c r="DA541" s="126"/>
      <c r="DB541" s="126"/>
      <c r="DC541" s="126"/>
      <c r="DD541" s="126"/>
      <c r="DE541" s="856"/>
      <c r="DF541" s="856"/>
      <c r="DG541" s="856"/>
      <c r="DH541" s="856"/>
      <c r="DI541" s="856"/>
      <c r="DJ541" s="856"/>
      <c r="DK541" s="856"/>
      <c r="DL541" s="856"/>
      <c r="DM541" s="152"/>
      <c r="DN541" s="152"/>
      <c r="DO541" s="152"/>
      <c r="DP541" s="152"/>
      <c r="DQ541" s="152"/>
    </row>
    <row r="542" spans="1:121" s="35" customFormat="1" x14ac:dyDescent="0.2">
      <c r="A542" s="34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565"/>
      <c r="R542" s="1097"/>
      <c r="U542" s="39"/>
      <c r="CU542" s="875"/>
      <c r="CV542" s="875"/>
      <c r="CW542" s="875"/>
      <c r="CX542" s="856"/>
      <c r="CY542" s="856"/>
      <c r="CZ542" s="856"/>
      <c r="DA542" s="126"/>
      <c r="DB542" s="126"/>
      <c r="DC542" s="126"/>
      <c r="DD542" s="126"/>
      <c r="DE542" s="856"/>
      <c r="DF542" s="856"/>
      <c r="DG542" s="856"/>
      <c r="DH542" s="856"/>
      <c r="DI542" s="856"/>
      <c r="DJ542" s="856"/>
      <c r="DK542" s="856"/>
      <c r="DL542" s="856"/>
      <c r="DM542" s="152"/>
      <c r="DN542" s="152"/>
      <c r="DO542" s="152"/>
      <c r="DP542" s="152"/>
      <c r="DQ542" s="152"/>
    </row>
    <row r="543" spans="1:121" s="35" customFormat="1" x14ac:dyDescent="0.2">
      <c r="A543" s="34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565"/>
      <c r="R543" s="1097"/>
      <c r="U543" s="39"/>
      <c r="CU543" s="875"/>
      <c r="CV543" s="875"/>
      <c r="CW543" s="875"/>
      <c r="CX543" s="856"/>
      <c r="CY543" s="856"/>
      <c r="CZ543" s="856"/>
      <c r="DA543" s="126"/>
      <c r="DB543" s="126"/>
      <c r="DC543" s="126"/>
      <c r="DD543" s="126"/>
      <c r="DE543" s="856"/>
      <c r="DF543" s="856"/>
      <c r="DG543" s="856"/>
      <c r="DH543" s="856"/>
      <c r="DI543" s="856"/>
      <c r="DJ543" s="856"/>
      <c r="DK543" s="856"/>
      <c r="DL543" s="856"/>
      <c r="DM543" s="152"/>
      <c r="DN543" s="152"/>
      <c r="DO543" s="152"/>
      <c r="DP543" s="152"/>
      <c r="DQ543" s="152"/>
    </row>
    <row r="544" spans="1:121" s="35" customFormat="1" x14ac:dyDescent="0.2">
      <c r="A544" s="34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565"/>
      <c r="R544" s="1097"/>
      <c r="U544" s="39"/>
      <c r="CU544" s="875"/>
      <c r="CV544" s="875"/>
      <c r="CW544" s="875"/>
      <c r="CX544" s="856"/>
      <c r="CY544" s="856"/>
      <c r="CZ544" s="856"/>
      <c r="DA544" s="126"/>
      <c r="DB544" s="126"/>
      <c r="DC544" s="126"/>
      <c r="DD544" s="126"/>
      <c r="DE544" s="856"/>
      <c r="DF544" s="856"/>
      <c r="DG544" s="856"/>
      <c r="DH544" s="856"/>
      <c r="DI544" s="856"/>
      <c r="DJ544" s="856"/>
      <c r="DK544" s="856"/>
      <c r="DL544" s="856"/>
      <c r="DM544" s="152"/>
      <c r="DN544" s="152"/>
      <c r="DO544" s="152"/>
      <c r="DP544" s="152"/>
      <c r="DQ544" s="152"/>
    </row>
    <row r="545" spans="1:121" s="35" customFormat="1" x14ac:dyDescent="0.2">
      <c r="A545" s="34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565"/>
      <c r="R545" s="1097"/>
      <c r="U545" s="39"/>
      <c r="CU545" s="875"/>
      <c r="CV545" s="875"/>
      <c r="CW545" s="875"/>
      <c r="CX545" s="856"/>
      <c r="CY545" s="856"/>
      <c r="CZ545" s="856"/>
      <c r="DA545" s="126"/>
      <c r="DB545" s="126"/>
      <c r="DC545" s="126"/>
      <c r="DD545" s="126"/>
      <c r="DE545" s="856"/>
      <c r="DF545" s="856"/>
      <c r="DG545" s="856"/>
      <c r="DH545" s="856"/>
      <c r="DI545" s="856"/>
      <c r="DJ545" s="856"/>
      <c r="DK545" s="856"/>
      <c r="DL545" s="856"/>
      <c r="DM545" s="152"/>
      <c r="DN545" s="152"/>
      <c r="DO545" s="152"/>
      <c r="DP545" s="152"/>
      <c r="DQ545" s="152"/>
    </row>
    <row r="546" spans="1:121" s="35" customFormat="1" x14ac:dyDescent="0.2">
      <c r="A546" s="34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565"/>
      <c r="R546" s="1097"/>
      <c r="U546" s="39"/>
      <c r="CU546" s="875"/>
      <c r="CV546" s="875"/>
      <c r="CW546" s="875"/>
      <c r="CX546" s="856"/>
      <c r="CY546" s="856"/>
      <c r="CZ546" s="856"/>
      <c r="DA546" s="126"/>
      <c r="DB546" s="126"/>
      <c r="DC546" s="126"/>
      <c r="DD546" s="126"/>
      <c r="DE546" s="856"/>
      <c r="DF546" s="856"/>
      <c r="DG546" s="856"/>
      <c r="DH546" s="856"/>
      <c r="DI546" s="856"/>
      <c r="DJ546" s="856"/>
      <c r="DK546" s="856"/>
      <c r="DL546" s="856"/>
      <c r="DM546" s="152"/>
      <c r="DN546" s="152"/>
      <c r="DO546" s="152"/>
      <c r="DP546" s="152"/>
      <c r="DQ546" s="152"/>
    </row>
    <row r="547" spans="1:121" s="35" customFormat="1" x14ac:dyDescent="0.2">
      <c r="A547" s="34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565"/>
      <c r="R547" s="1097"/>
      <c r="U547" s="39"/>
      <c r="CU547" s="875"/>
      <c r="CV547" s="875"/>
      <c r="CW547" s="875"/>
      <c r="CX547" s="856"/>
      <c r="CY547" s="856"/>
      <c r="CZ547" s="856"/>
      <c r="DA547" s="126"/>
      <c r="DB547" s="126"/>
      <c r="DC547" s="126"/>
      <c r="DD547" s="126"/>
      <c r="DE547" s="856"/>
      <c r="DF547" s="856"/>
      <c r="DG547" s="856"/>
      <c r="DH547" s="856"/>
      <c r="DI547" s="856"/>
      <c r="DJ547" s="856"/>
      <c r="DK547" s="856"/>
      <c r="DL547" s="856"/>
      <c r="DM547" s="152"/>
      <c r="DN547" s="152"/>
      <c r="DO547" s="152"/>
      <c r="DP547" s="152"/>
      <c r="DQ547" s="152"/>
    </row>
    <row r="548" spans="1:121" s="35" customFormat="1" x14ac:dyDescent="0.2">
      <c r="A548" s="34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565"/>
      <c r="R548" s="1097"/>
      <c r="U548" s="39"/>
      <c r="CU548" s="875"/>
      <c r="CV548" s="875"/>
      <c r="CW548" s="875"/>
      <c r="CX548" s="856"/>
      <c r="CY548" s="856"/>
      <c r="CZ548" s="856"/>
      <c r="DA548" s="126"/>
      <c r="DB548" s="126"/>
      <c r="DC548" s="126"/>
      <c r="DD548" s="126"/>
      <c r="DE548" s="856"/>
      <c r="DF548" s="856"/>
      <c r="DG548" s="856"/>
      <c r="DH548" s="856"/>
      <c r="DI548" s="856"/>
      <c r="DJ548" s="856"/>
      <c r="DK548" s="856"/>
      <c r="DL548" s="856"/>
      <c r="DM548" s="152"/>
      <c r="DN548" s="152"/>
      <c r="DO548" s="152"/>
      <c r="DP548" s="152"/>
      <c r="DQ548" s="152"/>
    </row>
    <row r="549" spans="1:121" s="35" customFormat="1" x14ac:dyDescent="0.2">
      <c r="A549" s="34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565"/>
      <c r="R549" s="1097"/>
      <c r="U549" s="39"/>
      <c r="CU549" s="875"/>
      <c r="CV549" s="875"/>
      <c r="CW549" s="875"/>
      <c r="CX549" s="856"/>
      <c r="CY549" s="856"/>
      <c r="CZ549" s="856"/>
      <c r="DA549" s="126"/>
      <c r="DB549" s="126"/>
      <c r="DC549" s="126"/>
      <c r="DD549" s="126"/>
      <c r="DE549" s="856"/>
      <c r="DF549" s="856"/>
      <c r="DG549" s="856"/>
      <c r="DH549" s="856"/>
      <c r="DI549" s="856"/>
      <c r="DJ549" s="856"/>
      <c r="DK549" s="856"/>
      <c r="DL549" s="856"/>
      <c r="DM549" s="152"/>
      <c r="DN549" s="152"/>
      <c r="DO549" s="152"/>
      <c r="DP549" s="152"/>
      <c r="DQ549" s="152"/>
    </row>
    <row r="550" spans="1:121" s="35" customFormat="1" x14ac:dyDescent="0.2">
      <c r="A550" s="34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565"/>
      <c r="R550" s="1097"/>
      <c r="U550" s="39"/>
      <c r="CU550" s="875"/>
      <c r="CV550" s="875"/>
      <c r="CW550" s="875"/>
      <c r="CX550" s="856"/>
      <c r="CY550" s="856"/>
      <c r="CZ550" s="856"/>
      <c r="DA550" s="126"/>
      <c r="DB550" s="126"/>
      <c r="DC550" s="126"/>
      <c r="DD550" s="126"/>
      <c r="DE550" s="856"/>
      <c r="DF550" s="856"/>
      <c r="DG550" s="856"/>
      <c r="DH550" s="856"/>
      <c r="DI550" s="856"/>
      <c r="DJ550" s="856"/>
      <c r="DK550" s="856"/>
      <c r="DL550" s="856"/>
      <c r="DM550" s="152"/>
      <c r="DN550" s="152"/>
      <c r="DO550" s="152"/>
      <c r="DP550" s="152"/>
      <c r="DQ550" s="152"/>
    </row>
    <row r="551" spans="1:121" s="35" customFormat="1" x14ac:dyDescent="0.2">
      <c r="A551" s="34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565"/>
      <c r="R551" s="1097"/>
      <c r="U551" s="39"/>
      <c r="CU551" s="875"/>
      <c r="CV551" s="875"/>
      <c r="CW551" s="875"/>
      <c r="CX551" s="856"/>
      <c r="CY551" s="856"/>
      <c r="CZ551" s="856"/>
      <c r="DA551" s="126"/>
      <c r="DB551" s="126"/>
      <c r="DC551" s="126"/>
      <c r="DD551" s="126"/>
      <c r="DE551" s="856"/>
      <c r="DF551" s="856"/>
      <c r="DG551" s="856"/>
      <c r="DH551" s="856"/>
      <c r="DI551" s="856"/>
      <c r="DJ551" s="856"/>
      <c r="DK551" s="856"/>
      <c r="DL551" s="856"/>
      <c r="DM551" s="152"/>
      <c r="DN551" s="152"/>
      <c r="DO551" s="152"/>
      <c r="DP551" s="152"/>
      <c r="DQ551" s="152"/>
    </row>
    <row r="552" spans="1:121" s="35" customFormat="1" x14ac:dyDescent="0.2">
      <c r="A552" s="34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565"/>
      <c r="R552" s="1097"/>
      <c r="U552" s="39"/>
      <c r="CU552" s="875"/>
      <c r="CV552" s="875"/>
      <c r="CW552" s="875"/>
      <c r="CX552" s="856"/>
      <c r="CY552" s="856"/>
      <c r="CZ552" s="856"/>
      <c r="DA552" s="126"/>
      <c r="DB552" s="126"/>
      <c r="DC552" s="126"/>
      <c r="DD552" s="126"/>
      <c r="DE552" s="856"/>
      <c r="DF552" s="856"/>
      <c r="DG552" s="856"/>
      <c r="DH552" s="856"/>
      <c r="DI552" s="856"/>
      <c r="DJ552" s="856"/>
      <c r="DK552" s="856"/>
      <c r="DL552" s="856"/>
      <c r="DM552" s="152"/>
      <c r="DN552" s="152"/>
      <c r="DO552" s="152"/>
      <c r="DP552" s="152"/>
      <c r="DQ552" s="152"/>
    </row>
    <row r="553" spans="1:121" s="35" customFormat="1" x14ac:dyDescent="0.2">
      <c r="A553" s="34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565"/>
      <c r="R553" s="1097"/>
      <c r="U553" s="39"/>
      <c r="CU553" s="875"/>
      <c r="CV553" s="875"/>
      <c r="CW553" s="875"/>
      <c r="CX553" s="856"/>
      <c r="CY553" s="856"/>
      <c r="CZ553" s="856"/>
      <c r="DA553" s="126"/>
      <c r="DB553" s="126"/>
      <c r="DC553" s="126"/>
      <c r="DD553" s="126"/>
      <c r="DE553" s="856"/>
      <c r="DF553" s="856"/>
      <c r="DG553" s="856"/>
      <c r="DH553" s="856"/>
      <c r="DI553" s="856"/>
      <c r="DJ553" s="856"/>
      <c r="DK553" s="856"/>
      <c r="DL553" s="856"/>
      <c r="DM553" s="152"/>
      <c r="DN553" s="152"/>
      <c r="DO553" s="152"/>
      <c r="DP553" s="152"/>
      <c r="DQ553" s="152"/>
    </row>
    <row r="554" spans="1:121" s="35" customFormat="1" x14ac:dyDescent="0.2">
      <c r="A554" s="34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565"/>
      <c r="R554" s="1097"/>
      <c r="U554" s="39"/>
      <c r="CU554" s="875"/>
      <c r="CV554" s="875"/>
      <c r="CW554" s="875"/>
      <c r="CX554" s="856"/>
      <c r="CY554" s="856"/>
      <c r="CZ554" s="856"/>
      <c r="DA554" s="126"/>
      <c r="DB554" s="126"/>
      <c r="DC554" s="126"/>
      <c r="DD554" s="126"/>
      <c r="DE554" s="856"/>
      <c r="DF554" s="856"/>
      <c r="DG554" s="856"/>
      <c r="DH554" s="856"/>
      <c r="DI554" s="856"/>
      <c r="DJ554" s="856"/>
      <c r="DK554" s="856"/>
      <c r="DL554" s="856"/>
      <c r="DM554" s="152"/>
      <c r="DN554" s="152"/>
      <c r="DO554" s="152"/>
      <c r="DP554" s="152"/>
      <c r="DQ554" s="152"/>
    </row>
    <row r="555" spans="1:121" s="35" customFormat="1" x14ac:dyDescent="0.2">
      <c r="A555" s="34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565"/>
      <c r="R555" s="1097"/>
      <c r="U555" s="39"/>
      <c r="CU555" s="875"/>
      <c r="CV555" s="875"/>
      <c r="CW555" s="875"/>
      <c r="CX555" s="856"/>
      <c r="CY555" s="856"/>
      <c r="CZ555" s="856"/>
      <c r="DA555" s="126"/>
      <c r="DB555" s="126"/>
      <c r="DC555" s="126"/>
      <c r="DD555" s="126"/>
      <c r="DE555" s="856"/>
      <c r="DF555" s="856"/>
      <c r="DG555" s="856"/>
      <c r="DH555" s="856"/>
      <c r="DI555" s="856"/>
      <c r="DJ555" s="856"/>
      <c r="DK555" s="856"/>
      <c r="DL555" s="856"/>
      <c r="DM555" s="152"/>
      <c r="DN555" s="152"/>
      <c r="DO555" s="152"/>
      <c r="DP555" s="152"/>
      <c r="DQ555" s="152"/>
    </row>
    <row r="556" spans="1:121" s="35" customFormat="1" x14ac:dyDescent="0.2">
      <c r="A556" s="34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565"/>
      <c r="R556" s="1097"/>
      <c r="U556" s="39"/>
      <c r="CU556" s="875"/>
      <c r="CV556" s="875"/>
      <c r="CW556" s="875"/>
      <c r="CX556" s="856"/>
      <c r="CY556" s="856"/>
      <c r="CZ556" s="856"/>
      <c r="DA556" s="126"/>
      <c r="DB556" s="126"/>
      <c r="DC556" s="126"/>
      <c r="DD556" s="126"/>
      <c r="DE556" s="856"/>
      <c r="DF556" s="856"/>
      <c r="DG556" s="856"/>
      <c r="DH556" s="856"/>
      <c r="DI556" s="856"/>
      <c r="DJ556" s="856"/>
      <c r="DK556" s="856"/>
      <c r="DL556" s="856"/>
      <c r="DM556" s="152"/>
      <c r="DN556" s="152"/>
      <c r="DO556" s="152"/>
      <c r="DP556" s="152"/>
      <c r="DQ556" s="152"/>
    </row>
    <row r="557" spans="1:121" s="35" customFormat="1" x14ac:dyDescent="0.2">
      <c r="A557" s="34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565"/>
      <c r="R557" s="1097"/>
      <c r="U557" s="39"/>
      <c r="CU557" s="875"/>
      <c r="CV557" s="875"/>
      <c r="CW557" s="875"/>
      <c r="CX557" s="856"/>
      <c r="CY557" s="856"/>
      <c r="CZ557" s="856"/>
      <c r="DA557" s="126"/>
      <c r="DB557" s="126"/>
      <c r="DC557" s="126"/>
      <c r="DD557" s="126"/>
      <c r="DE557" s="856"/>
      <c r="DF557" s="856"/>
      <c r="DG557" s="856"/>
      <c r="DH557" s="856"/>
      <c r="DI557" s="856"/>
      <c r="DJ557" s="856"/>
      <c r="DK557" s="856"/>
      <c r="DL557" s="856"/>
      <c r="DM557" s="152"/>
      <c r="DN557" s="152"/>
      <c r="DO557" s="152"/>
      <c r="DP557" s="152"/>
      <c r="DQ557" s="152"/>
    </row>
    <row r="558" spans="1:121" s="35" customFormat="1" x14ac:dyDescent="0.2">
      <c r="A558" s="34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565"/>
      <c r="R558" s="1097"/>
      <c r="U558" s="39"/>
      <c r="CU558" s="875"/>
      <c r="CV558" s="875"/>
      <c r="CW558" s="875"/>
      <c r="CX558" s="856"/>
      <c r="CY558" s="856"/>
      <c r="CZ558" s="856"/>
      <c r="DA558" s="126"/>
      <c r="DB558" s="126"/>
      <c r="DC558" s="126"/>
      <c r="DD558" s="126"/>
      <c r="DE558" s="856"/>
      <c r="DF558" s="856"/>
      <c r="DG558" s="856"/>
      <c r="DH558" s="856"/>
      <c r="DI558" s="856"/>
      <c r="DJ558" s="856"/>
      <c r="DK558" s="856"/>
      <c r="DL558" s="856"/>
      <c r="DM558" s="152"/>
      <c r="DN558" s="152"/>
      <c r="DO558" s="152"/>
      <c r="DP558" s="152"/>
      <c r="DQ558" s="152"/>
    </row>
    <row r="559" spans="1:121" s="35" customFormat="1" x14ac:dyDescent="0.2">
      <c r="A559" s="34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565"/>
      <c r="R559" s="1097"/>
      <c r="U559" s="39"/>
      <c r="CU559" s="875"/>
      <c r="CV559" s="875"/>
      <c r="CW559" s="875"/>
      <c r="CX559" s="856"/>
      <c r="CY559" s="856"/>
      <c r="CZ559" s="856"/>
      <c r="DA559" s="126"/>
      <c r="DB559" s="126"/>
      <c r="DC559" s="126"/>
      <c r="DD559" s="126"/>
      <c r="DE559" s="856"/>
      <c r="DF559" s="856"/>
      <c r="DG559" s="856"/>
      <c r="DH559" s="856"/>
      <c r="DI559" s="856"/>
      <c r="DJ559" s="856"/>
      <c r="DK559" s="856"/>
      <c r="DL559" s="856"/>
      <c r="DM559" s="152"/>
      <c r="DN559" s="152"/>
      <c r="DO559" s="152"/>
      <c r="DP559" s="152"/>
      <c r="DQ559" s="152"/>
    </row>
    <row r="560" spans="1:121" s="35" customFormat="1" x14ac:dyDescent="0.2">
      <c r="A560" s="34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565"/>
      <c r="R560" s="1097"/>
      <c r="U560" s="39"/>
      <c r="CU560" s="875"/>
      <c r="CV560" s="875"/>
      <c r="CW560" s="875"/>
      <c r="CX560" s="856"/>
      <c r="CY560" s="856"/>
      <c r="CZ560" s="856"/>
      <c r="DA560" s="126"/>
      <c r="DB560" s="126"/>
      <c r="DC560" s="126"/>
      <c r="DD560" s="126"/>
      <c r="DE560" s="856"/>
      <c r="DF560" s="856"/>
      <c r="DG560" s="856"/>
      <c r="DH560" s="856"/>
      <c r="DI560" s="856"/>
      <c r="DJ560" s="856"/>
      <c r="DK560" s="856"/>
      <c r="DL560" s="856"/>
      <c r="DM560" s="152"/>
      <c r="DN560" s="152"/>
      <c r="DO560" s="152"/>
      <c r="DP560" s="152"/>
      <c r="DQ560" s="152"/>
    </row>
    <row r="561" spans="1:121" s="35" customFormat="1" x14ac:dyDescent="0.2">
      <c r="A561" s="34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565"/>
      <c r="R561" s="1097"/>
      <c r="U561" s="39"/>
      <c r="CU561" s="875"/>
      <c r="CV561" s="875"/>
      <c r="CW561" s="875"/>
      <c r="CX561" s="856"/>
      <c r="CY561" s="856"/>
      <c r="CZ561" s="856"/>
      <c r="DA561" s="126"/>
      <c r="DB561" s="126"/>
      <c r="DC561" s="126"/>
      <c r="DD561" s="126"/>
      <c r="DE561" s="856"/>
      <c r="DF561" s="856"/>
      <c r="DG561" s="856"/>
      <c r="DH561" s="856"/>
      <c r="DI561" s="856"/>
      <c r="DJ561" s="856"/>
      <c r="DK561" s="856"/>
      <c r="DL561" s="856"/>
      <c r="DM561" s="152"/>
      <c r="DN561" s="152"/>
      <c r="DO561" s="152"/>
      <c r="DP561" s="152"/>
      <c r="DQ561" s="152"/>
    </row>
    <row r="562" spans="1:121" s="35" customFormat="1" x14ac:dyDescent="0.2">
      <c r="A562" s="34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565"/>
      <c r="R562" s="1097"/>
      <c r="U562" s="39"/>
      <c r="CU562" s="875"/>
      <c r="CV562" s="875"/>
      <c r="CW562" s="875"/>
      <c r="CX562" s="856"/>
      <c r="CY562" s="856"/>
      <c r="CZ562" s="856"/>
      <c r="DA562" s="126"/>
      <c r="DB562" s="126"/>
      <c r="DC562" s="126"/>
      <c r="DD562" s="126"/>
      <c r="DE562" s="856"/>
      <c r="DF562" s="856"/>
      <c r="DG562" s="856"/>
      <c r="DH562" s="856"/>
      <c r="DI562" s="856"/>
      <c r="DJ562" s="856"/>
      <c r="DK562" s="856"/>
      <c r="DL562" s="856"/>
      <c r="DM562" s="152"/>
      <c r="DN562" s="152"/>
      <c r="DO562" s="152"/>
      <c r="DP562" s="152"/>
      <c r="DQ562" s="152"/>
    </row>
    <row r="563" spans="1:121" s="35" customFormat="1" x14ac:dyDescent="0.2">
      <c r="A563" s="34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565"/>
      <c r="R563" s="1097"/>
      <c r="U563" s="39"/>
      <c r="CU563" s="875"/>
      <c r="CV563" s="875"/>
      <c r="CW563" s="875"/>
      <c r="CX563" s="856"/>
      <c r="CY563" s="856"/>
      <c r="CZ563" s="856"/>
      <c r="DA563" s="126"/>
      <c r="DB563" s="126"/>
      <c r="DC563" s="126"/>
      <c r="DD563" s="126"/>
      <c r="DE563" s="856"/>
      <c r="DF563" s="856"/>
      <c r="DG563" s="856"/>
      <c r="DH563" s="856"/>
      <c r="DI563" s="856"/>
      <c r="DJ563" s="856"/>
      <c r="DK563" s="856"/>
      <c r="DL563" s="856"/>
      <c r="DM563" s="152"/>
      <c r="DN563" s="152"/>
      <c r="DO563" s="152"/>
      <c r="DP563" s="152"/>
      <c r="DQ563" s="152"/>
    </row>
    <row r="564" spans="1:121" s="35" customFormat="1" x14ac:dyDescent="0.2">
      <c r="A564" s="34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565"/>
      <c r="R564" s="1097"/>
      <c r="U564" s="39"/>
      <c r="CU564" s="875"/>
      <c r="CV564" s="875"/>
      <c r="CW564" s="875"/>
      <c r="CX564" s="856"/>
      <c r="CY564" s="856"/>
      <c r="CZ564" s="856"/>
      <c r="DA564" s="126"/>
      <c r="DB564" s="126"/>
      <c r="DC564" s="126"/>
      <c r="DD564" s="126"/>
      <c r="DE564" s="856"/>
      <c r="DF564" s="856"/>
      <c r="DG564" s="856"/>
      <c r="DH564" s="856"/>
      <c r="DI564" s="856"/>
      <c r="DJ564" s="856"/>
      <c r="DK564" s="856"/>
      <c r="DL564" s="856"/>
      <c r="DM564" s="152"/>
      <c r="DN564" s="152"/>
      <c r="DO564" s="152"/>
      <c r="DP564" s="152"/>
      <c r="DQ564" s="152"/>
    </row>
    <row r="565" spans="1:121" s="35" customFormat="1" x14ac:dyDescent="0.2">
      <c r="A565" s="34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565"/>
      <c r="R565" s="1097"/>
      <c r="U565" s="39"/>
      <c r="CU565" s="875"/>
      <c r="CV565" s="875"/>
      <c r="CW565" s="875"/>
      <c r="CX565" s="856"/>
      <c r="CY565" s="856"/>
      <c r="CZ565" s="856"/>
      <c r="DA565" s="126"/>
      <c r="DB565" s="126"/>
      <c r="DC565" s="126"/>
      <c r="DD565" s="126"/>
      <c r="DE565" s="856"/>
      <c r="DF565" s="856"/>
      <c r="DG565" s="856"/>
      <c r="DH565" s="856"/>
      <c r="DI565" s="856"/>
      <c r="DJ565" s="856"/>
      <c r="DK565" s="856"/>
      <c r="DL565" s="856"/>
      <c r="DM565" s="152"/>
      <c r="DN565" s="152"/>
      <c r="DO565" s="152"/>
      <c r="DP565" s="152"/>
      <c r="DQ565" s="152"/>
    </row>
    <row r="566" spans="1:121" s="35" customFormat="1" x14ac:dyDescent="0.2">
      <c r="A566" s="34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565"/>
      <c r="R566" s="1097"/>
      <c r="U566" s="39"/>
      <c r="CU566" s="875"/>
      <c r="CV566" s="875"/>
      <c r="CW566" s="875"/>
      <c r="CX566" s="856"/>
      <c r="CY566" s="856"/>
      <c r="CZ566" s="856"/>
      <c r="DA566" s="126"/>
      <c r="DB566" s="126"/>
      <c r="DC566" s="126"/>
      <c r="DD566" s="126"/>
      <c r="DE566" s="856"/>
      <c r="DF566" s="856"/>
      <c r="DG566" s="856"/>
      <c r="DH566" s="856"/>
      <c r="DI566" s="856"/>
      <c r="DJ566" s="856"/>
      <c r="DK566" s="856"/>
      <c r="DL566" s="856"/>
      <c r="DM566" s="152"/>
      <c r="DN566" s="152"/>
      <c r="DO566" s="152"/>
      <c r="DP566" s="152"/>
      <c r="DQ566" s="152"/>
    </row>
    <row r="567" spans="1:121" s="35" customFormat="1" x14ac:dyDescent="0.2">
      <c r="A567" s="34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565"/>
      <c r="R567" s="1097"/>
      <c r="U567" s="39"/>
      <c r="CU567" s="875"/>
      <c r="CV567" s="875"/>
      <c r="CW567" s="875"/>
      <c r="CX567" s="856"/>
      <c r="CY567" s="856"/>
      <c r="CZ567" s="856"/>
      <c r="DA567" s="126"/>
      <c r="DB567" s="126"/>
      <c r="DC567" s="126"/>
      <c r="DD567" s="126"/>
      <c r="DE567" s="856"/>
      <c r="DF567" s="856"/>
      <c r="DG567" s="856"/>
      <c r="DH567" s="856"/>
      <c r="DI567" s="856"/>
      <c r="DJ567" s="856"/>
      <c r="DK567" s="856"/>
      <c r="DL567" s="856"/>
      <c r="DM567" s="152"/>
      <c r="DN567" s="152"/>
      <c r="DO567" s="152"/>
      <c r="DP567" s="152"/>
      <c r="DQ567" s="152"/>
    </row>
    <row r="568" spans="1:121" s="35" customFormat="1" x14ac:dyDescent="0.2">
      <c r="A568" s="34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565"/>
      <c r="R568" s="1097"/>
      <c r="U568" s="39"/>
      <c r="CU568" s="875"/>
      <c r="CV568" s="875"/>
      <c r="CW568" s="875"/>
      <c r="CX568" s="856"/>
      <c r="CY568" s="856"/>
      <c r="CZ568" s="856"/>
      <c r="DA568" s="126"/>
      <c r="DB568" s="126"/>
      <c r="DC568" s="126"/>
      <c r="DD568" s="126"/>
      <c r="DE568" s="856"/>
      <c r="DF568" s="856"/>
      <c r="DG568" s="856"/>
      <c r="DH568" s="856"/>
      <c r="DI568" s="856"/>
      <c r="DJ568" s="856"/>
      <c r="DK568" s="856"/>
      <c r="DL568" s="856"/>
      <c r="DM568" s="152"/>
      <c r="DN568" s="152"/>
      <c r="DO568" s="152"/>
      <c r="DP568" s="152"/>
      <c r="DQ568" s="152"/>
    </row>
    <row r="569" spans="1:121" s="35" customFormat="1" x14ac:dyDescent="0.2">
      <c r="A569" s="34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565"/>
      <c r="R569" s="1097"/>
      <c r="U569" s="39"/>
      <c r="CU569" s="875"/>
      <c r="CV569" s="875"/>
      <c r="CW569" s="875"/>
      <c r="CX569" s="856"/>
      <c r="CY569" s="856"/>
      <c r="CZ569" s="856"/>
      <c r="DA569" s="126"/>
      <c r="DB569" s="126"/>
      <c r="DC569" s="126"/>
      <c r="DD569" s="126"/>
      <c r="DE569" s="856"/>
      <c r="DF569" s="856"/>
      <c r="DG569" s="856"/>
      <c r="DH569" s="856"/>
      <c r="DI569" s="856"/>
      <c r="DJ569" s="856"/>
      <c r="DK569" s="856"/>
      <c r="DL569" s="856"/>
      <c r="DM569" s="152"/>
      <c r="DN569" s="152"/>
      <c r="DO569" s="152"/>
      <c r="DP569" s="152"/>
      <c r="DQ569" s="152"/>
    </row>
    <row r="570" spans="1:121" s="35" customFormat="1" x14ac:dyDescent="0.2">
      <c r="A570" s="34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565"/>
      <c r="R570" s="1097"/>
      <c r="U570" s="39"/>
      <c r="CU570" s="875"/>
      <c r="CV570" s="875"/>
      <c r="CW570" s="875"/>
      <c r="CX570" s="856"/>
      <c r="CY570" s="856"/>
      <c r="CZ570" s="856"/>
      <c r="DA570" s="126"/>
      <c r="DB570" s="126"/>
      <c r="DC570" s="126"/>
      <c r="DD570" s="126"/>
      <c r="DE570" s="856"/>
      <c r="DF570" s="856"/>
      <c r="DG570" s="856"/>
      <c r="DH570" s="856"/>
      <c r="DI570" s="856"/>
      <c r="DJ570" s="856"/>
      <c r="DK570" s="856"/>
      <c r="DL570" s="856"/>
      <c r="DM570" s="152"/>
      <c r="DN570" s="152"/>
      <c r="DO570" s="152"/>
      <c r="DP570" s="152"/>
      <c r="DQ570" s="152"/>
    </row>
    <row r="571" spans="1:121" s="35" customFormat="1" x14ac:dyDescent="0.2">
      <c r="A571" s="34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565"/>
      <c r="R571" s="1097"/>
      <c r="U571" s="39"/>
      <c r="CU571" s="875"/>
      <c r="CV571" s="875"/>
      <c r="CW571" s="875"/>
      <c r="CX571" s="856"/>
      <c r="CY571" s="856"/>
      <c r="CZ571" s="856"/>
      <c r="DA571" s="126"/>
      <c r="DB571" s="126"/>
      <c r="DC571" s="126"/>
      <c r="DD571" s="126"/>
      <c r="DE571" s="856"/>
      <c r="DF571" s="856"/>
      <c r="DG571" s="856"/>
      <c r="DH571" s="856"/>
      <c r="DI571" s="856"/>
      <c r="DJ571" s="856"/>
      <c r="DK571" s="856"/>
      <c r="DL571" s="856"/>
      <c r="DM571" s="152"/>
      <c r="DN571" s="152"/>
      <c r="DO571" s="152"/>
      <c r="DP571" s="152"/>
      <c r="DQ571" s="152"/>
    </row>
    <row r="572" spans="1:121" s="35" customFormat="1" x14ac:dyDescent="0.2">
      <c r="A572" s="34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565"/>
      <c r="R572" s="1097"/>
      <c r="U572" s="39"/>
      <c r="CU572" s="875"/>
      <c r="CV572" s="875"/>
      <c r="CW572" s="875"/>
      <c r="CX572" s="856"/>
      <c r="CY572" s="856"/>
      <c r="CZ572" s="856"/>
      <c r="DA572" s="126"/>
      <c r="DB572" s="126"/>
      <c r="DC572" s="126"/>
      <c r="DD572" s="126"/>
      <c r="DE572" s="856"/>
      <c r="DF572" s="856"/>
      <c r="DG572" s="856"/>
      <c r="DH572" s="856"/>
      <c r="DI572" s="856"/>
      <c r="DJ572" s="856"/>
      <c r="DK572" s="856"/>
      <c r="DL572" s="856"/>
      <c r="DM572" s="152"/>
      <c r="DN572" s="152"/>
      <c r="DO572" s="152"/>
      <c r="DP572" s="152"/>
      <c r="DQ572" s="152"/>
    </row>
    <row r="573" spans="1:121" s="35" customFormat="1" x14ac:dyDescent="0.2">
      <c r="A573" s="34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565"/>
      <c r="R573" s="1097"/>
      <c r="U573" s="39"/>
      <c r="CU573" s="875"/>
      <c r="CV573" s="875"/>
      <c r="CW573" s="875"/>
      <c r="CX573" s="856"/>
      <c r="CY573" s="856"/>
      <c r="CZ573" s="856"/>
      <c r="DA573" s="126"/>
      <c r="DB573" s="126"/>
      <c r="DC573" s="126"/>
      <c r="DD573" s="126"/>
      <c r="DE573" s="856"/>
      <c r="DF573" s="856"/>
      <c r="DG573" s="856"/>
      <c r="DH573" s="856"/>
      <c r="DI573" s="856"/>
      <c r="DJ573" s="856"/>
      <c r="DK573" s="856"/>
      <c r="DL573" s="856"/>
      <c r="DM573" s="152"/>
      <c r="DN573" s="152"/>
      <c r="DO573" s="152"/>
      <c r="DP573" s="152"/>
      <c r="DQ573" s="152"/>
    </row>
    <row r="574" spans="1:121" s="35" customFormat="1" x14ac:dyDescent="0.2">
      <c r="A574" s="34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565"/>
      <c r="R574" s="1097"/>
      <c r="U574" s="39"/>
      <c r="CU574" s="875"/>
      <c r="CV574" s="875"/>
      <c r="CW574" s="875"/>
      <c r="CX574" s="856"/>
      <c r="CY574" s="856"/>
      <c r="CZ574" s="856"/>
      <c r="DA574" s="126"/>
      <c r="DB574" s="126"/>
      <c r="DC574" s="126"/>
      <c r="DD574" s="126"/>
      <c r="DE574" s="856"/>
      <c r="DF574" s="856"/>
      <c r="DG574" s="856"/>
      <c r="DH574" s="856"/>
      <c r="DI574" s="856"/>
      <c r="DJ574" s="856"/>
      <c r="DK574" s="856"/>
      <c r="DL574" s="856"/>
      <c r="DM574" s="152"/>
      <c r="DN574" s="152"/>
      <c r="DO574" s="152"/>
      <c r="DP574" s="152"/>
      <c r="DQ574" s="152"/>
    </row>
    <row r="575" spans="1:121" s="35" customFormat="1" x14ac:dyDescent="0.2">
      <c r="A575" s="34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565"/>
      <c r="R575" s="1097"/>
      <c r="U575" s="39"/>
      <c r="CU575" s="875"/>
      <c r="CV575" s="875"/>
      <c r="CW575" s="875"/>
      <c r="CX575" s="856"/>
      <c r="CY575" s="856"/>
      <c r="CZ575" s="856"/>
      <c r="DA575" s="126"/>
      <c r="DB575" s="126"/>
      <c r="DC575" s="126"/>
      <c r="DD575" s="126"/>
      <c r="DE575" s="856"/>
      <c r="DF575" s="856"/>
      <c r="DG575" s="856"/>
      <c r="DH575" s="856"/>
      <c r="DI575" s="856"/>
      <c r="DJ575" s="856"/>
      <c r="DK575" s="856"/>
      <c r="DL575" s="856"/>
      <c r="DM575" s="152"/>
      <c r="DN575" s="152"/>
      <c r="DO575" s="152"/>
      <c r="DP575" s="152"/>
      <c r="DQ575" s="152"/>
    </row>
    <row r="576" spans="1:121" s="35" customFormat="1" x14ac:dyDescent="0.2">
      <c r="A576" s="34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565"/>
      <c r="R576" s="1097"/>
      <c r="U576" s="39"/>
      <c r="CU576" s="875"/>
      <c r="CV576" s="875"/>
      <c r="CW576" s="875"/>
      <c r="CX576" s="856"/>
      <c r="CY576" s="856"/>
      <c r="CZ576" s="856"/>
      <c r="DA576" s="126"/>
      <c r="DB576" s="126"/>
      <c r="DC576" s="126"/>
      <c r="DD576" s="126"/>
      <c r="DE576" s="856"/>
      <c r="DF576" s="856"/>
      <c r="DG576" s="856"/>
      <c r="DH576" s="856"/>
      <c r="DI576" s="856"/>
      <c r="DJ576" s="856"/>
      <c r="DK576" s="856"/>
      <c r="DL576" s="856"/>
      <c r="DM576" s="152"/>
      <c r="DN576" s="152"/>
      <c r="DO576" s="152"/>
      <c r="DP576" s="152"/>
      <c r="DQ576" s="152"/>
    </row>
    <row r="577" spans="1:121" s="35" customFormat="1" x14ac:dyDescent="0.2">
      <c r="A577" s="34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565"/>
      <c r="R577" s="1097"/>
      <c r="U577" s="39"/>
      <c r="CU577" s="875"/>
      <c r="CV577" s="875"/>
      <c r="CW577" s="875"/>
      <c r="CX577" s="856"/>
      <c r="CY577" s="856"/>
      <c r="CZ577" s="856"/>
      <c r="DA577" s="126"/>
      <c r="DB577" s="126"/>
      <c r="DC577" s="126"/>
      <c r="DD577" s="126"/>
      <c r="DE577" s="856"/>
      <c r="DF577" s="856"/>
      <c r="DG577" s="856"/>
      <c r="DH577" s="856"/>
      <c r="DI577" s="856"/>
      <c r="DJ577" s="856"/>
      <c r="DK577" s="856"/>
      <c r="DL577" s="856"/>
      <c r="DM577" s="152"/>
      <c r="DN577" s="152"/>
      <c r="DO577" s="152"/>
      <c r="DP577" s="152"/>
      <c r="DQ577" s="152"/>
    </row>
    <row r="578" spans="1:121" s="35" customFormat="1" x14ac:dyDescent="0.2">
      <c r="A578" s="34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565"/>
      <c r="R578" s="1097"/>
      <c r="U578" s="39"/>
      <c r="CU578" s="875"/>
      <c r="CV578" s="875"/>
      <c r="CW578" s="875"/>
      <c r="CX578" s="856"/>
      <c r="CY578" s="856"/>
      <c r="CZ578" s="856"/>
      <c r="DA578" s="126"/>
      <c r="DB578" s="126"/>
      <c r="DC578" s="126"/>
      <c r="DD578" s="126"/>
      <c r="DE578" s="856"/>
      <c r="DF578" s="856"/>
      <c r="DG578" s="856"/>
      <c r="DH578" s="856"/>
      <c r="DI578" s="856"/>
      <c r="DJ578" s="856"/>
      <c r="DK578" s="856"/>
      <c r="DL578" s="856"/>
      <c r="DM578" s="152"/>
      <c r="DN578" s="152"/>
      <c r="DO578" s="152"/>
      <c r="DP578" s="152"/>
      <c r="DQ578" s="152"/>
    </row>
    <row r="579" spans="1:121" s="35" customFormat="1" x14ac:dyDescent="0.2">
      <c r="A579" s="34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565"/>
      <c r="R579" s="1097"/>
      <c r="U579" s="39"/>
      <c r="CU579" s="875"/>
      <c r="CV579" s="875"/>
      <c r="CW579" s="875"/>
      <c r="CX579" s="856"/>
      <c r="CY579" s="856"/>
      <c r="CZ579" s="856"/>
      <c r="DA579" s="126"/>
      <c r="DB579" s="126"/>
      <c r="DC579" s="126"/>
      <c r="DD579" s="126"/>
      <c r="DE579" s="856"/>
      <c r="DF579" s="856"/>
      <c r="DG579" s="856"/>
      <c r="DH579" s="856"/>
      <c r="DI579" s="856"/>
      <c r="DJ579" s="856"/>
      <c r="DK579" s="856"/>
      <c r="DL579" s="856"/>
      <c r="DM579" s="152"/>
      <c r="DN579" s="152"/>
      <c r="DO579" s="152"/>
      <c r="DP579" s="152"/>
      <c r="DQ579" s="152"/>
    </row>
    <row r="580" spans="1:121" s="35" customFormat="1" x14ac:dyDescent="0.2">
      <c r="A580" s="34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565"/>
      <c r="R580" s="1097"/>
      <c r="U580" s="39"/>
      <c r="CU580" s="875"/>
      <c r="CV580" s="875"/>
      <c r="CW580" s="875"/>
      <c r="CX580" s="856"/>
      <c r="CY580" s="856"/>
      <c r="CZ580" s="856"/>
      <c r="DA580" s="126"/>
      <c r="DB580" s="126"/>
      <c r="DC580" s="126"/>
      <c r="DD580" s="126"/>
      <c r="DE580" s="856"/>
      <c r="DF580" s="856"/>
      <c r="DG580" s="856"/>
      <c r="DH580" s="856"/>
      <c r="DI580" s="856"/>
      <c r="DJ580" s="856"/>
      <c r="DK580" s="856"/>
      <c r="DL580" s="856"/>
      <c r="DM580" s="152"/>
      <c r="DN580" s="152"/>
      <c r="DO580" s="152"/>
      <c r="DP580" s="152"/>
      <c r="DQ580" s="152"/>
    </row>
    <row r="581" spans="1:121" s="35" customFormat="1" x14ac:dyDescent="0.2">
      <c r="A581" s="34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565"/>
      <c r="R581" s="1097"/>
      <c r="U581" s="39"/>
      <c r="CU581" s="875"/>
      <c r="CV581" s="875"/>
      <c r="CW581" s="875"/>
      <c r="CX581" s="856"/>
      <c r="CY581" s="856"/>
      <c r="CZ581" s="856"/>
      <c r="DA581" s="126"/>
      <c r="DB581" s="126"/>
      <c r="DC581" s="126"/>
      <c r="DD581" s="126"/>
      <c r="DE581" s="856"/>
      <c r="DF581" s="856"/>
      <c r="DG581" s="856"/>
      <c r="DH581" s="856"/>
      <c r="DI581" s="856"/>
      <c r="DJ581" s="856"/>
      <c r="DK581" s="856"/>
      <c r="DL581" s="856"/>
      <c r="DM581" s="152"/>
      <c r="DN581" s="152"/>
      <c r="DO581" s="152"/>
      <c r="DP581" s="152"/>
      <c r="DQ581" s="152"/>
    </row>
    <row r="582" spans="1:121" s="35" customFormat="1" x14ac:dyDescent="0.2">
      <c r="A582" s="34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565"/>
      <c r="R582" s="1097"/>
      <c r="U582" s="39"/>
      <c r="CU582" s="875"/>
      <c r="CV582" s="875"/>
      <c r="CW582" s="875"/>
      <c r="CX582" s="856"/>
      <c r="CY582" s="856"/>
      <c r="CZ582" s="856"/>
      <c r="DA582" s="126"/>
      <c r="DB582" s="126"/>
      <c r="DC582" s="126"/>
      <c r="DD582" s="126"/>
      <c r="DE582" s="856"/>
      <c r="DF582" s="856"/>
      <c r="DG582" s="856"/>
      <c r="DH582" s="856"/>
      <c r="DI582" s="856"/>
      <c r="DJ582" s="856"/>
      <c r="DK582" s="856"/>
      <c r="DL582" s="856"/>
      <c r="DM582" s="152"/>
      <c r="DN582" s="152"/>
      <c r="DO582" s="152"/>
      <c r="DP582" s="152"/>
      <c r="DQ582" s="152"/>
    </row>
    <row r="583" spans="1:121" s="35" customFormat="1" x14ac:dyDescent="0.2">
      <c r="A583" s="34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565"/>
      <c r="R583" s="1097"/>
      <c r="U583" s="39"/>
      <c r="CU583" s="875"/>
      <c r="CV583" s="875"/>
      <c r="CW583" s="875"/>
      <c r="CX583" s="856"/>
      <c r="CY583" s="856"/>
      <c r="CZ583" s="856"/>
      <c r="DA583" s="126"/>
      <c r="DB583" s="126"/>
      <c r="DC583" s="126"/>
      <c r="DD583" s="126"/>
      <c r="DE583" s="856"/>
      <c r="DF583" s="856"/>
      <c r="DG583" s="856"/>
      <c r="DH583" s="856"/>
      <c r="DI583" s="856"/>
      <c r="DJ583" s="856"/>
      <c r="DK583" s="856"/>
      <c r="DL583" s="856"/>
      <c r="DM583" s="152"/>
      <c r="DN583" s="152"/>
      <c r="DO583" s="152"/>
      <c r="DP583" s="152"/>
      <c r="DQ583" s="152"/>
    </row>
    <row r="584" spans="1:121" s="35" customFormat="1" x14ac:dyDescent="0.2">
      <c r="A584" s="34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565"/>
      <c r="R584" s="1097"/>
      <c r="U584" s="39"/>
      <c r="CU584" s="875"/>
      <c r="CV584" s="875"/>
      <c r="CW584" s="875"/>
      <c r="CX584" s="856"/>
      <c r="CY584" s="856"/>
      <c r="CZ584" s="856"/>
      <c r="DA584" s="126"/>
      <c r="DB584" s="126"/>
      <c r="DC584" s="126"/>
      <c r="DD584" s="126"/>
      <c r="DE584" s="856"/>
      <c r="DF584" s="856"/>
      <c r="DG584" s="856"/>
      <c r="DH584" s="856"/>
      <c r="DI584" s="856"/>
      <c r="DJ584" s="856"/>
      <c r="DK584" s="856"/>
      <c r="DL584" s="856"/>
      <c r="DM584" s="152"/>
      <c r="DN584" s="152"/>
      <c r="DO584" s="152"/>
      <c r="DP584" s="152"/>
      <c r="DQ584" s="152"/>
    </row>
    <row r="585" spans="1:121" s="35" customFormat="1" x14ac:dyDescent="0.2">
      <c r="A585" s="34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565"/>
      <c r="R585" s="1097"/>
      <c r="U585" s="39"/>
      <c r="CU585" s="875"/>
      <c r="CV585" s="875"/>
      <c r="CW585" s="875"/>
      <c r="CX585" s="856"/>
      <c r="CY585" s="856"/>
      <c r="CZ585" s="856"/>
      <c r="DA585" s="126"/>
      <c r="DB585" s="126"/>
      <c r="DC585" s="126"/>
      <c r="DD585" s="126"/>
      <c r="DE585" s="856"/>
      <c r="DF585" s="856"/>
      <c r="DG585" s="856"/>
      <c r="DH585" s="856"/>
      <c r="DI585" s="856"/>
      <c r="DJ585" s="856"/>
      <c r="DK585" s="856"/>
      <c r="DL585" s="856"/>
      <c r="DM585" s="152"/>
      <c r="DN585" s="152"/>
      <c r="DO585" s="152"/>
      <c r="DP585" s="152"/>
      <c r="DQ585" s="152"/>
    </row>
    <row r="586" spans="1:121" s="35" customFormat="1" x14ac:dyDescent="0.2">
      <c r="A586" s="34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565"/>
      <c r="R586" s="1097"/>
      <c r="U586" s="39"/>
      <c r="CU586" s="875"/>
      <c r="CV586" s="875"/>
      <c r="CW586" s="875"/>
      <c r="CX586" s="856"/>
      <c r="CY586" s="856"/>
      <c r="CZ586" s="856"/>
      <c r="DA586" s="126"/>
      <c r="DB586" s="126"/>
      <c r="DC586" s="126"/>
      <c r="DD586" s="126"/>
      <c r="DE586" s="856"/>
      <c r="DF586" s="856"/>
      <c r="DG586" s="856"/>
      <c r="DH586" s="856"/>
      <c r="DI586" s="856"/>
      <c r="DJ586" s="856"/>
      <c r="DK586" s="856"/>
      <c r="DL586" s="856"/>
      <c r="DM586" s="152"/>
      <c r="DN586" s="152"/>
      <c r="DO586" s="152"/>
      <c r="DP586" s="152"/>
      <c r="DQ586" s="152"/>
    </row>
    <row r="587" spans="1:121" s="35" customFormat="1" x14ac:dyDescent="0.2">
      <c r="A587" s="34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565"/>
      <c r="R587" s="1097"/>
      <c r="U587" s="39"/>
      <c r="CU587" s="875"/>
      <c r="CV587" s="875"/>
      <c r="CW587" s="875"/>
      <c r="CX587" s="856"/>
      <c r="CY587" s="856"/>
      <c r="CZ587" s="856"/>
      <c r="DA587" s="126"/>
      <c r="DB587" s="126"/>
      <c r="DC587" s="126"/>
      <c r="DD587" s="126"/>
      <c r="DE587" s="856"/>
      <c r="DF587" s="856"/>
      <c r="DG587" s="856"/>
      <c r="DH587" s="856"/>
      <c r="DI587" s="856"/>
      <c r="DJ587" s="856"/>
      <c r="DK587" s="856"/>
      <c r="DL587" s="856"/>
      <c r="DM587" s="152"/>
      <c r="DN587" s="152"/>
      <c r="DO587" s="152"/>
      <c r="DP587" s="152"/>
      <c r="DQ587" s="152"/>
    </row>
    <row r="588" spans="1:121" s="35" customFormat="1" x14ac:dyDescent="0.2">
      <c r="A588" s="34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565"/>
      <c r="R588" s="1097"/>
      <c r="U588" s="39"/>
      <c r="CU588" s="875"/>
      <c r="CV588" s="875"/>
      <c r="CW588" s="875"/>
      <c r="CX588" s="856"/>
      <c r="CY588" s="856"/>
      <c r="CZ588" s="856"/>
      <c r="DA588" s="126"/>
      <c r="DB588" s="126"/>
      <c r="DC588" s="126"/>
      <c r="DD588" s="126"/>
      <c r="DE588" s="856"/>
      <c r="DF588" s="856"/>
      <c r="DG588" s="856"/>
      <c r="DH588" s="856"/>
      <c r="DI588" s="856"/>
      <c r="DJ588" s="856"/>
      <c r="DK588" s="856"/>
      <c r="DL588" s="856"/>
      <c r="DM588" s="152"/>
      <c r="DN588" s="152"/>
      <c r="DO588" s="152"/>
      <c r="DP588" s="152"/>
      <c r="DQ588" s="152"/>
    </row>
    <row r="589" spans="1:121" s="35" customFormat="1" x14ac:dyDescent="0.2">
      <c r="A589" s="34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565"/>
      <c r="R589" s="1097"/>
      <c r="U589" s="39"/>
      <c r="CU589" s="875"/>
      <c r="CV589" s="875"/>
      <c r="CW589" s="875"/>
      <c r="CX589" s="856"/>
      <c r="CY589" s="856"/>
      <c r="CZ589" s="856"/>
      <c r="DA589" s="126"/>
      <c r="DB589" s="126"/>
      <c r="DC589" s="126"/>
      <c r="DD589" s="126"/>
      <c r="DE589" s="856"/>
      <c r="DF589" s="856"/>
      <c r="DG589" s="856"/>
      <c r="DH589" s="856"/>
      <c r="DI589" s="856"/>
      <c r="DJ589" s="856"/>
      <c r="DK589" s="856"/>
      <c r="DL589" s="856"/>
      <c r="DM589" s="152"/>
      <c r="DN589" s="152"/>
      <c r="DO589" s="152"/>
      <c r="DP589" s="152"/>
      <c r="DQ589" s="152"/>
    </row>
    <row r="590" spans="1:121" s="35" customFormat="1" x14ac:dyDescent="0.2">
      <c r="A590" s="34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565"/>
      <c r="R590" s="1097"/>
      <c r="U590" s="39"/>
      <c r="CU590" s="875"/>
      <c r="CV590" s="875"/>
      <c r="CW590" s="875"/>
      <c r="CX590" s="856"/>
      <c r="CY590" s="856"/>
      <c r="CZ590" s="856"/>
      <c r="DA590" s="126"/>
      <c r="DB590" s="126"/>
      <c r="DC590" s="126"/>
      <c r="DD590" s="126"/>
      <c r="DE590" s="856"/>
      <c r="DF590" s="856"/>
      <c r="DG590" s="856"/>
      <c r="DH590" s="856"/>
      <c r="DI590" s="856"/>
      <c r="DJ590" s="856"/>
      <c r="DK590" s="856"/>
      <c r="DL590" s="856"/>
      <c r="DM590" s="152"/>
      <c r="DN590" s="152"/>
      <c r="DO590" s="152"/>
      <c r="DP590" s="152"/>
      <c r="DQ590" s="152"/>
    </row>
    <row r="591" spans="1:121" s="35" customFormat="1" x14ac:dyDescent="0.2">
      <c r="A591" s="34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565"/>
      <c r="R591" s="1097"/>
      <c r="U591" s="39"/>
      <c r="CU591" s="875"/>
      <c r="CV591" s="875"/>
      <c r="CW591" s="875"/>
      <c r="CX591" s="856"/>
      <c r="CY591" s="856"/>
      <c r="CZ591" s="856"/>
      <c r="DA591" s="126"/>
      <c r="DB591" s="126"/>
      <c r="DC591" s="126"/>
      <c r="DD591" s="126"/>
      <c r="DE591" s="856"/>
      <c r="DF591" s="856"/>
      <c r="DG591" s="856"/>
      <c r="DH591" s="856"/>
      <c r="DI591" s="856"/>
      <c r="DJ591" s="856"/>
      <c r="DK591" s="856"/>
      <c r="DL591" s="856"/>
      <c r="DM591" s="152"/>
      <c r="DN591" s="152"/>
      <c r="DO591" s="152"/>
      <c r="DP591" s="152"/>
      <c r="DQ591" s="152"/>
    </row>
    <row r="592" spans="1:121" s="35" customFormat="1" x14ac:dyDescent="0.2">
      <c r="A592" s="34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565"/>
      <c r="R592" s="1097"/>
      <c r="U592" s="39"/>
      <c r="CU592" s="875"/>
      <c r="CV592" s="875"/>
      <c r="CW592" s="875"/>
      <c r="CX592" s="856"/>
      <c r="CY592" s="856"/>
      <c r="CZ592" s="856"/>
      <c r="DA592" s="126"/>
      <c r="DB592" s="126"/>
      <c r="DC592" s="126"/>
      <c r="DD592" s="126"/>
      <c r="DE592" s="856"/>
      <c r="DF592" s="856"/>
      <c r="DG592" s="856"/>
      <c r="DH592" s="856"/>
      <c r="DI592" s="856"/>
      <c r="DJ592" s="856"/>
      <c r="DK592" s="856"/>
      <c r="DL592" s="856"/>
      <c r="DM592" s="152"/>
      <c r="DN592" s="152"/>
      <c r="DO592" s="152"/>
      <c r="DP592" s="152"/>
      <c r="DQ592" s="152"/>
    </row>
    <row r="593" spans="1:121" s="35" customFormat="1" x14ac:dyDescent="0.2">
      <c r="A593" s="34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565"/>
      <c r="R593" s="1097"/>
      <c r="U593" s="39"/>
      <c r="CU593" s="875"/>
      <c r="CV593" s="875"/>
      <c r="CW593" s="875"/>
      <c r="CX593" s="856"/>
      <c r="CY593" s="856"/>
      <c r="CZ593" s="856"/>
      <c r="DA593" s="126"/>
      <c r="DB593" s="126"/>
      <c r="DC593" s="126"/>
      <c r="DD593" s="126"/>
      <c r="DE593" s="856"/>
      <c r="DF593" s="856"/>
      <c r="DG593" s="856"/>
      <c r="DH593" s="856"/>
      <c r="DI593" s="856"/>
      <c r="DJ593" s="856"/>
      <c r="DK593" s="856"/>
      <c r="DL593" s="856"/>
      <c r="DM593" s="152"/>
      <c r="DN593" s="152"/>
      <c r="DO593" s="152"/>
      <c r="DP593" s="152"/>
      <c r="DQ593" s="152"/>
    </row>
    <row r="594" spans="1:121" s="35" customFormat="1" x14ac:dyDescent="0.2">
      <c r="A594" s="34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565"/>
      <c r="R594" s="1097"/>
      <c r="U594" s="39"/>
      <c r="CU594" s="875"/>
      <c r="CV594" s="875"/>
      <c r="CW594" s="875"/>
      <c r="CX594" s="856"/>
      <c r="CY594" s="856"/>
      <c r="CZ594" s="856"/>
      <c r="DA594" s="126"/>
      <c r="DB594" s="126"/>
      <c r="DC594" s="126"/>
      <c r="DD594" s="126"/>
      <c r="DE594" s="856"/>
      <c r="DF594" s="856"/>
      <c r="DG594" s="856"/>
      <c r="DH594" s="856"/>
      <c r="DI594" s="856"/>
      <c r="DJ594" s="856"/>
      <c r="DK594" s="856"/>
      <c r="DL594" s="856"/>
      <c r="DM594" s="152"/>
      <c r="DN594" s="152"/>
      <c r="DO594" s="152"/>
      <c r="DP594" s="152"/>
      <c r="DQ594" s="152"/>
    </row>
    <row r="595" spans="1:121" s="35" customFormat="1" x14ac:dyDescent="0.2">
      <c r="A595" s="34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565"/>
      <c r="R595" s="1097"/>
      <c r="U595" s="39"/>
      <c r="CU595" s="875"/>
      <c r="CV595" s="875"/>
      <c r="CW595" s="875"/>
      <c r="CX595" s="856"/>
      <c r="CY595" s="856"/>
      <c r="CZ595" s="856"/>
      <c r="DA595" s="126"/>
      <c r="DB595" s="126"/>
      <c r="DC595" s="126"/>
      <c r="DD595" s="126"/>
      <c r="DE595" s="856"/>
      <c r="DF595" s="856"/>
      <c r="DG595" s="856"/>
      <c r="DH595" s="856"/>
      <c r="DI595" s="856"/>
      <c r="DJ595" s="856"/>
      <c r="DK595" s="856"/>
      <c r="DL595" s="856"/>
      <c r="DM595" s="152"/>
      <c r="DN595" s="152"/>
      <c r="DO595" s="152"/>
      <c r="DP595" s="152"/>
      <c r="DQ595" s="152"/>
    </row>
    <row r="596" spans="1:121" s="35" customFormat="1" x14ac:dyDescent="0.2">
      <c r="A596" s="34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565"/>
      <c r="R596" s="1097"/>
      <c r="U596" s="39"/>
      <c r="CU596" s="875"/>
      <c r="CV596" s="875"/>
      <c r="CW596" s="875"/>
      <c r="CX596" s="856"/>
      <c r="CY596" s="856"/>
      <c r="CZ596" s="856"/>
      <c r="DA596" s="126"/>
      <c r="DB596" s="126"/>
      <c r="DC596" s="126"/>
      <c r="DD596" s="126"/>
      <c r="DE596" s="856"/>
      <c r="DF596" s="856"/>
      <c r="DG596" s="856"/>
      <c r="DH596" s="856"/>
      <c r="DI596" s="856"/>
      <c r="DJ596" s="856"/>
      <c r="DK596" s="856"/>
      <c r="DL596" s="856"/>
      <c r="DM596" s="152"/>
      <c r="DN596" s="152"/>
      <c r="DO596" s="152"/>
      <c r="DP596" s="152"/>
      <c r="DQ596" s="152"/>
    </row>
    <row r="597" spans="1:121" s="35" customFormat="1" x14ac:dyDescent="0.2">
      <c r="A597" s="34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565"/>
      <c r="R597" s="1097"/>
      <c r="U597" s="39"/>
      <c r="CU597" s="875"/>
      <c r="CV597" s="875"/>
      <c r="CW597" s="875"/>
      <c r="CX597" s="856"/>
      <c r="CY597" s="856"/>
      <c r="CZ597" s="856"/>
      <c r="DA597" s="126"/>
      <c r="DB597" s="126"/>
      <c r="DC597" s="126"/>
      <c r="DD597" s="126"/>
      <c r="DE597" s="856"/>
      <c r="DF597" s="856"/>
      <c r="DG597" s="856"/>
      <c r="DH597" s="856"/>
      <c r="DI597" s="856"/>
      <c r="DJ597" s="856"/>
      <c r="DK597" s="856"/>
      <c r="DL597" s="856"/>
      <c r="DM597" s="152"/>
      <c r="DN597" s="152"/>
      <c r="DO597" s="152"/>
      <c r="DP597" s="152"/>
      <c r="DQ597" s="152"/>
    </row>
    <row r="598" spans="1:121" s="35" customFormat="1" x14ac:dyDescent="0.2">
      <c r="A598" s="34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565"/>
      <c r="R598" s="1097"/>
      <c r="U598" s="39"/>
      <c r="CU598" s="875"/>
      <c r="CV598" s="875"/>
      <c r="CW598" s="875"/>
      <c r="CX598" s="856"/>
      <c r="CY598" s="856"/>
      <c r="CZ598" s="856"/>
      <c r="DA598" s="126"/>
      <c r="DB598" s="126"/>
      <c r="DC598" s="126"/>
      <c r="DD598" s="126"/>
      <c r="DE598" s="856"/>
      <c r="DF598" s="856"/>
      <c r="DG598" s="856"/>
      <c r="DH598" s="856"/>
      <c r="DI598" s="856"/>
      <c r="DJ598" s="856"/>
      <c r="DK598" s="856"/>
      <c r="DL598" s="856"/>
      <c r="DM598" s="152"/>
      <c r="DN598" s="152"/>
      <c r="DO598" s="152"/>
      <c r="DP598" s="152"/>
      <c r="DQ598" s="152"/>
    </row>
    <row r="599" spans="1:121" s="35" customFormat="1" x14ac:dyDescent="0.2">
      <c r="A599" s="34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565"/>
      <c r="R599" s="1097"/>
      <c r="U599" s="39"/>
      <c r="CU599" s="875"/>
      <c r="CV599" s="875"/>
      <c r="CW599" s="875"/>
      <c r="CX599" s="856"/>
      <c r="CY599" s="856"/>
      <c r="CZ599" s="856"/>
      <c r="DA599" s="126"/>
      <c r="DB599" s="126"/>
      <c r="DC599" s="126"/>
      <c r="DD599" s="126"/>
      <c r="DE599" s="856"/>
      <c r="DF599" s="856"/>
      <c r="DG599" s="856"/>
      <c r="DH599" s="856"/>
      <c r="DI599" s="856"/>
      <c r="DJ599" s="856"/>
      <c r="DK599" s="856"/>
      <c r="DL599" s="856"/>
      <c r="DM599" s="152"/>
      <c r="DN599" s="152"/>
      <c r="DO599" s="152"/>
      <c r="DP599" s="152"/>
      <c r="DQ599" s="152"/>
    </row>
    <row r="600" spans="1:121" s="35" customFormat="1" x14ac:dyDescent="0.2">
      <c r="A600" s="34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565"/>
      <c r="R600" s="1097"/>
      <c r="U600" s="39"/>
      <c r="CU600" s="875"/>
      <c r="CV600" s="875"/>
      <c r="CW600" s="875"/>
      <c r="CX600" s="856"/>
      <c r="CY600" s="856"/>
      <c r="CZ600" s="856"/>
      <c r="DA600" s="126"/>
      <c r="DB600" s="126"/>
      <c r="DC600" s="126"/>
      <c r="DD600" s="126"/>
      <c r="DE600" s="856"/>
      <c r="DF600" s="856"/>
      <c r="DG600" s="856"/>
      <c r="DH600" s="856"/>
      <c r="DI600" s="856"/>
      <c r="DJ600" s="856"/>
      <c r="DK600" s="856"/>
      <c r="DL600" s="856"/>
      <c r="DM600" s="152"/>
      <c r="DN600" s="152"/>
      <c r="DO600" s="152"/>
      <c r="DP600" s="152"/>
      <c r="DQ600" s="152"/>
    </row>
    <row r="601" spans="1:121" s="35" customFormat="1" x14ac:dyDescent="0.2">
      <c r="A601" s="34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565"/>
      <c r="R601" s="1097"/>
      <c r="U601" s="39"/>
      <c r="CU601" s="875"/>
      <c r="CV601" s="875"/>
      <c r="CW601" s="875"/>
      <c r="CX601" s="856"/>
      <c r="CY601" s="856"/>
      <c r="CZ601" s="856"/>
      <c r="DA601" s="126"/>
      <c r="DB601" s="126"/>
      <c r="DC601" s="126"/>
      <c r="DD601" s="126"/>
      <c r="DE601" s="856"/>
      <c r="DF601" s="856"/>
      <c r="DG601" s="856"/>
      <c r="DH601" s="856"/>
      <c r="DI601" s="856"/>
      <c r="DJ601" s="856"/>
      <c r="DK601" s="856"/>
      <c r="DL601" s="856"/>
      <c r="DM601" s="152"/>
      <c r="DN601" s="152"/>
      <c r="DO601" s="152"/>
      <c r="DP601" s="152"/>
      <c r="DQ601" s="152"/>
    </row>
    <row r="602" spans="1:121" s="35" customFormat="1" x14ac:dyDescent="0.2">
      <c r="A602" s="34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565"/>
      <c r="R602" s="1097"/>
      <c r="U602" s="39"/>
      <c r="CU602" s="875"/>
      <c r="CV602" s="875"/>
      <c r="CW602" s="875"/>
      <c r="CX602" s="856"/>
      <c r="CY602" s="856"/>
      <c r="CZ602" s="856"/>
      <c r="DA602" s="126"/>
      <c r="DB602" s="126"/>
      <c r="DC602" s="126"/>
      <c r="DD602" s="126"/>
      <c r="DE602" s="856"/>
      <c r="DF602" s="856"/>
      <c r="DG602" s="856"/>
      <c r="DH602" s="856"/>
      <c r="DI602" s="856"/>
      <c r="DJ602" s="856"/>
      <c r="DK602" s="856"/>
      <c r="DL602" s="856"/>
      <c r="DM602" s="152"/>
      <c r="DN602" s="152"/>
      <c r="DO602" s="152"/>
      <c r="DP602" s="152"/>
      <c r="DQ602" s="152"/>
    </row>
    <row r="603" spans="1:121" s="35" customFormat="1" x14ac:dyDescent="0.2">
      <c r="A603" s="34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565"/>
      <c r="R603" s="1097"/>
      <c r="U603" s="39"/>
      <c r="CU603" s="875"/>
      <c r="CV603" s="875"/>
      <c r="CW603" s="875"/>
      <c r="CX603" s="856"/>
      <c r="CY603" s="856"/>
      <c r="CZ603" s="856"/>
      <c r="DA603" s="126"/>
      <c r="DB603" s="126"/>
      <c r="DC603" s="126"/>
      <c r="DD603" s="126"/>
      <c r="DE603" s="856"/>
      <c r="DF603" s="856"/>
      <c r="DG603" s="856"/>
      <c r="DH603" s="856"/>
      <c r="DI603" s="856"/>
      <c r="DJ603" s="856"/>
      <c r="DK603" s="856"/>
      <c r="DL603" s="856"/>
      <c r="DM603" s="152"/>
      <c r="DN603" s="152"/>
      <c r="DO603" s="152"/>
      <c r="DP603" s="152"/>
      <c r="DQ603" s="152"/>
    </row>
    <row r="604" spans="1:121" s="35" customFormat="1" x14ac:dyDescent="0.2">
      <c r="A604" s="34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565"/>
      <c r="R604" s="1097"/>
      <c r="U604" s="39"/>
      <c r="CU604" s="875"/>
      <c r="CV604" s="875"/>
      <c r="CW604" s="875"/>
      <c r="CX604" s="856"/>
      <c r="CY604" s="856"/>
      <c r="CZ604" s="856"/>
      <c r="DA604" s="126"/>
      <c r="DB604" s="126"/>
      <c r="DC604" s="126"/>
      <c r="DD604" s="126"/>
      <c r="DE604" s="856"/>
      <c r="DF604" s="856"/>
      <c r="DG604" s="856"/>
      <c r="DH604" s="856"/>
      <c r="DI604" s="856"/>
      <c r="DJ604" s="856"/>
      <c r="DK604" s="856"/>
      <c r="DL604" s="856"/>
      <c r="DM604" s="152"/>
      <c r="DN604" s="152"/>
      <c r="DO604" s="152"/>
      <c r="DP604" s="152"/>
      <c r="DQ604" s="152"/>
    </row>
    <row r="605" spans="1:121" s="35" customFormat="1" x14ac:dyDescent="0.2">
      <c r="A605" s="34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565"/>
      <c r="R605" s="1097"/>
      <c r="U605" s="39"/>
      <c r="CU605" s="875"/>
      <c r="CV605" s="875"/>
      <c r="CW605" s="875"/>
      <c r="CX605" s="856"/>
      <c r="CY605" s="856"/>
      <c r="CZ605" s="856"/>
      <c r="DA605" s="126"/>
      <c r="DB605" s="126"/>
      <c r="DC605" s="126"/>
      <c r="DD605" s="126"/>
      <c r="DE605" s="856"/>
      <c r="DF605" s="856"/>
      <c r="DG605" s="856"/>
      <c r="DH605" s="856"/>
      <c r="DI605" s="856"/>
      <c r="DJ605" s="856"/>
      <c r="DK605" s="856"/>
      <c r="DL605" s="856"/>
      <c r="DM605" s="152"/>
      <c r="DN605" s="152"/>
      <c r="DO605" s="152"/>
      <c r="DP605" s="152"/>
      <c r="DQ605" s="152"/>
    </row>
    <row r="606" spans="1:121" s="35" customFormat="1" x14ac:dyDescent="0.2">
      <c r="A606" s="34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565"/>
      <c r="R606" s="1097"/>
      <c r="U606" s="39"/>
      <c r="CU606" s="875"/>
      <c r="CV606" s="875"/>
      <c r="CW606" s="875"/>
      <c r="CX606" s="856"/>
      <c r="CY606" s="856"/>
      <c r="CZ606" s="856"/>
      <c r="DA606" s="126"/>
      <c r="DB606" s="126"/>
      <c r="DC606" s="126"/>
      <c r="DD606" s="126"/>
      <c r="DE606" s="856"/>
      <c r="DF606" s="856"/>
      <c r="DG606" s="856"/>
      <c r="DH606" s="856"/>
      <c r="DI606" s="856"/>
      <c r="DJ606" s="856"/>
      <c r="DK606" s="856"/>
      <c r="DL606" s="856"/>
      <c r="DM606" s="152"/>
      <c r="DN606" s="152"/>
      <c r="DO606" s="152"/>
      <c r="DP606" s="152"/>
      <c r="DQ606" s="152"/>
    </row>
    <row r="607" spans="1:121" s="35" customFormat="1" x14ac:dyDescent="0.2">
      <c r="A607" s="34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565"/>
      <c r="R607" s="1097"/>
      <c r="U607" s="39"/>
      <c r="CU607" s="875"/>
      <c r="CV607" s="875"/>
      <c r="CW607" s="875"/>
      <c r="CX607" s="856"/>
      <c r="CY607" s="856"/>
      <c r="CZ607" s="856"/>
      <c r="DA607" s="126"/>
      <c r="DB607" s="126"/>
      <c r="DC607" s="126"/>
      <c r="DD607" s="126"/>
      <c r="DE607" s="856"/>
      <c r="DF607" s="856"/>
      <c r="DG607" s="856"/>
      <c r="DH607" s="856"/>
      <c r="DI607" s="856"/>
      <c r="DJ607" s="856"/>
      <c r="DK607" s="856"/>
      <c r="DL607" s="856"/>
      <c r="DM607" s="152"/>
      <c r="DN607" s="152"/>
      <c r="DO607" s="152"/>
      <c r="DP607" s="152"/>
      <c r="DQ607" s="152"/>
    </row>
    <row r="608" spans="1:121" s="35" customFormat="1" x14ac:dyDescent="0.2">
      <c r="A608" s="34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565"/>
      <c r="R608" s="1097"/>
      <c r="U608" s="39"/>
      <c r="CU608" s="875"/>
      <c r="CV608" s="875"/>
      <c r="CW608" s="875"/>
      <c r="CX608" s="856"/>
      <c r="CY608" s="856"/>
      <c r="CZ608" s="856"/>
      <c r="DA608" s="126"/>
      <c r="DB608" s="126"/>
      <c r="DC608" s="126"/>
      <c r="DD608" s="126"/>
      <c r="DE608" s="856"/>
      <c r="DF608" s="856"/>
      <c r="DG608" s="856"/>
      <c r="DH608" s="856"/>
      <c r="DI608" s="856"/>
      <c r="DJ608" s="856"/>
      <c r="DK608" s="856"/>
      <c r="DL608" s="856"/>
      <c r="DM608" s="152"/>
      <c r="DN608" s="152"/>
      <c r="DO608" s="152"/>
      <c r="DP608" s="152"/>
      <c r="DQ608" s="152"/>
    </row>
    <row r="609" spans="1:121" s="35" customFormat="1" x14ac:dyDescent="0.2">
      <c r="A609" s="34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565"/>
      <c r="R609" s="1097"/>
      <c r="U609" s="39"/>
      <c r="CU609" s="875"/>
      <c r="CV609" s="875"/>
      <c r="CW609" s="875"/>
      <c r="CX609" s="856"/>
      <c r="CY609" s="856"/>
      <c r="CZ609" s="856"/>
      <c r="DA609" s="126"/>
      <c r="DB609" s="126"/>
      <c r="DC609" s="126"/>
      <c r="DD609" s="126"/>
      <c r="DE609" s="856"/>
      <c r="DF609" s="856"/>
      <c r="DG609" s="856"/>
      <c r="DH609" s="856"/>
      <c r="DI609" s="856"/>
      <c r="DJ609" s="856"/>
      <c r="DK609" s="856"/>
      <c r="DL609" s="856"/>
      <c r="DM609" s="152"/>
      <c r="DN609" s="152"/>
      <c r="DO609" s="152"/>
      <c r="DP609" s="152"/>
      <c r="DQ609" s="152"/>
    </row>
    <row r="610" spans="1:121" s="35" customFormat="1" x14ac:dyDescent="0.2">
      <c r="A610" s="34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565"/>
      <c r="R610" s="1097"/>
      <c r="U610" s="39"/>
      <c r="CU610" s="875"/>
      <c r="CV610" s="875"/>
      <c r="CW610" s="875"/>
      <c r="CX610" s="856"/>
      <c r="CY610" s="856"/>
      <c r="CZ610" s="856"/>
      <c r="DA610" s="126"/>
      <c r="DB610" s="126"/>
      <c r="DC610" s="126"/>
      <c r="DD610" s="126"/>
      <c r="DE610" s="856"/>
      <c r="DF610" s="856"/>
      <c r="DG610" s="856"/>
      <c r="DH610" s="856"/>
      <c r="DI610" s="856"/>
      <c r="DJ610" s="856"/>
      <c r="DK610" s="856"/>
      <c r="DL610" s="856"/>
      <c r="DM610" s="152"/>
      <c r="DN610" s="152"/>
      <c r="DO610" s="152"/>
      <c r="DP610" s="152"/>
      <c r="DQ610" s="152"/>
    </row>
    <row r="611" spans="1:121" s="35" customFormat="1" x14ac:dyDescent="0.2">
      <c r="A611" s="34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565"/>
      <c r="R611" s="1097"/>
      <c r="U611" s="39"/>
      <c r="CU611" s="875"/>
      <c r="CV611" s="875"/>
      <c r="CW611" s="875"/>
      <c r="CX611" s="856"/>
      <c r="CY611" s="856"/>
      <c r="CZ611" s="856"/>
      <c r="DA611" s="126"/>
      <c r="DB611" s="126"/>
      <c r="DC611" s="126"/>
      <c r="DD611" s="126"/>
      <c r="DE611" s="856"/>
      <c r="DF611" s="856"/>
      <c r="DG611" s="856"/>
      <c r="DH611" s="856"/>
      <c r="DI611" s="856"/>
      <c r="DJ611" s="856"/>
      <c r="DK611" s="856"/>
      <c r="DL611" s="856"/>
      <c r="DM611" s="152"/>
      <c r="DN611" s="152"/>
      <c r="DO611" s="152"/>
      <c r="DP611" s="152"/>
      <c r="DQ611" s="152"/>
    </row>
    <row r="612" spans="1:121" s="35" customFormat="1" x14ac:dyDescent="0.2">
      <c r="A612" s="34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565"/>
      <c r="R612" s="1097"/>
      <c r="U612" s="39"/>
      <c r="CU612" s="875"/>
      <c r="CV612" s="875"/>
      <c r="CW612" s="875"/>
      <c r="CX612" s="856"/>
      <c r="CY612" s="856"/>
      <c r="CZ612" s="856"/>
      <c r="DA612" s="126"/>
      <c r="DB612" s="126"/>
      <c r="DC612" s="126"/>
      <c r="DD612" s="126"/>
      <c r="DE612" s="856"/>
      <c r="DF612" s="856"/>
      <c r="DG612" s="856"/>
      <c r="DH612" s="856"/>
      <c r="DI612" s="856"/>
      <c r="DJ612" s="856"/>
      <c r="DK612" s="856"/>
      <c r="DL612" s="856"/>
      <c r="DM612" s="152"/>
      <c r="DN612" s="152"/>
      <c r="DO612" s="152"/>
      <c r="DP612" s="152"/>
      <c r="DQ612" s="152"/>
    </row>
    <row r="613" spans="1:121" s="35" customFormat="1" x14ac:dyDescent="0.2">
      <c r="A613" s="34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565"/>
      <c r="R613" s="1097"/>
      <c r="U613" s="39"/>
      <c r="CU613" s="875"/>
      <c r="CV613" s="875"/>
      <c r="CW613" s="875"/>
      <c r="CX613" s="856"/>
      <c r="CY613" s="856"/>
      <c r="CZ613" s="856"/>
      <c r="DA613" s="126"/>
      <c r="DB613" s="126"/>
      <c r="DC613" s="126"/>
      <c r="DD613" s="126"/>
      <c r="DE613" s="856"/>
      <c r="DF613" s="856"/>
      <c r="DG613" s="856"/>
      <c r="DH613" s="856"/>
      <c r="DI613" s="856"/>
      <c r="DJ613" s="856"/>
      <c r="DK613" s="856"/>
      <c r="DL613" s="856"/>
      <c r="DM613" s="152"/>
      <c r="DN613" s="152"/>
      <c r="DO613" s="152"/>
      <c r="DP613" s="152"/>
      <c r="DQ613" s="152"/>
    </row>
    <row r="614" spans="1:121" s="35" customFormat="1" x14ac:dyDescent="0.2">
      <c r="A614" s="34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565"/>
      <c r="R614" s="1097"/>
      <c r="U614" s="39"/>
      <c r="CU614" s="875"/>
      <c r="CV614" s="875"/>
      <c r="CW614" s="875"/>
      <c r="CX614" s="856"/>
      <c r="CY614" s="856"/>
      <c r="CZ614" s="856"/>
      <c r="DA614" s="126"/>
      <c r="DB614" s="126"/>
      <c r="DC614" s="126"/>
      <c r="DD614" s="126"/>
      <c r="DE614" s="856"/>
      <c r="DF614" s="856"/>
      <c r="DG614" s="856"/>
      <c r="DH614" s="856"/>
      <c r="DI614" s="856"/>
      <c r="DJ614" s="856"/>
      <c r="DK614" s="856"/>
      <c r="DL614" s="856"/>
      <c r="DM614" s="152"/>
      <c r="DN614" s="152"/>
      <c r="DO614" s="152"/>
      <c r="DP614" s="152"/>
      <c r="DQ614" s="152"/>
    </row>
    <row r="615" spans="1:121" s="35" customFormat="1" x14ac:dyDescent="0.2">
      <c r="A615" s="34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565"/>
      <c r="R615" s="1097"/>
      <c r="U615" s="39"/>
      <c r="CU615" s="875"/>
      <c r="CV615" s="875"/>
      <c r="CW615" s="875"/>
      <c r="CX615" s="856"/>
      <c r="CY615" s="856"/>
      <c r="CZ615" s="856"/>
      <c r="DA615" s="126"/>
      <c r="DB615" s="126"/>
      <c r="DC615" s="126"/>
      <c r="DD615" s="126"/>
      <c r="DE615" s="856"/>
      <c r="DF615" s="856"/>
      <c r="DG615" s="856"/>
      <c r="DH615" s="856"/>
      <c r="DI615" s="856"/>
      <c r="DJ615" s="856"/>
      <c r="DK615" s="856"/>
      <c r="DL615" s="856"/>
      <c r="DM615" s="152"/>
      <c r="DN615" s="152"/>
      <c r="DO615" s="152"/>
      <c r="DP615" s="152"/>
      <c r="DQ615" s="152"/>
    </row>
    <row r="616" spans="1:121" s="35" customFormat="1" x14ac:dyDescent="0.2">
      <c r="A616" s="34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565"/>
      <c r="R616" s="1097"/>
      <c r="U616" s="39"/>
      <c r="CU616" s="875"/>
      <c r="CV616" s="875"/>
      <c r="CW616" s="875"/>
      <c r="CX616" s="856"/>
      <c r="CY616" s="856"/>
      <c r="CZ616" s="856"/>
      <c r="DA616" s="126"/>
      <c r="DB616" s="126"/>
      <c r="DC616" s="126"/>
      <c r="DD616" s="126"/>
      <c r="DE616" s="856"/>
      <c r="DF616" s="856"/>
      <c r="DG616" s="856"/>
      <c r="DH616" s="856"/>
      <c r="DI616" s="856"/>
      <c r="DJ616" s="856"/>
      <c r="DK616" s="856"/>
      <c r="DL616" s="856"/>
      <c r="DM616" s="152"/>
      <c r="DN616" s="152"/>
      <c r="DO616" s="152"/>
      <c r="DP616" s="152"/>
      <c r="DQ616" s="152"/>
    </row>
    <row r="617" spans="1:121" s="35" customFormat="1" x14ac:dyDescent="0.2">
      <c r="A617" s="34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565"/>
      <c r="R617" s="1097"/>
      <c r="U617" s="39"/>
      <c r="CU617" s="875"/>
      <c r="CV617" s="875"/>
      <c r="CW617" s="875"/>
      <c r="CX617" s="856"/>
      <c r="CY617" s="856"/>
      <c r="CZ617" s="856"/>
      <c r="DA617" s="126"/>
      <c r="DB617" s="126"/>
      <c r="DC617" s="126"/>
      <c r="DD617" s="126"/>
      <c r="DE617" s="856"/>
      <c r="DF617" s="856"/>
      <c r="DG617" s="856"/>
      <c r="DH617" s="856"/>
      <c r="DI617" s="856"/>
      <c r="DJ617" s="856"/>
      <c r="DK617" s="856"/>
      <c r="DL617" s="856"/>
      <c r="DM617" s="152"/>
      <c r="DN617" s="152"/>
      <c r="DO617" s="152"/>
      <c r="DP617" s="152"/>
      <c r="DQ617" s="152"/>
    </row>
    <row r="618" spans="1:121" s="35" customFormat="1" x14ac:dyDescent="0.2">
      <c r="A618" s="34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565"/>
      <c r="R618" s="1097"/>
      <c r="U618" s="39"/>
      <c r="CU618" s="875"/>
      <c r="CV618" s="875"/>
      <c r="CW618" s="875"/>
      <c r="CX618" s="856"/>
      <c r="CY618" s="856"/>
      <c r="CZ618" s="856"/>
      <c r="DA618" s="126"/>
      <c r="DB618" s="126"/>
      <c r="DC618" s="126"/>
      <c r="DD618" s="126"/>
      <c r="DE618" s="856"/>
      <c r="DF618" s="856"/>
      <c r="DG618" s="856"/>
      <c r="DH618" s="856"/>
      <c r="DI618" s="856"/>
      <c r="DJ618" s="856"/>
      <c r="DK618" s="856"/>
      <c r="DL618" s="856"/>
      <c r="DM618" s="152"/>
      <c r="DN618" s="152"/>
      <c r="DO618" s="152"/>
      <c r="DP618" s="152"/>
      <c r="DQ618" s="152"/>
    </row>
    <row r="619" spans="1:121" s="35" customFormat="1" x14ac:dyDescent="0.2">
      <c r="A619" s="34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565"/>
      <c r="R619" s="1097"/>
      <c r="U619" s="39"/>
      <c r="CU619" s="875"/>
      <c r="CV619" s="875"/>
      <c r="CW619" s="875"/>
      <c r="CX619" s="856"/>
      <c r="CY619" s="856"/>
      <c r="CZ619" s="856"/>
      <c r="DA619" s="126"/>
      <c r="DB619" s="126"/>
      <c r="DC619" s="126"/>
      <c r="DD619" s="126"/>
      <c r="DE619" s="856"/>
      <c r="DF619" s="856"/>
      <c r="DG619" s="856"/>
      <c r="DH619" s="856"/>
      <c r="DI619" s="856"/>
      <c r="DJ619" s="856"/>
      <c r="DK619" s="856"/>
      <c r="DL619" s="856"/>
      <c r="DM619" s="152"/>
      <c r="DN619" s="152"/>
      <c r="DO619" s="152"/>
      <c r="DP619" s="152"/>
      <c r="DQ619" s="152"/>
    </row>
    <row r="620" spans="1:121" s="35" customFormat="1" x14ac:dyDescent="0.2">
      <c r="A620" s="34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565"/>
      <c r="R620" s="1097"/>
      <c r="U620" s="39"/>
      <c r="CU620" s="875"/>
      <c r="CV620" s="875"/>
      <c r="CW620" s="875"/>
      <c r="CX620" s="856"/>
      <c r="CY620" s="856"/>
      <c r="CZ620" s="856"/>
      <c r="DA620" s="126"/>
      <c r="DB620" s="126"/>
      <c r="DC620" s="126"/>
      <c r="DD620" s="126"/>
      <c r="DE620" s="856"/>
      <c r="DF620" s="856"/>
      <c r="DG620" s="856"/>
      <c r="DH620" s="856"/>
      <c r="DI620" s="856"/>
      <c r="DJ620" s="856"/>
      <c r="DK620" s="856"/>
      <c r="DL620" s="856"/>
      <c r="DM620" s="152"/>
      <c r="DN620" s="152"/>
      <c r="DO620" s="152"/>
      <c r="DP620" s="152"/>
      <c r="DQ620" s="152"/>
    </row>
    <row r="621" spans="1:121" s="35" customFormat="1" x14ac:dyDescent="0.2">
      <c r="A621" s="34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565"/>
      <c r="R621" s="1097"/>
      <c r="U621" s="39"/>
      <c r="CU621" s="875"/>
      <c r="CV621" s="875"/>
      <c r="CW621" s="875"/>
      <c r="CX621" s="856"/>
      <c r="CY621" s="856"/>
      <c r="CZ621" s="856"/>
      <c r="DA621" s="126"/>
      <c r="DB621" s="126"/>
      <c r="DC621" s="126"/>
      <c r="DD621" s="126"/>
      <c r="DE621" s="856"/>
      <c r="DF621" s="856"/>
      <c r="DG621" s="856"/>
      <c r="DH621" s="856"/>
      <c r="DI621" s="856"/>
      <c r="DJ621" s="856"/>
      <c r="DK621" s="856"/>
      <c r="DL621" s="856"/>
      <c r="DM621" s="152"/>
      <c r="DN621" s="152"/>
      <c r="DO621" s="152"/>
      <c r="DP621" s="152"/>
      <c r="DQ621" s="152"/>
    </row>
    <row r="622" spans="1:121" s="35" customFormat="1" x14ac:dyDescent="0.2">
      <c r="A622" s="34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565"/>
      <c r="R622" s="1097"/>
      <c r="U622" s="39"/>
      <c r="CU622" s="875"/>
      <c r="CV622" s="875"/>
      <c r="CW622" s="875"/>
      <c r="CX622" s="856"/>
      <c r="CY622" s="856"/>
      <c r="CZ622" s="856"/>
      <c r="DA622" s="126"/>
      <c r="DB622" s="126"/>
      <c r="DC622" s="126"/>
      <c r="DD622" s="126"/>
      <c r="DE622" s="856"/>
      <c r="DF622" s="856"/>
      <c r="DG622" s="856"/>
      <c r="DH622" s="856"/>
      <c r="DI622" s="856"/>
      <c r="DJ622" s="856"/>
      <c r="DK622" s="856"/>
      <c r="DL622" s="856"/>
      <c r="DM622" s="152"/>
      <c r="DN622" s="152"/>
      <c r="DO622" s="152"/>
      <c r="DP622" s="152"/>
      <c r="DQ622" s="152"/>
    </row>
    <row r="623" spans="1:121" s="35" customFormat="1" x14ac:dyDescent="0.2">
      <c r="A623" s="34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565"/>
      <c r="R623" s="1097"/>
      <c r="U623" s="39"/>
      <c r="CU623" s="875"/>
      <c r="CV623" s="875"/>
      <c r="CW623" s="875"/>
      <c r="CX623" s="856"/>
      <c r="CY623" s="856"/>
      <c r="CZ623" s="856"/>
      <c r="DA623" s="126"/>
      <c r="DB623" s="126"/>
      <c r="DC623" s="126"/>
      <c r="DD623" s="126"/>
      <c r="DE623" s="856"/>
      <c r="DF623" s="856"/>
      <c r="DG623" s="856"/>
      <c r="DH623" s="856"/>
      <c r="DI623" s="856"/>
      <c r="DJ623" s="856"/>
      <c r="DK623" s="856"/>
      <c r="DL623" s="856"/>
      <c r="DM623" s="152"/>
      <c r="DN623" s="152"/>
      <c r="DO623" s="152"/>
      <c r="DP623" s="152"/>
      <c r="DQ623" s="152"/>
    </row>
    <row r="624" spans="1:121" s="35" customFormat="1" x14ac:dyDescent="0.2">
      <c r="A624" s="34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565"/>
      <c r="R624" s="1097"/>
      <c r="U624" s="39"/>
      <c r="CU624" s="875"/>
      <c r="CV624" s="875"/>
      <c r="CW624" s="875"/>
      <c r="CX624" s="856"/>
      <c r="CY624" s="856"/>
      <c r="CZ624" s="856"/>
      <c r="DA624" s="126"/>
      <c r="DB624" s="126"/>
      <c r="DC624" s="126"/>
      <c r="DD624" s="126"/>
      <c r="DE624" s="856"/>
      <c r="DF624" s="856"/>
      <c r="DG624" s="856"/>
      <c r="DH624" s="856"/>
      <c r="DI624" s="856"/>
      <c r="DJ624" s="856"/>
      <c r="DK624" s="856"/>
      <c r="DL624" s="856"/>
      <c r="DM624" s="152"/>
      <c r="DN624" s="152"/>
      <c r="DO624" s="152"/>
      <c r="DP624" s="152"/>
      <c r="DQ624" s="152"/>
    </row>
    <row r="625" spans="1:121" s="35" customFormat="1" x14ac:dyDescent="0.2">
      <c r="A625" s="34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565"/>
      <c r="R625" s="1097"/>
      <c r="U625" s="39"/>
      <c r="CU625" s="875"/>
      <c r="CV625" s="875"/>
      <c r="CW625" s="875"/>
      <c r="CX625" s="856"/>
      <c r="CY625" s="856"/>
      <c r="CZ625" s="856"/>
      <c r="DA625" s="126"/>
      <c r="DB625" s="126"/>
      <c r="DC625" s="126"/>
      <c r="DD625" s="126"/>
      <c r="DE625" s="856"/>
      <c r="DF625" s="856"/>
      <c r="DG625" s="856"/>
      <c r="DH625" s="856"/>
      <c r="DI625" s="856"/>
      <c r="DJ625" s="856"/>
      <c r="DK625" s="856"/>
      <c r="DL625" s="856"/>
      <c r="DM625" s="152"/>
      <c r="DN625" s="152"/>
      <c r="DO625" s="152"/>
      <c r="DP625" s="152"/>
      <c r="DQ625" s="152"/>
    </row>
    <row r="626" spans="1:121" s="35" customFormat="1" x14ac:dyDescent="0.2">
      <c r="A626" s="34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565"/>
      <c r="R626" s="1097"/>
      <c r="U626" s="39"/>
      <c r="CU626" s="875"/>
      <c r="CV626" s="875"/>
      <c r="CW626" s="875"/>
      <c r="CX626" s="856"/>
      <c r="CY626" s="856"/>
      <c r="CZ626" s="856"/>
      <c r="DA626" s="126"/>
      <c r="DB626" s="126"/>
      <c r="DC626" s="126"/>
      <c r="DD626" s="126"/>
      <c r="DE626" s="856"/>
      <c r="DF626" s="856"/>
      <c r="DG626" s="856"/>
      <c r="DH626" s="856"/>
      <c r="DI626" s="856"/>
      <c r="DJ626" s="856"/>
      <c r="DK626" s="856"/>
      <c r="DL626" s="856"/>
      <c r="DM626" s="152"/>
      <c r="DN626" s="152"/>
      <c r="DO626" s="152"/>
      <c r="DP626" s="152"/>
      <c r="DQ626" s="152"/>
    </row>
    <row r="627" spans="1:121" s="35" customFormat="1" x14ac:dyDescent="0.2">
      <c r="A627" s="34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565"/>
      <c r="R627" s="1097"/>
      <c r="U627" s="39"/>
      <c r="CU627" s="875"/>
      <c r="CV627" s="875"/>
      <c r="CW627" s="875"/>
      <c r="CX627" s="856"/>
      <c r="CY627" s="856"/>
      <c r="CZ627" s="856"/>
      <c r="DA627" s="126"/>
      <c r="DB627" s="126"/>
      <c r="DC627" s="126"/>
      <c r="DD627" s="126"/>
      <c r="DE627" s="856"/>
      <c r="DF627" s="856"/>
      <c r="DG627" s="856"/>
      <c r="DH627" s="856"/>
      <c r="DI627" s="856"/>
      <c r="DJ627" s="856"/>
      <c r="DK627" s="856"/>
      <c r="DL627" s="856"/>
      <c r="DM627" s="152"/>
      <c r="DN627" s="152"/>
      <c r="DO627" s="152"/>
      <c r="DP627" s="152"/>
      <c r="DQ627" s="152"/>
    </row>
    <row r="628" spans="1:121" s="35" customFormat="1" x14ac:dyDescent="0.2">
      <c r="A628" s="34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565"/>
      <c r="R628" s="1097"/>
      <c r="U628" s="39"/>
      <c r="CU628" s="875"/>
      <c r="CV628" s="875"/>
      <c r="CW628" s="875"/>
      <c r="CX628" s="856"/>
      <c r="CY628" s="856"/>
      <c r="CZ628" s="856"/>
      <c r="DA628" s="126"/>
      <c r="DB628" s="126"/>
      <c r="DC628" s="126"/>
      <c r="DD628" s="126"/>
      <c r="DE628" s="856"/>
      <c r="DF628" s="856"/>
      <c r="DG628" s="856"/>
      <c r="DH628" s="856"/>
      <c r="DI628" s="856"/>
      <c r="DJ628" s="856"/>
      <c r="DK628" s="856"/>
      <c r="DL628" s="856"/>
      <c r="DM628" s="152"/>
      <c r="DN628" s="152"/>
      <c r="DO628" s="152"/>
      <c r="DP628" s="152"/>
      <c r="DQ628" s="152"/>
    </row>
    <row r="629" spans="1:121" s="35" customFormat="1" x14ac:dyDescent="0.2">
      <c r="A629" s="34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565"/>
      <c r="R629" s="1097"/>
      <c r="U629" s="39"/>
      <c r="CU629" s="875"/>
      <c r="CV629" s="875"/>
      <c r="CW629" s="875"/>
      <c r="CX629" s="856"/>
      <c r="CY629" s="856"/>
      <c r="CZ629" s="856"/>
      <c r="DA629" s="126"/>
      <c r="DB629" s="126"/>
      <c r="DC629" s="126"/>
      <c r="DD629" s="126"/>
      <c r="DE629" s="856"/>
      <c r="DF629" s="856"/>
      <c r="DG629" s="856"/>
      <c r="DH629" s="856"/>
      <c r="DI629" s="856"/>
      <c r="DJ629" s="856"/>
      <c r="DK629" s="856"/>
      <c r="DL629" s="856"/>
      <c r="DM629" s="152"/>
      <c r="DN629" s="152"/>
      <c r="DO629" s="152"/>
      <c r="DP629" s="152"/>
      <c r="DQ629" s="152"/>
    </row>
    <row r="630" spans="1:121" s="35" customFormat="1" x14ac:dyDescent="0.2">
      <c r="A630" s="34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565"/>
      <c r="R630" s="1097"/>
      <c r="U630" s="39"/>
      <c r="CU630" s="875"/>
      <c r="CV630" s="875"/>
      <c r="CW630" s="875"/>
      <c r="CX630" s="856"/>
      <c r="CY630" s="856"/>
      <c r="CZ630" s="856"/>
      <c r="DA630" s="126"/>
      <c r="DB630" s="126"/>
      <c r="DC630" s="126"/>
      <c r="DD630" s="126"/>
      <c r="DE630" s="856"/>
      <c r="DF630" s="856"/>
      <c r="DG630" s="856"/>
      <c r="DH630" s="856"/>
      <c r="DI630" s="856"/>
      <c r="DJ630" s="856"/>
      <c r="DK630" s="856"/>
      <c r="DL630" s="856"/>
      <c r="DM630" s="152"/>
      <c r="DN630" s="152"/>
      <c r="DO630" s="152"/>
      <c r="DP630" s="152"/>
      <c r="DQ630" s="152"/>
    </row>
    <row r="631" spans="1:121" s="35" customFormat="1" x14ac:dyDescent="0.2">
      <c r="A631" s="34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565"/>
      <c r="R631" s="1097"/>
      <c r="U631" s="39"/>
      <c r="CU631" s="875"/>
      <c r="CV631" s="875"/>
      <c r="CW631" s="875"/>
      <c r="CX631" s="856"/>
      <c r="CY631" s="856"/>
      <c r="CZ631" s="856"/>
      <c r="DA631" s="126"/>
      <c r="DB631" s="126"/>
      <c r="DC631" s="126"/>
      <c r="DD631" s="126"/>
      <c r="DE631" s="856"/>
      <c r="DF631" s="856"/>
      <c r="DG631" s="856"/>
      <c r="DH631" s="856"/>
      <c r="DI631" s="856"/>
      <c r="DJ631" s="856"/>
      <c r="DK631" s="856"/>
      <c r="DL631" s="856"/>
      <c r="DM631" s="152"/>
      <c r="DN631" s="152"/>
      <c r="DO631" s="152"/>
      <c r="DP631" s="152"/>
      <c r="DQ631" s="152"/>
    </row>
    <row r="632" spans="1:121" s="35" customFormat="1" x14ac:dyDescent="0.2">
      <c r="A632" s="34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565"/>
      <c r="R632" s="1097"/>
      <c r="U632" s="39"/>
      <c r="CU632" s="875"/>
      <c r="CV632" s="875"/>
      <c r="CW632" s="875"/>
      <c r="CX632" s="856"/>
      <c r="CY632" s="856"/>
      <c r="CZ632" s="856"/>
      <c r="DA632" s="126"/>
      <c r="DB632" s="126"/>
      <c r="DC632" s="126"/>
      <c r="DD632" s="126"/>
      <c r="DE632" s="856"/>
      <c r="DF632" s="856"/>
      <c r="DG632" s="856"/>
      <c r="DH632" s="856"/>
      <c r="DI632" s="856"/>
      <c r="DJ632" s="856"/>
      <c r="DK632" s="856"/>
      <c r="DL632" s="856"/>
      <c r="DM632" s="152"/>
      <c r="DN632" s="152"/>
      <c r="DO632" s="152"/>
      <c r="DP632" s="152"/>
      <c r="DQ632" s="152"/>
    </row>
    <row r="633" spans="1:121" s="35" customFormat="1" x14ac:dyDescent="0.2">
      <c r="A633" s="34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565"/>
      <c r="R633" s="1097"/>
      <c r="U633" s="39"/>
      <c r="CU633" s="875"/>
      <c r="CV633" s="875"/>
      <c r="CW633" s="875"/>
      <c r="CX633" s="856"/>
      <c r="CY633" s="856"/>
      <c r="CZ633" s="856"/>
      <c r="DA633" s="126"/>
      <c r="DB633" s="126"/>
      <c r="DC633" s="126"/>
      <c r="DD633" s="126"/>
      <c r="DE633" s="856"/>
      <c r="DF633" s="856"/>
      <c r="DG633" s="856"/>
      <c r="DH633" s="856"/>
      <c r="DI633" s="856"/>
      <c r="DJ633" s="856"/>
      <c r="DK633" s="856"/>
      <c r="DL633" s="856"/>
      <c r="DM633" s="152"/>
      <c r="DN633" s="152"/>
      <c r="DO633" s="152"/>
      <c r="DP633" s="152"/>
      <c r="DQ633" s="152"/>
    </row>
    <row r="634" spans="1:121" s="35" customFormat="1" x14ac:dyDescent="0.2">
      <c r="A634" s="34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565"/>
      <c r="R634" s="1097"/>
      <c r="U634" s="39"/>
      <c r="CU634" s="875"/>
      <c r="CV634" s="875"/>
      <c r="CW634" s="875"/>
      <c r="CX634" s="856"/>
      <c r="CY634" s="856"/>
      <c r="CZ634" s="856"/>
      <c r="DA634" s="126"/>
      <c r="DB634" s="126"/>
      <c r="DC634" s="126"/>
      <c r="DD634" s="126"/>
      <c r="DE634" s="856"/>
      <c r="DF634" s="856"/>
      <c r="DG634" s="856"/>
      <c r="DH634" s="856"/>
      <c r="DI634" s="856"/>
      <c r="DJ634" s="856"/>
      <c r="DK634" s="856"/>
      <c r="DL634" s="856"/>
      <c r="DM634" s="152"/>
      <c r="DN634" s="152"/>
      <c r="DO634" s="152"/>
      <c r="DP634" s="152"/>
      <c r="DQ634" s="152"/>
    </row>
    <row r="635" spans="1:121" s="35" customFormat="1" x14ac:dyDescent="0.2">
      <c r="A635" s="34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565"/>
      <c r="R635" s="1097"/>
      <c r="U635" s="39"/>
      <c r="CU635" s="875"/>
      <c r="CV635" s="875"/>
      <c r="CW635" s="875"/>
      <c r="CX635" s="856"/>
      <c r="CY635" s="856"/>
      <c r="CZ635" s="856"/>
      <c r="DA635" s="126"/>
      <c r="DB635" s="126"/>
      <c r="DC635" s="126"/>
      <c r="DD635" s="126"/>
      <c r="DE635" s="856"/>
      <c r="DF635" s="856"/>
      <c r="DG635" s="856"/>
      <c r="DH635" s="856"/>
      <c r="DI635" s="856"/>
      <c r="DJ635" s="856"/>
      <c r="DK635" s="856"/>
      <c r="DL635" s="856"/>
      <c r="DM635" s="152"/>
      <c r="DN635" s="152"/>
      <c r="DO635" s="152"/>
      <c r="DP635" s="152"/>
      <c r="DQ635" s="152"/>
    </row>
    <row r="636" spans="1:121" s="35" customFormat="1" x14ac:dyDescent="0.2">
      <c r="A636" s="34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565"/>
      <c r="R636" s="1097"/>
      <c r="U636" s="39"/>
      <c r="CU636" s="875"/>
      <c r="CV636" s="875"/>
      <c r="CW636" s="875"/>
      <c r="CX636" s="856"/>
      <c r="CY636" s="856"/>
      <c r="CZ636" s="856"/>
      <c r="DA636" s="126"/>
      <c r="DB636" s="126"/>
      <c r="DC636" s="126"/>
      <c r="DD636" s="126"/>
      <c r="DE636" s="856"/>
      <c r="DF636" s="856"/>
      <c r="DG636" s="856"/>
      <c r="DH636" s="856"/>
      <c r="DI636" s="856"/>
      <c r="DJ636" s="856"/>
      <c r="DK636" s="856"/>
      <c r="DL636" s="856"/>
      <c r="DM636" s="152"/>
      <c r="DN636" s="152"/>
      <c r="DO636" s="152"/>
      <c r="DP636" s="152"/>
      <c r="DQ636" s="152"/>
    </row>
    <row r="637" spans="1:121" s="35" customFormat="1" x14ac:dyDescent="0.2">
      <c r="A637" s="34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565"/>
      <c r="R637" s="1097"/>
      <c r="U637" s="39"/>
      <c r="CU637" s="875"/>
      <c r="CV637" s="875"/>
      <c r="CW637" s="875"/>
      <c r="CX637" s="856"/>
      <c r="CY637" s="856"/>
      <c r="CZ637" s="856"/>
      <c r="DA637" s="126"/>
      <c r="DB637" s="126"/>
      <c r="DC637" s="126"/>
      <c r="DD637" s="126"/>
      <c r="DE637" s="856"/>
      <c r="DF637" s="856"/>
      <c r="DG637" s="856"/>
      <c r="DH637" s="856"/>
      <c r="DI637" s="856"/>
      <c r="DJ637" s="856"/>
      <c r="DK637" s="856"/>
      <c r="DL637" s="856"/>
      <c r="DM637" s="152"/>
      <c r="DN637" s="152"/>
      <c r="DO637" s="152"/>
      <c r="DP637" s="152"/>
      <c r="DQ637" s="152"/>
    </row>
    <row r="638" spans="1:121" s="35" customFormat="1" x14ac:dyDescent="0.2">
      <c r="A638" s="34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565"/>
      <c r="R638" s="1097"/>
      <c r="U638" s="39"/>
      <c r="CU638" s="875"/>
      <c r="CV638" s="875"/>
      <c r="CW638" s="875"/>
      <c r="CX638" s="856"/>
      <c r="CY638" s="856"/>
      <c r="CZ638" s="856"/>
      <c r="DA638" s="126"/>
      <c r="DB638" s="126"/>
      <c r="DC638" s="126"/>
      <c r="DD638" s="126"/>
      <c r="DE638" s="856"/>
      <c r="DF638" s="856"/>
      <c r="DG638" s="856"/>
      <c r="DH638" s="856"/>
      <c r="DI638" s="856"/>
      <c r="DJ638" s="856"/>
      <c r="DK638" s="856"/>
      <c r="DL638" s="856"/>
      <c r="DM638" s="152"/>
      <c r="DN638" s="152"/>
      <c r="DO638" s="152"/>
      <c r="DP638" s="152"/>
      <c r="DQ638" s="152"/>
    </row>
    <row r="639" spans="1:121" s="35" customFormat="1" x14ac:dyDescent="0.2">
      <c r="A639" s="34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565"/>
      <c r="R639" s="1097"/>
      <c r="U639" s="39"/>
      <c r="CU639" s="875"/>
      <c r="CV639" s="875"/>
      <c r="CW639" s="875"/>
      <c r="CX639" s="856"/>
      <c r="CY639" s="856"/>
      <c r="CZ639" s="856"/>
      <c r="DA639" s="126"/>
      <c r="DB639" s="126"/>
      <c r="DC639" s="126"/>
      <c r="DD639" s="126"/>
      <c r="DE639" s="856"/>
      <c r="DF639" s="856"/>
      <c r="DG639" s="856"/>
      <c r="DH639" s="856"/>
      <c r="DI639" s="856"/>
      <c r="DJ639" s="856"/>
      <c r="DK639" s="856"/>
      <c r="DL639" s="856"/>
      <c r="DM639" s="152"/>
      <c r="DN639" s="152"/>
      <c r="DO639" s="152"/>
      <c r="DP639" s="152"/>
      <c r="DQ639" s="152"/>
    </row>
    <row r="640" spans="1:121" s="35" customFormat="1" x14ac:dyDescent="0.2">
      <c r="A640" s="34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565"/>
      <c r="R640" s="1097"/>
      <c r="U640" s="39"/>
      <c r="CU640" s="875"/>
      <c r="CV640" s="875"/>
      <c r="CW640" s="875"/>
      <c r="CX640" s="856"/>
      <c r="CY640" s="856"/>
      <c r="CZ640" s="856"/>
      <c r="DA640" s="126"/>
      <c r="DB640" s="126"/>
      <c r="DC640" s="126"/>
      <c r="DD640" s="126"/>
      <c r="DE640" s="856"/>
      <c r="DF640" s="856"/>
      <c r="DG640" s="856"/>
      <c r="DH640" s="856"/>
      <c r="DI640" s="856"/>
      <c r="DJ640" s="856"/>
      <c r="DK640" s="856"/>
      <c r="DL640" s="856"/>
      <c r="DM640" s="152"/>
      <c r="DN640" s="152"/>
      <c r="DO640" s="152"/>
      <c r="DP640" s="152"/>
      <c r="DQ640" s="152"/>
    </row>
    <row r="641" spans="1:121" s="35" customFormat="1" x14ac:dyDescent="0.2">
      <c r="A641" s="34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565"/>
      <c r="R641" s="1097"/>
      <c r="U641" s="39"/>
      <c r="CU641" s="875"/>
      <c r="CV641" s="875"/>
      <c r="CW641" s="875"/>
      <c r="CX641" s="856"/>
      <c r="CY641" s="856"/>
      <c r="CZ641" s="856"/>
      <c r="DA641" s="126"/>
      <c r="DB641" s="126"/>
      <c r="DC641" s="126"/>
      <c r="DD641" s="126"/>
      <c r="DE641" s="856"/>
      <c r="DF641" s="856"/>
      <c r="DG641" s="856"/>
      <c r="DH641" s="856"/>
      <c r="DI641" s="856"/>
      <c r="DJ641" s="856"/>
      <c r="DK641" s="856"/>
      <c r="DL641" s="856"/>
      <c r="DM641" s="152"/>
      <c r="DN641" s="152"/>
      <c r="DO641" s="152"/>
      <c r="DP641" s="152"/>
      <c r="DQ641" s="152"/>
    </row>
    <row r="642" spans="1:121" s="35" customFormat="1" x14ac:dyDescent="0.2">
      <c r="A642" s="34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565"/>
      <c r="R642" s="1097"/>
      <c r="U642" s="39"/>
      <c r="CU642" s="875"/>
      <c r="CV642" s="875"/>
      <c r="CW642" s="875"/>
      <c r="CX642" s="856"/>
      <c r="CY642" s="856"/>
      <c r="CZ642" s="856"/>
      <c r="DA642" s="126"/>
      <c r="DB642" s="126"/>
      <c r="DC642" s="126"/>
      <c r="DD642" s="126"/>
      <c r="DE642" s="856"/>
      <c r="DF642" s="856"/>
      <c r="DG642" s="856"/>
      <c r="DH642" s="856"/>
      <c r="DI642" s="856"/>
      <c r="DJ642" s="856"/>
      <c r="DK642" s="856"/>
      <c r="DL642" s="856"/>
      <c r="DM642" s="152"/>
      <c r="DN642" s="152"/>
      <c r="DO642" s="152"/>
      <c r="DP642" s="152"/>
      <c r="DQ642" s="152"/>
    </row>
    <row r="643" spans="1:121" s="35" customFormat="1" x14ac:dyDescent="0.2">
      <c r="A643" s="34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565"/>
      <c r="R643" s="1097"/>
      <c r="U643" s="39"/>
      <c r="CU643" s="875"/>
      <c r="CV643" s="875"/>
      <c r="CW643" s="875"/>
      <c r="CX643" s="856"/>
      <c r="CY643" s="856"/>
      <c r="CZ643" s="856"/>
      <c r="DA643" s="126"/>
      <c r="DB643" s="126"/>
      <c r="DC643" s="126"/>
      <c r="DD643" s="126"/>
      <c r="DE643" s="856"/>
      <c r="DF643" s="856"/>
      <c r="DG643" s="856"/>
      <c r="DH643" s="856"/>
      <c r="DI643" s="856"/>
      <c r="DJ643" s="856"/>
      <c r="DK643" s="856"/>
      <c r="DL643" s="856"/>
      <c r="DM643" s="152"/>
      <c r="DN643" s="152"/>
      <c r="DO643" s="152"/>
      <c r="DP643" s="152"/>
      <c r="DQ643" s="152"/>
    </row>
    <row r="644" spans="1:121" s="35" customFormat="1" x14ac:dyDescent="0.2">
      <c r="A644" s="34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565"/>
      <c r="R644" s="1097"/>
      <c r="U644" s="39"/>
      <c r="CU644" s="875"/>
      <c r="CV644" s="875"/>
      <c r="CW644" s="875"/>
      <c r="CX644" s="856"/>
      <c r="CY644" s="856"/>
      <c r="CZ644" s="856"/>
      <c r="DA644" s="126"/>
      <c r="DB644" s="126"/>
      <c r="DC644" s="126"/>
      <c r="DD644" s="126"/>
      <c r="DE644" s="856"/>
      <c r="DF644" s="856"/>
      <c r="DG644" s="856"/>
      <c r="DH644" s="856"/>
      <c r="DI644" s="856"/>
      <c r="DJ644" s="856"/>
      <c r="DK644" s="856"/>
      <c r="DL644" s="856"/>
      <c r="DM644" s="152"/>
      <c r="DN644" s="152"/>
      <c r="DO644" s="152"/>
      <c r="DP644" s="152"/>
      <c r="DQ644" s="152"/>
    </row>
    <row r="645" spans="1:121" s="35" customFormat="1" x14ac:dyDescent="0.2">
      <c r="A645" s="34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565"/>
      <c r="R645" s="1097"/>
      <c r="U645" s="39"/>
      <c r="CU645" s="875"/>
      <c r="CV645" s="875"/>
      <c r="CW645" s="875"/>
      <c r="CX645" s="856"/>
      <c r="CY645" s="856"/>
      <c r="CZ645" s="856"/>
      <c r="DA645" s="126"/>
      <c r="DB645" s="126"/>
      <c r="DC645" s="126"/>
      <c r="DD645" s="126"/>
      <c r="DE645" s="856"/>
      <c r="DF645" s="856"/>
      <c r="DG645" s="856"/>
      <c r="DH645" s="856"/>
      <c r="DI645" s="856"/>
      <c r="DJ645" s="856"/>
      <c r="DK645" s="856"/>
      <c r="DL645" s="856"/>
      <c r="DM645" s="152"/>
      <c r="DN645" s="152"/>
      <c r="DO645" s="152"/>
      <c r="DP645" s="152"/>
      <c r="DQ645" s="152"/>
    </row>
    <row r="646" spans="1:121" s="35" customFormat="1" x14ac:dyDescent="0.2">
      <c r="A646" s="34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565"/>
      <c r="R646" s="1097"/>
      <c r="U646" s="39"/>
      <c r="CU646" s="875"/>
      <c r="CV646" s="875"/>
      <c r="CW646" s="875"/>
      <c r="CX646" s="856"/>
      <c r="CY646" s="856"/>
      <c r="CZ646" s="856"/>
      <c r="DA646" s="126"/>
      <c r="DB646" s="126"/>
      <c r="DC646" s="126"/>
      <c r="DD646" s="126"/>
      <c r="DE646" s="856"/>
      <c r="DF646" s="856"/>
      <c r="DG646" s="856"/>
      <c r="DH646" s="856"/>
      <c r="DI646" s="856"/>
      <c r="DJ646" s="856"/>
      <c r="DK646" s="856"/>
      <c r="DL646" s="856"/>
      <c r="DM646" s="152"/>
      <c r="DN646" s="152"/>
      <c r="DO646" s="152"/>
      <c r="DP646" s="152"/>
      <c r="DQ646" s="152"/>
    </row>
    <row r="647" spans="1:121" s="35" customFormat="1" x14ac:dyDescent="0.2">
      <c r="A647" s="34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565"/>
      <c r="R647" s="1097"/>
      <c r="U647" s="39"/>
      <c r="CU647" s="875"/>
      <c r="CV647" s="875"/>
      <c r="CW647" s="875"/>
      <c r="CX647" s="856"/>
      <c r="CY647" s="856"/>
      <c r="CZ647" s="856"/>
      <c r="DA647" s="126"/>
      <c r="DB647" s="126"/>
      <c r="DC647" s="126"/>
      <c r="DD647" s="126"/>
      <c r="DE647" s="856"/>
      <c r="DF647" s="856"/>
      <c r="DG647" s="856"/>
      <c r="DH647" s="856"/>
      <c r="DI647" s="856"/>
      <c r="DJ647" s="856"/>
      <c r="DK647" s="856"/>
      <c r="DL647" s="856"/>
      <c r="DM647" s="152"/>
      <c r="DN647" s="152"/>
      <c r="DO647" s="152"/>
      <c r="DP647" s="152"/>
      <c r="DQ647" s="152"/>
    </row>
    <row r="648" spans="1:121" s="35" customFormat="1" x14ac:dyDescent="0.2">
      <c r="A648" s="34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565"/>
      <c r="R648" s="1097"/>
      <c r="U648" s="39"/>
      <c r="CU648" s="875"/>
      <c r="CV648" s="875"/>
      <c r="CW648" s="875"/>
      <c r="CX648" s="856"/>
      <c r="CY648" s="856"/>
      <c r="CZ648" s="856"/>
      <c r="DA648" s="126"/>
      <c r="DB648" s="126"/>
      <c r="DC648" s="126"/>
      <c r="DD648" s="126"/>
      <c r="DE648" s="856"/>
      <c r="DF648" s="856"/>
      <c r="DG648" s="856"/>
      <c r="DH648" s="856"/>
      <c r="DI648" s="856"/>
      <c r="DJ648" s="856"/>
      <c r="DK648" s="856"/>
      <c r="DL648" s="856"/>
      <c r="DM648" s="152"/>
      <c r="DN648" s="152"/>
      <c r="DO648" s="152"/>
      <c r="DP648" s="152"/>
      <c r="DQ648" s="152"/>
    </row>
    <row r="649" spans="1:121" s="35" customFormat="1" x14ac:dyDescent="0.2">
      <c r="A649" s="34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565"/>
      <c r="R649" s="1097"/>
      <c r="U649" s="39"/>
      <c r="CU649" s="875"/>
      <c r="CV649" s="875"/>
      <c r="CW649" s="875"/>
      <c r="CX649" s="856"/>
      <c r="CY649" s="856"/>
      <c r="CZ649" s="856"/>
      <c r="DA649" s="126"/>
      <c r="DB649" s="126"/>
      <c r="DC649" s="126"/>
      <c r="DD649" s="126"/>
      <c r="DE649" s="856"/>
      <c r="DF649" s="856"/>
      <c r="DG649" s="856"/>
      <c r="DH649" s="856"/>
      <c r="DI649" s="856"/>
      <c r="DJ649" s="856"/>
      <c r="DK649" s="856"/>
      <c r="DL649" s="856"/>
      <c r="DM649" s="152"/>
      <c r="DN649" s="152"/>
      <c r="DO649" s="152"/>
      <c r="DP649" s="152"/>
      <c r="DQ649" s="152"/>
    </row>
    <row r="650" spans="1:121" s="35" customFormat="1" x14ac:dyDescent="0.2">
      <c r="A650" s="34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565"/>
      <c r="R650" s="1097"/>
      <c r="U650" s="39"/>
      <c r="CU650" s="875"/>
      <c r="CV650" s="875"/>
      <c r="CW650" s="875"/>
      <c r="CX650" s="856"/>
      <c r="CY650" s="856"/>
      <c r="CZ650" s="856"/>
      <c r="DA650" s="126"/>
      <c r="DB650" s="126"/>
      <c r="DC650" s="126"/>
      <c r="DD650" s="126"/>
      <c r="DE650" s="856"/>
      <c r="DF650" s="856"/>
      <c r="DG650" s="856"/>
      <c r="DH650" s="856"/>
      <c r="DI650" s="856"/>
      <c r="DJ650" s="856"/>
      <c r="DK650" s="856"/>
      <c r="DL650" s="856"/>
      <c r="DM650" s="152"/>
      <c r="DN650" s="152"/>
      <c r="DO650" s="152"/>
      <c r="DP650" s="152"/>
      <c r="DQ650" s="152"/>
    </row>
    <row r="651" spans="1:121" s="35" customFormat="1" x14ac:dyDescent="0.2">
      <c r="A651" s="34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565"/>
      <c r="R651" s="1097"/>
      <c r="U651" s="39"/>
      <c r="CU651" s="875"/>
      <c r="CV651" s="875"/>
      <c r="CW651" s="875"/>
      <c r="CX651" s="856"/>
      <c r="CY651" s="856"/>
      <c r="CZ651" s="856"/>
      <c r="DA651" s="126"/>
      <c r="DB651" s="126"/>
      <c r="DC651" s="126"/>
      <c r="DD651" s="126"/>
      <c r="DE651" s="856"/>
      <c r="DF651" s="856"/>
      <c r="DG651" s="856"/>
      <c r="DH651" s="856"/>
      <c r="DI651" s="856"/>
      <c r="DJ651" s="856"/>
      <c r="DK651" s="856"/>
      <c r="DL651" s="856"/>
      <c r="DM651" s="152"/>
      <c r="DN651" s="152"/>
      <c r="DO651" s="152"/>
      <c r="DP651" s="152"/>
      <c r="DQ651" s="152"/>
    </row>
    <row r="652" spans="1:121" s="35" customFormat="1" x14ac:dyDescent="0.2">
      <c r="A652" s="34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565"/>
      <c r="R652" s="1097"/>
      <c r="U652" s="39"/>
      <c r="CU652" s="875"/>
      <c r="CV652" s="875"/>
      <c r="CW652" s="875"/>
      <c r="CX652" s="856"/>
      <c r="CY652" s="856"/>
      <c r="CZ652" s="856"/>
      <c r="DA652" s="126"/>
      <c r="DB652" s="126"/>
      <c r="DC652" s="126"/>
      <c r="DD652" s="126"/>
      <c r="DE652" s="856"/>
      <c r="DF652" s="856"/>
      <c r="DG652" s="856"/>
      <c r="DH652" s="856"/>
      <c r="DI652" s="856"/>
      <c r="DJ652" s="856"/>
      <c r="DK652" s="856"/>
      <c r="DL652" s="856"/>
      <c r="DM652" s="152"/>
      <c r="DN652" s="152"/>
      <c r="DO652" s="152"/>
      <c r="DP652" s="152"/>
      <c r="DQ652" s="152"/>
    </row>
    <row r="653" spans="1:121" s="35" customFormat="1" x14ac:dyDescent="0.2">
      <c r="A653" s="34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565"/>
      <c r="R653" s="1097"/>
      <c r="U653" s="39"/>
      <c r="CU653" s="875"/>
      <c r="CV653" s="875"/>
      <c r="CW653" s="875"/>
      <c r="CX653" s="856"/>
      <c r="CY653" s="856"/>
      <c r="CZ653" s="856"/>
      <c r="DA653" s="126"/>
      <c r="DB653" s="126"/>
      <c r="DC653" s="126"/>
      <c r="DD653" s="126"/>
      <c r="DE653" s="856"/>
      <c r="DF653" s="856"/>
      <c r="DG653" s="856"/>
      <c r="DH653" s="856"/>
      <c r="DI653" s="856"/>
      <c r="DJ653" s="856"/>
      <c r="DK653" s="856"/>
      <c r="DL653" s="856"/>
      <c r="DM653" s="152"/>
      <c r="DN653" s="152"/>
      <c r="DO653" s="152"/>
      <c r="DP653" s="152"/>
      <c r="DQ653" s="152"/>
    </row>
    <row r="654" spans="1:121" s="35" customFormat="1" x14ac:dyDescent="0.2">
      <c r="A654" s="34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565"/>
      <c r="R654" s="1097"/>
      <c r="U654" s="39"/>
      <c r="CU654" s="875"/>
      <c r="CV654" s="875"/>
      <c r="CW654" s="875"/>
      <c r="CX654" s="856"/>
      <c r="CY654" s="856"/>
      <c r="CZ654" s="856"/>
      <c r="DA654" s="126"/>
      <c r="DB654" s="126"/>
      <c r="DC654" s="126"/>
      <c r="DD654" s="126"/>
      <c r="DE654" s="856"/>
      <c r="DF654" s="856"/>
      <c r="DG654" s="856"/>
      <c r="DH654" s="856"/>
      <c r="DI654" s="856"/>
      <c r="DJ654" s="856"/>
      <c r="DK654" s="856"/>
      <c r="DL654" s="856"/>
      <c r="DM654" s="152"/>
      <c r="DN654" s="152"/>
      <c r="DO654" s="152"/>
      <c r="DP654" s="152"/>
      <c r="DQ654" s="152"/>
    </row>
    <row r="655" spans="1:121" s="35" customFormat="1" x14ac:dyDescent="0.2">
      <c r="A655" s="34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565"/>
      <c r="R655" s="1097"/>
      <c r="U655" s="39"/>
      <c r="CU655" s="875"/>
      <c r="CV655" s="875"/>
      <c r="CW655" s="875"/>
      <c r="CX655" s="856"/>
      <c r="CY655" s="856"/>
      <c r="CZ655" s="856"/>
      <c r="DA655" s="126"/>
      <c r="DB655" s="126"/>
      <c r="DC655" s="126"/>
      <c r="DD655" s="126"/>
      <c r="DE655" s="856"/>
      <c r="DF655" s="856"/>
      <c r="DG655" s="856"/>
      <c r="DH655" s="856"/>
      <c r="DI655" s="856"/>
      <c r="DJ655" s="856"/>
      <c r="DK655" s="856"/>
      <c r="DL655" s="856"/>
      <c r="DM655" s="152"/>
      <c r="DN655" s="152"/>
      <c r="DO655" s="152"/>
      <c r="DP655" s="152"/>
      <c r="DQ655" s="152"/>
    </row>
    <row r="656" spans="1:121" s="35" customFormat="1" x14ac:dyDescent="0.2">
      <c r="A656" s="34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565"/>
      <c r="R656" s="1097"/>
      <c r="U656" s="39"/>
      <c r="CU656" s="875"/>
      <c r="CV656" s="875"/>
      <c r="CW656" s="875"/>
      <c r="CX656" s="856"/>
      <c r="CY656" s="856"/>
      <c r="CZ656" s="856"/>
      <c r="DA656" s="126"/>
      <c r="DB656" s="126"/>
      <c r="DC656" s="126"/>
      <c r="DD656" s="126"/>
      <c r="DE656" s="856"/>
      <c r="DF656" s="856"/>
      <c r="DG656" s="856"/>
      <c r="DH656" s="856"/>
      <c r="DI656" s="856"/>
      <c r="DJ656" s="856"/>
      <c r="DK656" s="856"/>
      <c r="DL656" s="856"/>
      <c r="DM656" s="152"/>
      <c r="DN656" s="152"/>
      <c r="DO656" s="152"/>
      <c r="DP656" s="152"/>
      <c r="DQ656" s="152"/>
    </row>
    <row r="657" spans="1:121" s="35" customFormat="1" x14ac:dyDescent="0.2">
      <c r="A657" s="34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565"/>
      <c r="R657" s="1097"/>
      <c r="U657" s="39"/>
      <c r="CU657" s="875"/>
      <c r="CV657" s="875"/>
      <c r="CW657" s="875"/>
      <c r="CX657" s="856"/>
      <c r="CY657" s="856"/>
      <c r="CZ657" s="856"/>
      <c r="DA657" s="126"/>
      <c r="DB657" s="126"/>
      <c r="DC657" s="126"/>
      <c r="DD657" s="126"/>
      <c r="DE657" s="856"/>
      <c r="DF657" s="856"/>
      <c r="DG657" s="856"/>
      <c r="DH657" s="856"/>
      <c r="DI657" s="856"/>
      <c r="DJ657" s="856"/>
      <c r="DK657" s="856"/>
      <c r="DL657" s="856"/>
      <c r="DM657" s="152"/>
      <c r="DN657" s="152"/>
      <c r="DO657" s="152"/>
      <c r="DP657" s="152"/>
      <c r="DQ657" s="152"/>
    </row>
    <row r="658" spans="1:121" s="35" customFormat="1" x14ac:dyDescent="0.2">
      <c r="A658" s="34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565"/>
      <c r="R658" s="1097"/>
      <c r="U658" s="39"/>
      <c r="CU658" s="875"/>
      <c r="CV658" s="875"/>
      <c r="CW658" s="875"/>
      <c r="CX658" s="856"/>
      <c r="CY658" s="856"/>
      <c r="CZ658" s="856"/>
      <c r="DA658" s="126"/>
      <c r="DB658" s="126"/>
      <c r="DC658" s="126"/>
      <c r="DD658" s="126"/>
      <c r="DE658" s="856"/>
      <c r="DF658" s="856"/>
      <c r="DG658" s="856"/>
      <c r="DH658" s="856"/>
      <c r="DI658" s="856"/>
      <c r="DJ658" s="856"/>
      <c r="DK658" s="856"/>
      <c r="DL658" s="856"/>
      <c r="DM658" s="152"/>
      <c r="DN658" s="152"/>
      <c r="DO658" s="152"/>
      <c r="DP658" s="152"/>
      <c r="DQ658" s="152"/>
    </row>
    <row r="659" spans="1:121" s="35" customFormat="1" x14ac:dyDescent="0.2">
      <c r="A659" s="34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565"/>
      <c r="R659" s="1097"/>
      <c r="U659" s="39"/>
      <c r="CU659" s="875"/>
      <c r="CV659" s="875"/>
      <c r="CW659" s="875"/>
      <c r="CX659" s="856"/>
      <c r="CY659" s="856"/>
      <c r="CZ659" s="856"/>
      <c r="DA659" s="126"/>
      <c r="DB659" s="126"/>
      <c r="DC659" s="126"/>
      <c r="DD659" s="126"/>
      <c r="DE659" s="856"/>
      <c r="DF659" s="856"/>
      <c r="DG659" s="856"/>
      <c r="DH659" s="856"/>
      <c r="DI659" s="856"/>
      <c r="DJ659" s="856"/>
      <c r="DK659" s="856"/>
      <c r="DL659" s="856"/>
      <c r="DM659" s="152"/>
      <c r="DN659" s="152"/>
      <c r="DO659" s="152"/>
      <c r="DP659" s="152"/>
      <c r="DQ659" s="152"/>
    </row>
    <row r="660" spans="1:121" s="35" customFormat="1" x14ac:dyDescent="0.2">
      <c r="A660" s="34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565"/>
      <c r="R660" s="1097"/>
      <c r="U660" s="39"/>
      <c r="CU660" s="875"/>
      <c r="CV660" s="875"/>
      <c r="CW660" s="875"/>
      <c r="CX660" s="856"/>
      <c r="CY660" s="856"/>
      <c r="CZ660" s="856"/>
      <c r="DA660" s="126"/>
      <c r="DB660" s="126"/>
      <c r="DC660" s="126"/>
      <c r="DD660" s="126"/>
      <c r="DE660" s="856"/>
      <c r="DF660" s="856"/>
      <c r="DG660" s="856"/>
      <c r="DH660" s="856"/>
      <c r="DI660" s="856"/>
      <c r="DJ660" s="856"/>
      <c r="DK660" s="856"/>
      <c r="DL660" s="856"/>
      <c r="DM660" s="152"/>
      <c r="DN660" s="152"/>
      <c r="DO660" s="152"/>
      <c r="DP660" s="152"/>
      <c r="DQ660" s="152"/>
    </row>
    <row r="661" spans="1:121" s="35" customFormat="1" x14ac:dyDescent="0.2">
      <c r="A661" s="34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565"/>
      <c r="R661" s="1097"/>
      <c r="U661" s="39"/>
      <c r="CU661" s="875"/>
      <c r="CV661" s="875"/>
      <c r="CW661" s="875"/>
      <c r="CX661" s="856"/>
      <c r="CY661" s="856"/>
      <c r="CZ661" s="856"/>
      <c r="DA661" s="126"/>
      <c r="DB661" s="126"/>
      <c r="DC661" s="126"/>
      <c r="DD661" s="126"/>
      <c r="DE661" s="856"/>
      <c r="DF661" s="856"/>
      <c r="DG661" s="856"/>
      <c r="DH661" s="856"/>
      <c r="DI661" s="856"/>
      <c r="DJ661" s="856"/>
      <c r="DK661" s="856"/>
      <c r="DL661" s="856"/>
      <c r="DM661" s="152"/>
      <c r="DN661" s="152"/>
      <c r="DO661" s="152"/>
      <c r="DP661" s="152"/>
      <c r="DQ661" s="152"/>
    </row>
    <row r="662" spans="1:121" s="35" customFormat="1" x14ac:dyDescent="0.2">
      <c r="A662" s="34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565"/>
      <c r="R662" s="1097"/>
      <c r="U662" s="39"/>
      <c r="CU662" s="875"/>
      <c r="CV662" s="875"/>
      <c r="CW662" s="875"/>
      <c r="CX662" s="856"/>
      <c r="CY662" s="856"/>
      <c r="CZ662" s="856"/>
      <c r="DA662" s="126"/>
      <c r="DB662" s="126"/>
      <c r="DC662" s="126"/>
      <c r="DD662" s="126"/>
      <c r="DE662" s="856"/>
      <c r="DF662" s="856"/>
      <c r="DG662" s="856"/>
      <c r="DH662" s="856"/>
      <c r="DI662" s="856"/>
      <c r="DJ662" s="856"/>
      <c r="DK662" s="856"/>
      <c r="DL662" s="856"/>
      <c r="DM662" s="152"/>
      <c r="DN662" s="152"/>
      <c r="DO662" s="152"/>
      <c r="DP662" s="152"/>
      <c r="DQ662" s="152"/>
    </row>
    <row r="663" spans="1:121" s="35" customFormat="1" x14ac:dyDescent="0.2">
      <c r="A663" s="34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565"/>
      <c r="R663" s="1097"/>
      <c r="U663" s="39"/>
      <c r="CU663" s="875"/>
      <c r="CV663" s="875"/>
      <c r="CW663" s="875"/>
      <c r="CX663" s="856"/>
      <c r="CY663" s="856"/>
      <c r="CZ663" s="856"/>
      <c r="DA663" s="126"/>
      <c r="DB663" s="126"/>
      <c r="DC663" s="126"/>
      <c r="DD663" s="126"/>
      <c r="DE663" s="856"/>
      <c r="DF663" s="856"/>
      <c r="DG663" s="856"/>
      <c r="DH663" s="856"/>
      <c r="DI663" s="856"/>
      <c r="DJ663" s="856"/>
      <c r="DK663" s="856"/>
      <c r="DL663" s="856"/>
      <c r="DM663" s="152"/>
      <c r="DN663" s="152"/>
      <c r="DO663" s="152"/>
      <c r="DP663" s="152"/>
      <c r="DQ663" s="152"/>
    </row>
    <row r="664" spans="1:121" s="35" customFormat="1" x14ac:dyDescent="0.2">
      <c r="A664" s="34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565"/>
      <c r="R664" s="1097"/>
      <c r="U664" s="39"/>
      <c r="CU664" s="875"/>
      <c r="CV664" s="875"/>
      <c r="CW664" s="875"/>
      <c r="CX664" s="856"/>
      <c r="CY664" s="856"/>
      <c r="CZ664" s="856"/>
      <c r="DA664" s="126"/>
      <c r="DB664" s="126"/>
      <c r="DC664" s="126"/>
      <c r="DD664" s="126"/>
      <c r="DE664" s="856"/>
      <c r="DF664" s="856"/>
      <c r="DG664" s="856"/>
      <c r="DH664" s="856"/>
      <c r="DI664" s="856"/>
      <c r="DJ664" s="856"/>
      <c r="DK664" s="856"/>
      <c r="DL664" s="856"/>
      <c r="DM664" s="152"/>
      <c r="DN664" s="152"/>
      <c r="DO664" s="152"/>
      <c r="DP664" s="152"/>
      <c r="DQ664" s="152"/>
    </row>
    <row r="665" spans="1:121" s="35" customFormat="1" x14ac:dyDescent="0.2">
      <c r="A665" s="34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565"/>
      <c r="R665" s="1097"/>
      <c r="U665" s="39"/>
      <c r="CU665" s="875"/>
      <c r="CV665" s="875"/>
      <c r="CW665" s="875"/>
      <c r="CX665" s="856"/>
      <c r="CY665" s="856"/>
      <c r="CZ665" s="856"/>
      <c r="DA665" s="126"/>
      <c r="DB665" s="126"/>
      <c r="DC665" s="126"/>
      <c r="DD665" s="126"/>
      <c r="DE665" s="856"/>
      <c r="DF665" s="856"/>
      <c r="DG665" s="856"/>
      <c r="DH665" s="856"/>
      <c r="DI665" s="856"/>
      <c r="DJ665" s="856"/>
      <c r="DK665" s="856"/>
      <c r="DL665" s="856"/>
      <c r="DM665" s="152"/>
      <c r="DN665" s="152"/>
      <c r="DO665" s="152"/>
      <c r="DP665" s="152"/>
      <c r="DQ665" s="152"/>
    </row>
    <row r="666" spans="1:121" s="35" customFormat="1" x14ac:dyDescent="0.2">
      <c r="A666" s="34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565"/>
      <c r="R666" s="1097"/>
      <c r="U666" s="39"/>
      <c r="CU666" s="875"/>
      <c r="CV666" s="875"/>
      <c r="CW666" s="875"/>
      <c r="CX666" s="856"/>
      <c r="CY666" s="856"/>
      <c r="CZ666" s="856"/>
      <c r="DA666" s="126"/>
      <c r="DB666" s="126"/>
      <c r="DC666" s="126"/>
      <c r="DD666" s="126"/>
      <c r="DE666" s="856"/>
      <c r="DF666" s="856"/>
      <c r="DG666" s="856"/>
      <c r="DH666" s="856"/>
      <c r="DI666" s="856"/>
      <c r="DJ666" s="856"/>
      <c r="DK666" s="856"/>
      <c r="DL666" s="856"/>
      <c r="DM666" s="152"/>
      <c r="DN666" s="152"/>
      <c r="DO666" s="152"/>
      <c r="DP666" s="152"/>
      <c r="DQ666" s="152"/>
    </row>
    <row r="667" spans="1:121" s="35" customFormat="1" x14ac:dyDescent="0.2">
      <c r="A667" s="34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565"/>
      <c r="R667" s="1097"/>
      <c r="U667" s="39"/>
      <c r="CU667" s="875"/>
      <c r="CV667" s="875"/>
      <c r="CW667" s="875"/>
      <c r="CX667" s="856"/>
      <c r="CY667" s="856"/>
      <c r="CZ667" s="856"/>
      <c r="DA667" s="126"/>
      <c r="DB667" s="126"/>
      <c r="DC667" s="126"/>
      <c r="DD667" s="126"/>
      <c r="DE667" s="856"/>
      <c r="DF667" s="856"/>
      <c r="DG667" s="856"/>
      <c r="DH667" s="856"/>
      <c r="DI667" s="856"/>
      <c r="DJ667" s="856"/>
      <c r="DK667" s="856"/>
      <c r="DL667" s="856"/>
      <c r="DM667" s="152"/>
      <c r="DN667" s="152"/>
      <c r="DO667" s="152"/>
      <c r="DP667" s="152"/>
      <c r="DQ667" s="152"/>
    </row>
    <row r="668" spans="1:121" s="35" customFormat="1" x14ac:dyDescent="0.2">
      <c r="A668" s="34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565"/>
      <c r="R668" s="1097"/>
      <c r="U668" s="39"/>
      <c r="CU668" s="875"/>
      <c r="CV668" s="875"/>
      <c r="CW668" s="875"/>
      <c r="CX668" s="856"/>
      <c r="CY668" s="856"/>
      <c r="CZ668" s="856"/>
      <c r="DA668" s="126"/>
      <c r="DB668" s="126"/>
      <c r="DC668" s="126"/>
      <c r="DD668" s="126"/>
      <c r="DE668" s="856"/>
      <c r="DF668" s="856"/>
      <c r="DG668" s="856"/>
      <c r="DH668" s="856"/>
      <c r="DI668" s="856"/>
      <c r="DJ668" s="856"/>
      <c r="DK668" s="856"/>
      <c r="DL668" s="856"/>
      <c r="DM668" s="152"/>
      <c r="DN668" s="152"/>
      <c r="DO668" s="152"/>
      <c r="DP668" s="152"/>
      <c r="DQ668" s="152"/>
    </row>
    <row r="669" spans="1:121" s="35" customFormat="1" x14ac:dyDescent="0.2">
      <c r="A669" s="34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565"/>
      <c r="R669" s="1097"/>
      <c r="U669" s="39"/>
      <c r="CU669" s="875"/>
      <c r="CV669" s="875"/>
      <c r="CW669" s="875"/>
      <c r="CX669" s="856"/>
      <c r="CY669" s="856"/>
      <c r="CZ669" s="856"/>
      <c r="DA669" s="126"/>
      <c r="DB669" s="126"/>
      <c r="DC669" s="126"/>
      <c r="DD669" s="126"/>
      <c r="DE669" s="856"/>
      <c r="DF669" s="856"/>
      <c r="DG669" s="856"/>
      <c r="DH669" s="856"/>
      <c r="DI669" s="856"/>
      <c r="DJ669" s="856"/>
      <c r="DK669" s="856"/>
      <c r="DL669" s="856"/>
      <c r="DM669" s="152"/>
      <c r="DN669" s="152"/>
      <c r="DO669" s="152"/>
      <c r="DP669" s="152"/>
      <c r="DQ669" s="152"/>
    </row>
    <row r="670" spans="1:121" s="35" customFormat="1" x14ac:dyDescent="0.2">
      <c r="A670" s="34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565"/>
      <c r="R670" s="1097"/>
      <c r="U670" s="39"/>
      <c r="CU670" s="875"/>
      <c r="CV670" s="875"/>
      <c r="CW670" s="875"/>
      <c r="CX670" s="856"/>
      <c r="CY670" s="856"/>
      <c r="CZ670" s="856"/>
      <c r="DA670" s="126"/>
      <c r="DB670" s="126"/>
      <c r="DC670" s="126"/>
      <c r="DD670" s="126"/>
      <c r="DE670" s="856"/>
      <c r="DF670" s="856"/>
      <c r="DG670" s="856"/>
      <c r="DH670" s="856"/>
      <c r="DI670" s="856"/>
      <c r="DJ670" s="856"/>
      <c r="DK670" s="856"/>
      <c r="DL670" s="856"/>
      <c r="DM670" s="152"/>
      <c r="DN670" s="152"/>
      <c r="DO670" s="152"/>
      <c r="DP670" s="152"/>
      <c r="DQ670" s="152"/>
    </row>
    <row r="671" spans="1:121" s="35" customFormat="1" x14ac:dyDescent="0.2">
      <c r="A671" s="34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565"/>
      <c r="R671" s="1097"/>
      <c r="U671" s="39"/>
      <c r="CU671" s="875"/>
      <c r="CV671" s="875"/>
      <c r="CW671" s="875"/>
      <c r="CX671" s="856"/>
      <c r="CY671" s="856"/>
      <c r="CZ671" s="856"/>
      <c r="DA671" s="126"/>
      <c r="DB671" s="126"/>
      <c r="DC671" s="126"/>
      <c r="DD671" s="126"/>
      <c r="DE671" s="856"/>
      <c r="DF671" s="856"/>
      <c r="DG671" s="856"/>
      <c r="DH671" s="856"/>
      <c r="DI671" s="856"/>
      <c r="DJ671" s="856"/>
      <c r="DK671" s="856"/>
      <c r="DL671" s="856"/>
      <c r="DM671" s="152"/>
      <c r="DN671" s="152"/>
      <c r="DO671" s="152"/>
      <c r="DP671" s="152"/>
      <c r="DQ671" s="152"/>
    </row>
    <row r="672" spans="1:121" s="35" customFormat="1" x14ac:dyDescent="0.2">
      <c r="A672" s="34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565"/>
      <c r="R672" s="1097"/>
      <c r="U672" s="39"/>
      <c r="CU672" s="875"/>
      <c r="CV672" s="875"/>
      <c r="CW672" s="875"/>
      <c r="CX672" s="856"/>
      <c r="CY672" s="856"/>
      <c r="CZ672" s="856"/>
      <c r="DA672" s="126"/>
      <c r="DB672" s="126"/>
      <c r="DC672" s="126"/>
      <c r="DD672" s="126"/>
      <c r="DE672" s="856"/>
      <c r="DF672" s="856"/>
      <c r="DG672" s="856"/>
      <c r="DH672" s="856"/>
      <c r="DI672" s="856"/>
      <c r="DJ672" s="856"/>
      <c r="DK672" s="856"/>
      <c r="DL672" s="856"/>
      <c r="DM672" s="152"/>
      <c r="DN672" s="152"/>
      <c r="DO672" s="152"/>
      <c r="DP672" s="152"/>
      <c r="DQ672" s="152"/>
    </row>
    <row r="673" spans="1:121" s="35" customFormat="1" x14ac:dyDescent="0.2">
      <c r="A673" s="34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565"/>
      <c r="R673" s="1097"/>
      <c r="U673" s="39"/>
      <c r="CU673" s="875"/>
      <c r="CV673" s="875"/>
      <c r="CW673" s="875"/>
      <c r="CX673" s="856"/>
      <c r="CY673" s="856"/>
      <c r="CZ673" s="856"/>
      <c r="DA673" s="126"/>
      <c r="DB673" s="126"/>
      <c r="DC673" s="126"/>
      <c r="DD673" s="126"/>
      <c r="DE673" s="856"/>
      <c r="DF673" s="856"/>
      <c r="DG673" s="856"/>
      <c r="DH673" s="856"/>
      <c r="DI673" s="856"/>
      <c r="DJ673" s="856"/>
      <c r="DK673" s="856"/>
      <c r="DL673" s="856"/>
      <c r="DM673" s="152"/>
      <c r="DN673" s="152"/>
      <c r="DO673" s="152"/>
      <c r="DP673" s="152"/>
      <c r="DQ673" s="152"/>
    </row>
    <row r="674" spans="1:121" s="35" customFormat="1" x14ac:dyDescent="0.2">
      <c r="A674" s="34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565"/>
      <c r="R674" s="1097"/>
      <c r="U674" s="39"/>
      <c r="CU674" s="875"/>
      <c r="CV674" s="875"/>
      <c r="CW674" s="875"/>
      <c r="CX674" s="856"/>
      <c r="CY674" s="856"/>
      <c r="CZ674" s="856"/>
      <c r="DA674" s="126"/>
      <c r="DB674" s="126"/>
      <c r="DC674" s="126"/>
      <c r="DD674" s="126"/>
      <c r="DE674" s="856"/>
      <c r="DF674" s="856"/>
      <c r="DG674" s="856"/>
      <c r="DH674" s="856"/>
      <c r="DI674" s="856"/>
      <c r="DJ674" s="856"/>
      <c r="DK674" s="856"/>
      <c r="DL674" s="856"/>
      <c r="DM674" s="152"/>
      <c r="DN674" s="152"/>
      <c r="DO674" s="152"/>
      <c r="DP674" s="152"/>
      <c r="DQ674" s="152"/>
    </row>
    <row r="675" spans="1:121" s="35" customFormat="1" x14ac:dyDescent="0.2">
      <c r="A675" s="34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565"/>
      <c r="R675" s="1097"/>
      <c r="U675" s="39"/>
      <c r="CU675" s="875"/>
      <c r="CV675" s="875"/>
      <c r="CW675" s="875"/>
      <c r="CX675" s="856"/>
      <c r="CY675" s="856"/>
      <c r="CZ675" s="856"/>
      <c r="DA675" s="126"/>
      <c r="DB675" s="126"/>
      <c r="DC675" s="126"/>
      <c r="DD675" s="126"/>
      <c r="DE675" s="856"/>
      <c r="DF675" s="856"/>
      <c r="DG675" s="856"/>
      <c r="DH675" s="856"/>
      <c r="DI675" s="856"/>
      <c r="DJ675" s="856"/>
      <c r="DK675" s="856"/>
      <c r="DL675" s="856"/>
      <c r="DM675" s="152"/>
      <c r="DN675" s="152"/>
      <c r="DO675" s="152"/>
      <c r="DP675" s="152"/>
      <c r="DQ675" s="152"/>
    </row>
    <row r="676" spans="1:121" s="35" customFormat="1" x14ac:dyDescent="0.2">
      <c r="A676" s="34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565"/>
      <c r="R676" s="1097"/>
      <c r="U676" s="39"/>
      <c r="CU676" s="875"/>
      <c r="CV676" s="875"/>
      <c r="CW676" s="875"/>
      <c r="CX676" s="856"/>
      <c r="CY676" s="856"/>
      <c r="CZ676" s="856"/>
      <c r="DA676" s="126"/>
      <c r="DB676" s="126"/>
      <c r="DC676" s="126"/>
      <c r="DD676" s="126"/>
      <c r="DE676" s="856"/>
      <c r="DF676" s="856"/>
      <c r="DG676" s="856"/>
      <c r="DH676" s="856"/>
      <c r="DI676" s="856"/>
      <c r="DJ676" s="856"/>
      <c r="DK676" s="856"/>
      <c r="DL676" s="856"/>
      <c r="DM676" s="152"/>
      <c r="DN676" s="152"/>
      <c r="DO676" s="152"/>
      <c r="DP676" s="152"/>
      <c r="DQ676" s="152"/>
    </row>
    <row r="677" spans="1:121" s="35" customFormat="1" x14ac:dyDescent="0.2">
      <c r="A677" s="34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565"/>
      <c r="R677" s="1097"/>
      <c r="U677" s="39"/>
      <c r="CU677" s="875"/>
      <c r="CV677" s="875"/>
      <c r="CW677" s="875"/>
      <c r="CX677" s="856"/>
      <c r="CY677" s="856"/>
      <c r="CZ677" s="856"/>
      <c r="DA677" s="126"/>
      <c r="DB677" s="126"/>
      <c r="DC677" s="126"/>
      <c r="DD677" s="126"/>
      <c r="DE677" s="856"/>
      <c r="DF677" s="856"/>
      <c r="DG677" s="856"/>
      <c r="DH677" s="856"/>
      <c r="DI677" s="856"/>
      <c r="DJ677" s="856"/>
      <c r="DK677" s="856"/>
      <c r="DL677" s="856"/>
      <c r="DM677" s="152"/>
      <c r="DN677" s="152"/>
      <c r="DO677" s="152"/>
      <c r="DP677" s="152"/>
      <c r="DQ677" s="152"/>
    </row>
    <row r="678" spans="1:121" s="35" customFormat="1" x14ac:dyDescent="0.2">
      <c r="A678" s="34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565"/>
      <c r="R678" s="1097"/>
      <c r="U678" s="39"/>
      <c r="CU678" s="875"/>
      <c r="CV678" s="875"/>
      <c r="CW678" s="875"/>
      <c r="CX678" s="856"/>
      <c r="CY678" s="856"/>
      <c r="CZ678" s="856"/>
      <c r="DA678" s="126"/>
      <c r="DB678" s="126"/>
      <c r="DC678" s="126"/>
      <c r="DD678" s="126"/>
      <c r="DE678" s="856"/>
      <c r="DF678" s="856"/>
      <c r="DG678" s="856"/>
      <c r="DH678" s="856"/>
      <c r="DI678" s="856"/>
      <c r="DJ678" s="856"/>
      <c r="DK678" s="856"/>
      <c r="DL678" s="856"/>
      <c r="DM678" s="152"/>
      <c r="DN678" s="152"/>
      <c r="DO678" s="152"/>
      <c r="DP678" s="152"/>
      <c r="DQ678" s="152"/>
    </row>
    <row r="679" spans="1:121" s="35" customFormat="1" x14ac:dyDescent="0.2">
      <c r="A679" s="34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565"/>
      <c r="R679" s="1097"/>
      <c r="U679" s="39"/>
      <c r="CU679" s="875"/>
      <c r="CV679" s="875"/>
      <c r="CW679" s="875"/>
      <c r="CX679" s="856"/>
      <c r="CY679" s="856"/>
      <c r="CZ679" s="856"/>
      <c r="DA679" s="126"/>
      <c r="DB679" s="126"/>
      <c r="DC679" s="126"/>
      <c r="DD679" s="126"/>
      <c r="DE679" s="856"/>
      <c r="DF679" s="856"/>
      <c r="DG679" s="856"/>
      <c r="DH679" s="856"/>
      <c r="DI679" s="856"/>
      <c r="DJ679" s="856"/>
      <c r="DK679" s="856"/>
      <c r="DL679" s="856"/>
      <c r="DM679" s="152"/>
      <c r="DN679" s="152"/>
      <c r="DO679" s="152"/>
      <c r="DP679" s="152"/>
      <c r="DQ679" s="152"/>
    </row>
    <row r="680" spans="1:121" s="35" customFormat="1" x14ac:dyDescent="0.2">
      <c r="A680" s="34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565"/>
      <c r="R680" s="1097"/>
      <c r="U680" s="39"/>
      <c r="CU680" s="875"/>
      <c r="CV680" s="875"/>
      <c r="CW680" s="875"/>
      <c r="CX680" s="856"/>
      <c r="CY680" s="856"/>
      <c r="CZ680" s="856"/>
      <c r="DA680" s="126"/>
      <c r="DB680" s="126"/>
      <c r="DC680" s="126"/>
      <c r="DD680" s="126"/>
      <c r="DE680" s="856"/>
      <c r="DF680" s="856"/>
      <c r="DG680" s="856"/>
      <c r="DH680" s="856"/>
      <c r="DI680" s="856"/>
      <c r="DJ680" s="856"/>
      <c r="DK680" s="856"/>
      <c r="DL680" s="856"/>
      <c r="DM680" s="152"/>
      <c r="DN680" s="152"/>
      <c r="DO680" s="152"/>
      <c r="DP680" s="152"/>
      <c r="DQ680" s="152"/>
    </row>
    <row r="681" spans="1:121" s="35" customFormat="1" x14ac:dyDescent="0.2">
      <c r="A681" s="34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565"/>
      <c r="R681" s="1097"/>
      <c r="U681" s="39"/>
      <c r="CU681" s="875"/>
      <c r="CV681" s="875"/>
      <c r="CW681" s="875"/>
      <c r="CX681" s="856"/>
      <c r="CY681" s="856"/>
      <c r="CZ681" s="856"/>
      <c r="DA681" s="126"/>
      <c r="DB681" s="126"/>
      <c r="DC681" s="126"/>
      <c r="DD681" s="126"/>
      <c r="DE681" s="856"/>
      <c r="DF681" s="856"/>
      <c r="DG681" s="856"/>
      <c r="DH681" s="856"/>
      <c r="DI681" s="856"/>
      <c r="DJ681" s="856"/>
      <c r="DK681" s="856"/>
      <c r="DL681" s="856"/>
      <c r="DM681" s="152"/>
      <c r="DN681" s="152"/>
      <c r="DO681" s="152"/>
      <c r="DP681" s="152"/>
      <c r="DQ681" s="152"/>
    </row>
    <row r="682" spans="1:121" s="35" customFormat="1" x14ac:dyDescent="0.2">
      <c r="A682" s="34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565"/>
      <c r="R682" s="1097"/>
      <c r="U682" s="39"/>
      <c r="CU682" s="875"/>
      <c r="CV682" s="875"/>
      <c r="CW682" s="875"/>
      <c r="CX682" s="856"/>
      <c r="CY682" s="856"/>
      <c r="CZ682" s="856"/>
      <c r="DA682" s="126"/>
      <c r="DB682" s="126"/>
      <c r="DC682" s="126"/>
      <c r="DD682" s="126"/>
      <c r="DE682" s="856"/>
      <c r="DF682" s="856"/>
      <c r="DG682" s="856"/>
      <c r="DH682" s="856"/>
      <c r="DI682" s="856"/>
      <c r="DJ682" s="856"/>
      <c r="DK682" s="856"/>
      <c r="DL682" s="856"/>
      <c r="DM682" s="152"/>
      <c r="DN682" s="152"/>
      <c r="DO682" s="152"/>
      <c r="DP682" s="152"/>
      <c r="DQ682" s="152"/>
    </row>
    <row r="683" spans="1:121" s="35" customFormat="1" x14ac:dyDescent="0.2">
      <c r="A683" s="34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565"/>
      <c r="R683" s="1097"/>
      <c r="U683" s="39"/>
      <c r="CU683" s="875"/>
      <c r="CV683" s="875"/>
      <c r="CW683" s="875"/>
      <c r="CX683" s="856"/>
      <c r="CY683" s="856"/>
      <c r="CZ683" s="856"/>
      <c r="DA683" s="126"/>
      <c r="DB683" s="126"/>
      <c r="DC683" s="126"/>
      <c r="DD683" s="126"/>
      <c r="DE683" s="856"/>
      <c r="DF683" s="856"/>
      <c r="DG683" s="856"/>
      <c r="DH683" s="856"/>
      <c r="DI683" s="856"/>
      <c r="DJ683" s="856"/>
      <c r="DK683" s="856"/>
      <c r="DL683" s="856"/>
      <c r="DM683" s="152"/>
      <c r="DN683" s="152"/>
      <c r="DO683" s="152"/>
      <c r="DP683" s="152"/>
      <c r="DQ683" s="152"/>
    </row>
    <row r="684" spans="1:121" s="35" customFormat="1" x14ac:dyDescent="0.2">
      <c r="A684" s="34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565"/>
      <c r="R684" s="1097"/>
      <c r="U684" s="39"/>
      <c r="CU684" s="875"/>
      <c r="CV684" s="875"/>
      <c r="CW684" s="875"/>
      <c r="CX684" s="856"/>
      <c r="CY684" s="856"/>
      <c r="CZ684" s="856"/>
      <c r="DA684" s="126"/>
      <c r="DB684" s="126"/>
      <c r="DC684" s="126"/>
      <c r="DD684" s="126"/>
      <c r="DE684" s="856"/>
      <c r="DF684" s="856"/>
      <c r="DG684" s="856"/>
      <c r="DH684" s="856"/>
      <c r="DI684" s="856"/>
      <c r="DJ684" s="856"/>
      <c r="DK684" s="856"/>
      <c r="DL684" s="856"/>
      <c r="DM684" s="152"/>
      <c r="DN684" s="152"/>
      <c r="DO684" s="152"/>
      <c r="DP684" s="152"/>
      <c r="DQ684" s="152"/>
    </row>
    <row r="685" spans="1:121" s="35" customFormat="1" x14ac:dyDescent="0.2">
      <c r="A685" s="34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565"/>
      <c r="R685" s="1097"/>
      <c r="U685" s="39"/>
      <c r="CU685" s="875"/>
      <c r="CV685" s="875"/>
      <c r="CW685" s="875"/>
      <c r="CX685" s="856"/>
      <c r="CY685" s="856"/>
      <c r="CZ685" s="856"/>
      <c r="DA685" s="126"/>
      <c r="DB685" s="126"/>
      <c r="DC685" s="126"/>
      <c r="DD685" s="126"/>
      <c r="DE685" s="856"/>
      <c r="DF685" s="856"/>
      <c r="DG685" s="856"/>
      <c r="DH685" s="856"/>
      <c r="DI685" s="856"/>
      <c r="DJ685" s="856"/>
      <c r="DK685" s="856"/>
      <c r="DL685" s="856"/>
      <c r="DM685" s="152"/>
      <c r="DN685" s="152"/>
      <c r="DO685" s="152"/>
      <c r="DP685" s="152"/>
      <c r="DQ685" s="152"/>
    </row>
    <row r="686" spans="1:121" s="35" customFormat="1" x14ac:dyDescent="0.2">
      <c r="A686" s="34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565"/>
      <c r="R686" s="1097"/>
      <c r="U686" s="39"/>
      <c r="CU686" s="875"/>
      <c r="CV686" s="875"/>
      <c r="CW686" s="875"/>
      <c r="CX686" s="856"/>
      <c r="CY686" s="856"/>
      <c r="CZ686" s="856"/>
      <c r="DA686" s="126"/>
      <c r="DB686" s="126"/>
      <c r="DC686" s="126"/>
      <c r="DD686" s="126"/>
      <c r="DE686" s="856"/>
      <c r="DF686" s="856"/>
      <c r="DG686" s="856"/>
      <c r="DH686" s="856"/>
      <c r="DI686" s="856"/>
      <c r="DJ686" s="856"/>
      <c r="DK686" s="856"/>
      <c r="DL686" s="856"/>
      <c r="DM686" s="152"/>
      <c r="DN686" s="152"/>
      <c r="DO686" s="152"/>
      <c r="DP686" s="152"/>
      <c r="DQ686" s="152"/>
    </row>
    <row r="687" spans="1:121" s="35" customFormat="1" x14ac:dyDescent="0.2">
      <c r="A687" s="34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565"/>
      <c r="R687" s="1097"/>
      <c r="U687" s="39"/>
      <c r="CU687" s="875"/>
      <c r="CV687" s="875"/>
      <c r="CW687" s="875"/>
      <c r="CX687" s="856"/>
      <c r="CY687" s="856"/>
      <c r="CZ687" s="856"/>
      <c r="DA687" s="126"/>
      <c r="DB687" s="126"/>
      <c r="DC687" s="126"/>
      <c r="DD687" s="126"/>
      <c r="DE687" s="856"/>
      <c r="DF687" s="856"/>
      <c r="DG687" s="856"/>
      <c r="DH687" s="856"/>
      <c r="DI687" s="856"/>
      <c r="DJ687" s="856"/>
      <c r="DK687" s="856"/>
      <c r="DL687" s="856"/>
      <c r="DM687" s="152"/>
      <c r="DN687" s="152"/>
      <c r="DO687" s="152"/>
      <c r="DP687" s="152"/>
      <c r="DQ687" s="152"/>
    </row>
    <row r="688" spans="1:121" s="35" customFormat="1" x14ac:dyDescent="0.2">
      <c r="A688" s="34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565"/>
      <c r="R688" s="1097"/>
      <c r="U688" s="39"/>
      <c r="CU688" s="875"/>
      <c r="CV688" s="875"/>
      <c r="CW688" s="875"/>
      <c r="CX688" s="856"/>
      <c r="CY688" s="856"/>
      <c r="CZ688" s="856"/>
      <c r="DA688" s="126"/>
      <c r="DB688" s="126"/>
      <c r="DC688" s="126"/>
      <c r="DD688" s="126"/>
      <c r="DE688" s="856"/>
      <c r="DF688" s="856"/>
      <c r="DG688" s="856"/>
      <c r="DH688" s="856"/>
      <c r="DI688" s="856"/>
      <c r="DJ688" s="856"/>
      <c r="DK688" s="856"/>
      <c r="DL688" s="856"/>
      <c r="DM688" s="152"/>
      <c r="DN688" s="152"/>
      <c r="DO688" s="152"/>
      <c r="DP688" s="152"/>
      <c r="DQ688" s="152"/>
    </row>
    <row r="689" spans="1:121" s="35" customFormat="1" x14ac:dyDescent="0.2">
      <c r="A689" s="34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565"/>
      <c r="R689" s="1097"/>
      <c r="U689" s="39"/>
      <c r="CU689" s="875"/>
      <c r="CV689" s="875"/>
      <c r="CW689" s="875"/>
      <c r="CX689" s="856"/>
      <c r="CY689" s="856"/>
      <c r="CZ689" s="856"/>
      <c r="DA689" s="126"/>
      <c r="DB689" s="126"/>
      <c r="DC689" s="126"/>
      <c r="DD689" s="126"/>
      <c r="DE689" s="856"/>
      <c r="DF689" s="856"/>
      <c r="DG689" s="856"/>
      <c r="DH689" s="856"/>
      <c r="DI689" s="856"/>
      <c r="DJ689" s="856"/>
      <c r="DK689" s="856"/>
      <c r="DL689" s="856"/>
      <c r="DM689" s="152"/>
      <c r="DN689" s="152"/>
      <c r="DO689" s="152"/>
      <c r="DP689" s="152"/>
      <c r="DQ689" s="152"/>
    </row>
    <row r="690" spans="1:121" s="35" customFormat="1" x14ac:dyDescent="0.2">
      <c r="A690" s="34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565"/>
      <c r="R690" s="1097"/>
      <c r="U690" s="39"/>
      <c r="CU690" s="875"/>
      <c r="CV690" s="875"/>
      <c r="CW690" s="875"/>
      <c r="CX690" s="856"/>
      <c r="CY690" s="856"/>
      <c r="CZ690" s="856"/>
      <c r="DA690" s="126"/>
      <c r="DB690" s="126"/>
      <c r="DC690" s="126"/>
      <c r="DD690" s="126"/>
      <c r="DE690" s="856"/>
      <c r="DF690" s="856"/>
      <c r="DG690" s="856"/>
      <c r="DH690" s="856"/>
      <c r="DI690" s="856"/>
      <c r="DJ690" s="856"/>
      <c r="DK690" s="856"/>
      <c r="DL690" s="856"/>
      <c r="DM690" s="152"/>
      <c r="DN690" s="152"/>
      <c r="DO690" s="152"/>
      <c r="DP690" s="152"/>
      <c r="DQ690" s="152"/>
    </row>
    <row r="691" spans="1:121" s="35" customFormat="1" x14ac:dyDescent="0.2">
      <c r="A691" s="34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565"/>
      <c r="R691" s="1097"/>
      <c r="U691" s="39"/>
      <c r="CU691" s="875"/>
      <c r="CV691" s="875"/>
      <c r="CW691" s="875"/>
      <c r="CX691" s="856"/>
      <c r="CY691" s="856"/>
      <c r="CZ691" s="856"/>
      <c r="DA691" s="126"/>
      <c r="DB691" s="126"/>
      <c r="DC691" s="126"/>
      <c r="DD691" s="126"/>
      <c r="DE691" s="856"/>
      <c r="DF691" s="856"/>
      <c r="DG691" s="856"/>
      <c r="DH691" s="856"/>
      <c r="DI691" s="856"/>
      <c r="DJ691" s="856"/>
      <c r="DK691" s="856"/>
      <c r="DL691" s="856"/>
      <c r="DM691" s="152"/>
      <c r="DN691" s="152"/>
      <c r="DO691" s="152"/>
      <c r="DP691" s="152"/>
      <c r="DQ691" s="152"/>
    </row>
    <row r="692" spans="1:121" s="35" customFormat="1" x14ac:dyDescent="0.2">
      <c r="A692" s="34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565"/>
      <c r="R692" s="1097"/>
      <c r="U692" s="39"/>
      <c r="CU692" s="875"/>
      <c r="CV692" s="875"/>
      <c r="CW692" s="875"/>
      <c r="CX692" s="856"/>
      <c r="CY692" s="856"/>
      <c r="CZ692" s="856"/>
      <c r="DA692" s="126"/>
      <c r="DB692" s="126"/>
      <c r="DC692" s="126"/>
      <c r="DD692" s="126"/>
      <c r="DE692" s="856"/>
      <c r="DF692" s="856"/>
      <c r="DG692" s="856"/>
      <c r="DH692" s="856"/>
      <c r="DI692" s="856"/>
      <c r="DJ692" s="856"/>
      <c r="DK692" s="856"/>
      <c r="DL692" s="856"/>
      <c r="DM692" s="152"/>
      <c r="DN692" s="152"/>
      <c r="DO692" s="152"/>
      <c r="DP692" s="152"/>
      <c r="DQ692" s="152"/>
    </row>
    <row r="693" spans="1:121" s="35" customFormat="1" x14ac:dyDescent="0.2">
      <c r="A693" s="34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565"/>
      <c r="R693" s="1097"/>
      <c r="U693" s="39"/>
      <c r="CU693" s="875"/>
      <c r="CV693" s="875"/>
      <c r="CW693" s="875"/>
      <c r="CX693" s="856"/>
      <c r="CY693" s="856"/>
      <c r="CZ693" s="856"/>
      <c r="DA693" s="126"/>
      <c r="DB693" s="126"/>
      <c r="DC693" s="126"/>
      <c r="DD693" s="126"/>
      <c r="DE693" s="856"/>
      <c r="DF693" s="856"/>
      <c r="DG693" s="856"/>
      <c r="DH693" s="856"/>
      <c r="DI693" s="856"/>
      <c r="DJ693" s="856"/>
      <c r="DK693" s="856"/>
      <c r="DL693" s="856"/>
      <c r="DM693" s="152"/>
      <c r="DN693" s="152"/>
      <c r="DO693" s="152"/>
      <c r="DP693" s="152"/>
      <c r="DQ693" s="152"/>
    </row>
    <row r="694" spans="1:121" s="35" customFormat="1" x14ac:dyDescent="0.2">
      <c r="A694" s="34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565"/>
      <c r="R694" s="1097"/>
      <c r="U694" s="39"/>
      <c r="CU694" s="875"/>
      <c r="CV694" s="875"/>
      <c r="CW694" s="875"/>
      <c r="CX694" s="856"/>
      <c r="CY694" s="856"/>
      <c r="CZ694" s="856"/>
      <c r="DA694" s="126"/>
      <c r="DB694" s="126"/>
      <c r="DC694" s="126"/>
      <c r="DD694" s="126"/>
      <c r="DE694" s="856"/>
      <c r="DF694" s="856"/>
      <c r="DG694" s="856"/>
      <c r="DH694" s="856"/>
      <c r="DI694" s="856"/>
      <c r="DJ694" s="856"/>
      <c r="DK694" s="856"/>
      <c r="DL694" s="856"/>
      <c r="DM694" s="152"/>
      <c r="DN694" s="152"/>
      <c r="DO694" s="152"/>
      <c r="DP694" s="152"/>
      <c r="DQ694" s="152"/>
    </row>
    <row r="695" spans="1:121" s="35" customFormat="1" x14ac:dyDescent="0.2">
      <c r="A695" s="34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565"/>
      <c r="R695" s="1097"/>
      <c r="U695" s="39"/>
      <c r="CU695" s="875"/>
      <c r="CV695" s="875"/>
      <c r="CW695" s="875"/>
      <c r="CX695" s="856"/>
      <c r="CY695" s="856"/>
      <c r="CZ695" s="856"/>
      <c r="DA695" s="126"/>
      <c r="DB695" s="126"/>
      <c r="DC695" s="126"/>
      <c r="DD695" s="126"/>
      <c r="DE695" s="856"/>
      <c r="DF695" s="856"/>
      <c r="DG695" s="856"/>
      <c r="DH695" s="856"/>
      <c r="DI695" s="856"/>
      <c r="DJ695" s="856"/>
      <c r="DK695" s="856"/>
      <c r="DL695" s="856"/>
      <c r="DM695" s="152"/>
      <c r="DN695" s="152"/>
      <c r="DO695" s="152"/>
      <c r="DP695" s="152"/>
      <c r="DQ695" s="152"/>
    </row>
    <row r="696" spans="1:121" s="35" customFormat="1" x14ac:dyDescent="0.2">
      <c r="A696" s="34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565"/>
      <c r="R696" s="1097"/>
      <c r="U696" s="39"/>
      <c r="CU696" s="875"/>
      <c r="CV696" s="875"/>
      <c r="CW696" s="875"/>
      <c r="CX696" s="856"/>
      <c r="CY696" s="856"/>
      <c r="CZ696" s="856"/>
      <c r="DA696" s="126"/>
      <c r="DB696" s="126"/>
      <c r="DC696" s="126"/>
      <c r="DD696" s="126"/>
      <c r="DE696" s="856"/>
      <c r="DF696" s="856"/>
      <c r="DG696" s="856"/>
      <c r="DH696" s="856"/>
      <c r="DI696" s="856"/>
      <c r="DJ696" s="856"/>
      <c r="DK696" s="856"/>
      <c r="DL696" s="856"/>
      <c r="DM696" s="152"/>
      <c r="DN696" s="152"/>
      <c r="DO696" s="152"/>
      <c r="DP696" s="152"/>
      <c r="DQ696" s="152"/>
    </row>
    <row r="697" spans="1:121" s="35" customFormat="1" x14ac:dyDescent="0.2">
      <c r="A697" s="34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565"/>
      <c r="R697" s="1097"/>
      <c r="U697" s="39"/>
      <c r="CU697" s="875"/>
      <c r="CV697" s="875"/>
      <c r="CW697" s="875"/>
      <c r="CX697" s="856"/>
      <c r="CY697" s="856"/>
      <c r="CZ697" s="856"/>
      <c r="DA697" s="126"/>
      <c r="DB697" s="126"/>
      <c r="DC697" s="126"/>
      <c r="DD697" s="126"/>
      <c r="DE697" s="856"/>
      <c r="DF697" s="856"/>
      <c r="DG697" s="856"/>
      <c r="DH697" s="856"/>
      <c r="DI697" s="856"/>
      <c r="DJ697" s="856"/>
      <c r="DK697" s="856"/>
      <c r="DL697" s="856"/>
      <c r="DM697" s="152"/>
      <c r="DN697" s="152"/>
      <c r="DO697" s="152"/>
      <c r="DP697" s="152"/>
      <c r="DQ697" s="152"/>
    </row>
    <row r="698" spans="1:121" s="35" customFormat="1" x14ac:dyDescent="0.2">
      <c r="A698" s="34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565"/>
      <c r="R698" s="1097"/>
      <c r="U698" s="39"/>
      <c r="CU698" s="875"/>
      <c r="CV698" s="875"/>
      <c r="CW698" s="875"/>
      <c r="CX698" s="856"/>
      <c r="CY698" s="856"/>
      <c r="CZ698" s="856"/>
      <c r="DA698" s="126"/>
      <c r="DB698" s="126"/>
      <c r="DC698" s="126"/>
      <c r="DD698" s="126"/>
      <c r="DE698" s="856"/>
      <c r="DF698" s="856"/>
      <c r="DG698" s="856"/>
      <c r="DH698" s="856"/>
      <c r="DI698" s="856"/>
      <c r="DJ698" s="856"/>
      <c r="DK698" s="856"/>
      <c r="DL698" s="856"/>
      <c r="DM698" s="152"/>
      <c r="DN698" s="152"/>
      <c r="DO698" s="152"/>
      <c r="DP698" s="152"/>
      <c r="DQ698" s="152"/>
    </row>
    <row r="699" spans="1:121" s="35" customFormat="1" x14ac:dyDescent="0.2">
      <c r="A699" s="34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565"/>
      <c r="R699" s="1097"/>
      <c r="U699" s="39"/>
      <c r="CU699" s="875"/>
      <c r="CV699" s="875"/>
      <c r="CW699" s="875"/>
      <c r="CX699" s="856"/>
      <c r="CY699" s="856"/>
      <c r="CZ699" s="856"/>
      <c r="DA699" s="126"/>
      <c r="DB699" s="126"/>
      <c r="DC699" s="126"/>
      <c r="DD699" s="126"/>
      <c r="DE699" s="856"/>
      <c r="DF699" s="856"/>
      <c r="DG699" s="856"/>
      <c r="DH699" s="856"/>
      <c r="DI699" s="856"/>
      <c r="DJ699" s="856"/>
      <c r="DK699" s="856"/>
      <c r="DL699" s="856"/>
      <c r="DM699" s="152"/>
      <c r="DN699" s="152"/>
      <c r="DO699" s="152"/>
      <c r="DP699" s="152"/>
      <c r="DQ699" s="152"/>
    </row>
    <row r="700" spans="1:121" s="35" customFormat="1" x14ac:dyDescent="0.2">
      <c r="A700" s="34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565"/>
      <c r="R700" s="1097"/>
      <c r="U700" s="39"/>
      <c r="CU700" s="875"/>
      <c r="CV700" s="875"/>
      <c r="CW700" s="875"/>
      <c r="CX700" s="856"/>
      <c r="CY700" s="856"/>
      <c r="CZ700" s="856"/>
      <c r="DA700" s="126"/>
      <c r="DB700" s="126"/>
      <c r="DC700" s="126"/>
      <c r="DD700" s="126"/>
      <c r="DE700" s="856"/>
      <c r="DF700" s="856"/>
      <c r="DG700" s="856"/>
      <c r="DH700" s="856"/>
      <c r="DI700" s="856"/>
      <c r="DJ700" s="856"/>
      <c r="DK700" s="856"/>
      <c r="DL700" s="856"/>
      <c r="DM700" s="152"/>
      <c r="DN700" s="152"/>
      <c r="DO700" s="152"/>
      <c r="DP700" s="152"/>
      <c r="DQ700" s="152"/>
    </row>
    <row r="701" spans="1:121" s="35" customFormat="1" x14ac:dyDescent="0.2">
      <c r="A701" s="34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565"/>
      <c r="R701" s="1097"/>
      <c r="U701" s="39"/>
      <c r="CU701" s="875"/>
      <c r="CV701" s="875"/>
      <c r="CW701" s="875"/>
      <c r="CX701" s="856"/>
      <c r="CY701" s="856"/>
      <c r="CZ701" s="856"/>
      <c r="DA701" s="126"/>
      <c r="DB701" s="126"/>
      <c r="DC701" s="126"/>
      <c r="DD701" s="126"/>
      <c r="DE701" s="856"/>
      <c r="DF701" s="856"/>
      <c r="DG701" s="856"/>
      <c r="DH701" s="856"/>
      <c r="DI701" s="856"/>
      <c r="DJ701" s="856"/>
      <c r="DK701" s="856"/>
      <c r="DL701" s="856"/>
      <c r="DM701" s="152"/>
      <c r="DN701" s="152"/>
      <c r="DO701" s="152"/>
      <c r="DP701" s="152"/>
      <c r="DQ701" s="152"/>
    </row>
    <row r="702" spans="1:121" s="35" customFormat="1" x14ac:dyDescent="0.2">
      <c r="A702" s="34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565"/>
      <c r="R702" s="1097"/>
      <c r="U702" s="39"/>
      <c r="CU702" s="875"/>
      <c r="CV702" s="875"/>
      <c r="CW702" s="875"/>
      <c r="CX702" s="856"/>
      <c r="CY702" s="856"/>
      <c r="CZ702" s="856"/>
      <c r="DA702" s="126"/>
      <c r="DB702" s="126"/>
      <c r="DC702" s="126"/>
      <c r="DD702" s="126"/>
      <c r="DE702" s="856"/>
      <c r="DF702" s="856"/>
      <c r="DG702" s="856"/>
      <c r="DH702" s="856"/>
      <c r="DI702" s="856"/>
      <c r="DJ702" s="856"/>
      <c r="DK702" s="856"/>
      <c r="DL702" s="856"/>
      <c r="DM702" s="152"/>
      <c r="DN702" s="152"/>
      <c r="DO702" s="152"/>
      <c r="DP702" s="152"/>
      <c r="DQ702" s="152"/>
    </row>
    <row r="703" spans="1:121" s="35" customFormat="1" x14ac:dyDescent="0.2">
      <c r="A703" s="34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565"/>
      <c r="R703" s="1097"/>
      <c r="U703" s="39"/>
      <c r="CU703" s="875"/>
      <c r="CV703" s="875"/>
      <c r="CW703" s="875"/>
      <c r="CX703" s="856"/>
      <c r="CY703" s="856"/>
      <c r="CZ703" s="856"/>
      <c r="DA703" s="126"/>
      <c r="DB703" s="126"/>
      <c r="DC703" s="126"/>
      <c r="DD703" s="126"/>
      <c r="DE703" s="856"/>
      <c r="DF703" s="856"/>
      <c r="DG703" s="856"/>
      <c r="DH703" s="856"/>
      <c r="DI703" s="856"/>
      <c r="DJ703" s="856"/>
      <c r="DK703" s="856"/>
      <c r="DL703" s="856"/>
      <c r="DM703" s="152"/>
      <c r="DN703" s="152"/>
      <c r="DO703" s="152"/>
      <c r="DP703" s="152"/>
      <c r="DQ703" s="152"/>
    </row>
    <row r="704" spans="1:121" s="35" customFormat="1" x14ac:dyDescent="0.2">
      <c r="A704" s="34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565"/>
      <c r="R704" s="1097"/>
      <c r="U704" s="39"/>
      <c r="CU704" s="875"/>
      <c r="CV704" s="875"/>
      <c r="CW704" s="875"/>
      <c r="CX704" s="856"/>
      <c r="CY704" s="856"/>
      <c r="CZ704" s="856"/>
      <c r="DA704" s="126"/>
      <c r="DB704" s="126"/>
      <c r="DC704" s="126"/>
      <c r="DD704" s="126"/>
      <c r="DE704" s="856"/>
      <c r="DF704" s="856"/>
      <c r="DG704" s="856"/>
      <c r="DH704" s="856"/>
      <c r="DI704" s="856"/>
      <c r="DJ704" s="856"/>
      <c r="DK704" s="856"/>
      <c r="DL704" s="856"/>
      <c r="DM704" s="152"/>
      <c r="DN704" s="152"/>
      <c r="DO704" s="152"/>
      <c r="DP704" s="152"/>
      <c r="DQ704" s="152"/>
    </row>
    <row r="705" spans="1:121" s="35" customFormat="1" x14ac:dyDescent="0.2">
      <c r="A705" s="34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565"/>
      <c r="R705" s="1097"/>
      <c r="U705" s="39"/>
      <c r="CU705" s="875"/>
      <c r="CV705" s="875"/>
      <c r="CW705" s="875"/>
      <c r="CX705" s="856"/>
      <c r="CY705" s="856"/>
      <c r="CZ705" s="856"/>
      <c r="DA705" s="126"/>
      <c r="DB705" s="126"/>
      <c r="DC705" s="126"/>
      <c r="DD705" s="126"/>
      <c r="DE705" s="856"/>
      <c r="DF705" s="856"/>
      <c r="DG705" s="856"/>
      <c r="DH705" s="856"/>
      <c r="DI705" s="856"/>
      <c r="DJ705" s="856"/>
      <c r="DK705" s="856"/>
      <c r="DL705" s="856"/>
      <c r="DM705" s="152"/>
      <c r="DN705" s="152"/>
      <c r="DO705" s="152"/>
      <c r="DP705" s="152"/>
      <c r="DQ705" s="152"/>
    </row>
    <row r="706" spans="1:121" s="35" customFormat="1" x14ac:dyDescent="0.2">
      <c r="A706" s="34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565"/>
      <c r="R706" s="1097"/>
      <c r="U706" s="39"/>
      <c r="CU706" s="875"/>
      <c r="CV706" s="875"/>
      <c r="CW706" s="875"/>
      <c r="CX706" s="856"/>
      <c r="CY706" s="856"/>
      <c r="CZ706" s="856"/>
      <c r="DA706" s="126"/>
      <c r="DB706" s="126"/>
      <c r="DC706" s="126"/>
      <c r="DD706" s="126"/>
      <c r="DE706" s="856"/>
      <c r="DF706" s="856"/>
      <c r="DG706" s="856"/>
      <c r="DH706" s="856"/>
      <c r="DI706" s="856"/>
      <c r="DJ706" s="856"/>
      <c r="DK706" s="856"/>
      <c r="DL706" s="856"/>
      <c r="DM706" s="152"/>
      <c r="DN706" s="152"/>
      <c r="DO706" s="152"/>
      <c r="DP706" s="152"/>
      <c r="DQ706" s="152"/>
    </row>
    <row r="707" spans="1:121" s="35" customFormat="1" x14ac:dyDescent="0.2">
      <c r="A707" s="34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565"/>
      <c r="R707" s="1097"/>
      <c r="U707" s="39"/>
      <c r="CU707" s="875"/>
      <c r="CV707" s="875"/>
      <c r="CW707" s="875"/>
      <c r="CX707" s="856"/>
      <c r="CY707" s="856"/>
      <c r="CZ707" s="856"/>
      <c r="DA707" s="126"/>
      <c r="DB707" s="126"/>
      <c r="DC707" s="126"/>
      <c r="DD707" s="126"/>
      <c r="DE707" s="856"/>
      <c r="DF707" s="856"/>
      <c r="DG707" s="856"/>
      <c r="DH707" s="856"/>
      <c r="DI707" s="856"/>
      <c r="DJ707" s="856"/>
      <c r="DK707" s="856"/>
      <c r="DL707" s="856"/>
      <c r="DM707" s="152"/>
      <c r="DN707" s="152"/>
      <c r="DO707" s="152"/>
      <c r="DP707" s="152"/>
      <c r="DQ707" s="152"/>
    </row>
    <row r="708" spans="1:121" s="35" customFormat="1" x14ac:dyDescent="0.2">
      <c r="A708" s="34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565"/>
      <c r="R708" s="1097"/>
      <c r="U708" s="39"/>
      <c r="CU708" s="875"/>
      <c r="CV708" s="875"/>
      <c r="CW708" s="875"/>
      <c r="CX708" s="856"/>
      <c r="CY708" s="856"/>
      <c r="CZ708" s="856"/>
      <c r="DA708" s="126"/>
      <c r="DB708" s="126"/>
      <c r="DC708" s="126"/>
      <c r="DD708" s="126"/>
      <c r="DE708" s="856"/>
      <c r="DF708" s="856"/>
      <c r="DG708" s="856"/>
      <c r="DH708" s="856"/>
      <c r="DI708" s="856"/>
      <c r="DJ708" s="856"/>
      <c r="DK708" s="856"/>
      <c r="DL708" s="856"/>
      <c r="DM708" s="152"/>
      <c r="DN708" s="152"/>
      <c r="DO708" s="152"/>
      <c r="DP708" s="152"/>
      <c r="DQ708" s="152"/>
    </row>
    <row r="709" spans="1:121" s="35" customFormat="1" x14ac:dyDescent="0.2">
      <c r="A709" s="34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565"/>
      <c r="R709" s="1097"/>
      <c r="U709" s="39"/>
      <c r="CU709" s="875"/>
      <c r="CV709" s="875"/>
      <c r="CW709" s="875"/>
      <c r="CX709" s="856"/>
      <c r="CY709" s="856"/>
      <c r="CZ709" s="856"/>
      <c r="DA709" s="126"/>
      <c r="DB709" s="126"/>
      <c r="DC709" s="126"/>
      <c r="DD709" s="126"/>
      <c r="DE709" s="856"/>
      <c r="DF709" s="856"/>
      <c r="DG709" s="856"/>
      <c r="DH709" s="856"/>
      <c r="DI709" s="856"/>
      <c r="DJ709" s="856"/>
      <c r="DK709" s="856"/>
      <c r="DL709" s="856"/>
      <c r="DM709" s="152"/>
      <c r="DN709" s="152"/>
      <c r="DO709" s="152"/>
      <c r="DP709" s="152"/>
      <c r="DQ709" s="152"/>
    </row>
    <row r="710" spans="1:121" s="35" customFormat="1" x14ac:dyDescent="0.2">
      <c r="A710" s="34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565"/>
      <c r="R710" s="1097"/>
      <c r="U710" s="39"/>
      <c r="CU710" s="875"/>
      <c r="CV710" s="875"/>
      <c r="CW710" s="875"/>
      <c r="CX710" s="856"/>
      <c r="CY710" s="856"/>
      <c r="CZ710" s="856"/>
      <c r="DA710" s="126"/>
      <c r="DB710" s="126"/>
      <c r="DC710" s="126"/>
      <c r="DD710" s="126"/>
      <c r="DE710" s="856"/>
      <c r="DF710" s="856"/>
      <c r="DG710" s="856"/>
      <c r="DH710" s="856"/>
      <c r="DI710" s="856"/>
      <c r="DJ710" s="856"/>
      <c r="DK710" s="856"/>
      <c r="DL710" s="856"/>
      <c r="DM710" s="152"/>
      <c r="DN710" s="152"/>
      <c r="DO710" s="152"/>
      <c r="DP710" s="152"/>
      <c r="DQ710" s="152"/>
    </row>
    <row r="711" spans="1:121" s="35" customFormat="1" x14ac:dyDescent="0.2">
      <c r="A711" s="34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565"/>
      <c r="R711" s="1097"/>
      <c r="U711" s="39"/>
      <c r="CU711" s="875"/>
      <c r="CV711" s="875"/>
      <c r="CW711" s="875"/>
      <c r="CX711" s="856"/>
      <c r="CY711" s="856"/>
      <c r="CZ711" s="856"/>
      <c r="DA711" s="126"/>
      <c r="DB711" s="126"/>
      <c r="DC711" s="126"/>
      <c r="DD711" s="126"/>
      <c r="DE711" s="856"/>
      <c r="DF711" s="856"/>
      <c r="DG711" s="856"/>
      <c r="DH711" s="856"/>
      <c r="DI711" s="856"/>
      <c r="DJ711" s="856"/>
      <c r="DK711" s="856"/>
      <c r="DL711" s="856"/>
      <c r="DM711" s="152"/>
      <c r="DN711" s="152"/>
      <c r="DO711" s="152"/>
      <c r="DP711" s="152"/>
      <c r="DQ711" s="152"/>
    </row>
    <row r="712" spans="1:121" s="35" customFormat="1" x14ac:dyDescent="0.2">
      <c r="A712" s="34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565"/>
      <c r="R712" s="1097"/>
      <c r="U712" s="39"/>
      <c r="CU712" s="875"/>
      <c r="CV712" s="875"/>
      <c r="CW712" s="875"/>
      <c r="CX712" s="856"/>
      <c r="CY712" s="856"/>
      <c r="CZ712" s="856"/>
      <c r="DA712" s="126"/>
      <c r="DB712" s="126"/>
      <c r="DC712" s="126"/>
      <c r="DD712" s="126"/>
      <c r="DE712" s="856"/>
      <c r="DF712" s="856"/>
      <c r="DG712" s="856"/>
      <c r="DH712" s="856"/>
      <c r="DI712" s="856"/>
      <c r="DJ712" s="856"/>
      <c r="DK712" s="856"/>
      <c r="DL712" s="856"/>
      <c r="DM712" s="152"/>
      <c r="DN712" s="152"/>
      <c r="DO712" s="152"/>
      <c r="DP712" s="152"/>
      <c r="DQ712" s="152"/>
    </row>
    <row r="713" spans="1:121" s="35" customFormat="1" x14ac:dyDescent="0.2">
      <c r="A713" s="34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565"/>
      <c r="R713" s="1097"/>
      <c r="U713" s="39"/>
      <c r="CU713" s="875"/>
      <c r="CV713" s="875"/>
      <c r="CW713" s="875"/>
      <c r="CX713" s="856"/>
      <c r="CY713" s="856"/>
      <c r="CZ713" s="856"/>
      <c r="DA713" s="126"/>
      <c r="DB713" s="126"/>
      <c r="DC713" s="126"/>
      <c r="DD713" s="126"/>
      <c r="DE713" s="856"/>
      <c r="DF713" s="856"/>
      <c r="DG713" s="856"/>
      <c r="DH713" s="856"/>
      <c r="DI713" s="856"/>
      <c r="DJ713" s="856"/>
      <c r="DK713" s="856"/>
      <c r="DL713" s="856"/>
      <c r="DM713" s="152"/>
      <c r="DN713" s="152"/>
      <c r="DO713" s="152"/>
      <c r="DP713" s="152"/>
      <c r="DQ713" s="152"/>
    </row>
    <row r="714" spans="1:121" s="35" customFormat="1" x14ac:dyDescent="0.2">
      <c r="A714" s="34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565"/>
      <c r="R714" s="1097"/>
      <c r="U714" s="39"/>
      <c r="CU714" s="875"/>
      <c r="CV714" s="875"/>
      <c r="CW714" s="875"/>
      <c r="CX714" s="856"/>
      <c r="CY714" s="856"/>
      <c r="CZ714" s="856"/>
      <c r="DA714" s="126"/>
      <c r="DB714" s="126"/>
      <c r="DC714" s="126"/>
      <c r="DD714" s="126"/>
      <c r="DE714" s="856"/>
      <c r="DF714" s="856"/>
      <c r="DG714" s="856"/>
      <c r="DH714" s="856"/>
      <c r="DI714" s="856"/>
      <c r="DJ714" s="856"/>
      <c r="DK714" s="856"/>
      <c r="DL714" s="856"/>
      <c r="DM714" s="152"/>
      <c r="DN714" s="152"/>
      <c r="DO714" s="152"/>
      <c r="DP714" s="152"/>
      <c r="DQ714" s="152"/>
    </row>
    <row r="715" spans="1:121" s="35" customFormat="1" x14ac:dyDescent="0.2">
      <c r="A715" s="34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565"/>
      <c r="R715" s="1097"/>
      <c r="U715" s="39"/>
      <c r="CU715" s="875"/>
      <c r="CV715" s="875"/>
      <c r="CW715" s="875"/>
      <c r="CX715" s="856"/>
      <c r="CY715" s="856"/>
      <c r="CZ715" s="856"/>
      <c r="DA715" s="126"/>
      <c r="DB715" s="126"/>
      <c r="DC715" s="126"/>
      <c r="DD715" s="126"/>
      <c r="DE715" s="856"/>
      <c r="DF715" s="856"/>
      <c r="DG715" s="856"/>
      <c r="DH715" s="856"/>
      <c r="DI715" s="856"/>
      <c r="DJ715" s="856"/>
      <c r="DK715" s="856"/>
      <c r="DL715" s="856"/>
      <c r="DM715" s="152"/>
      <c r="DN715" s="152"/>
      <c r="DO715" s="152"/>
      <c r="DP715" s="152"/>
      <c r="DQ715" s="152"/>
    </row>
    <row r="716" spans="1:121" s="35" customFormat="1" x14ac:dyDescent="0.2">
      <c r="A716" s="34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565"/>
      <c r="R716" s="1097"/>
      <c r="U716" s="39"/>
      <c r="CU716" s="875"/>
      <c r="CV716" s="875"/>
      <c r="CW716" s="875"/>
      <c r="CX716" s="856"/>
      <c r="CY716" s="856"/>
      <c r="CZ716" s="856"/>
      <c r="DA716" s="126"/>
      <c r="DB716" s="126"/>
      <c r="DC716" s="126"/>
      <c r="DD716" s="126"/>
      <c r="DE716" s="856"/>
      <c r="DF716" s="856"/>
      <c r="DG716" s="856"/>
      <c r="DH716" s="856"/>
      <c r="DI716" s="856"/>
      <c r="DJ716" s="856"/>
      <c r="DK716" s="856"/>
      <c r="DL716" s="856"/>
      <c r="DM716" s="152"/>
      <c r="DN716" s="152"/>
      <c r="DO716" s="152"/>
      <c r="DP716" s="152"/>
      <c r="DQ716" s="152"/>
    </row>
    <row r="717" spans="1:121" s="35" customFormat="1" x14ac:dyDescent="0.2">
      <c r="A717" s="34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565"/>
      <c r="R717" s="1097"/>
      <c r="U717" s="39"/>
      <c r="CU717" s="875"/>
      <c r="CV717" s="875"/>
      <c r="CW717" s="875"/>
      <c r="CX717" s="856"/>
      <c r="CY717" s="856"/>
      <c r="CZ717" s="856"/>
      <c r="DA717" s="126"/>
      <c r="DB717" s="126"/>
      <c r="DC717" s="126"/>
      <c r="DD717" s="126"/>
      <c r="DE717" s="856"/>
      <c r="DF717" s="856"/>
      <c r="DG717" s="856"/>
      <c r="DH717" s="856"/>
      <c r="DI717" s="856"/>
      <c r="DJ717" s="856"/>
      <c r="DK717" s="856"/>
      <c r="DL717" s="856"/>
      <c r="DM717" s="152"/>
      <c r="DN717" s="152"/>
      <c r="DO717" s="152"/>
      <c r="DP717" s="152"/>
      <c r="DQ717" s="152"/>
    </row>
    <row r="718" spans="1:121" s="35" customFormat="1" x14ac:dyDescent="0.2">
      <c r="A718" s="34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565"/>
      <c r="R718" s="1097"/>
      <c r="U718" s="39"/>
      <c r="CU718" s="875"/>
      <c r="CV718" s="875"/>
      <c r="CW718" s="875"/>
      <c r="CX718" s="856"/>
      <c r="CY718" s="856"/>
      <c r="CZ718" s="856"/>
      <c r="DA718" s="126"/>
      <c r="DB718" s="126"/>
      <c r="DC718" s="126"/>
      <c r="DD718" s="126"/>
      <c r="DE718" s="856"/>
      <c r="DF718" s="856"/>
      <c r="DG718" s="856"/>
      <c r="DH718" s="856"/>
      <c r="DI718" s="856"/>
      <c r="DJ718" s="856"/>
      <c r="DK718" s="856"/>
      <c r="DL718" s="856"/>
      <c r="DM718" s="152"/>
      <c r="DN718" s="152"/>
      <c r="DO718" s="152"/>
      <c r="DP718" s="152"/>
      <c r="DQ718" s="152"/>
    </row>
    <row r="719" spans="1:121" s="35" customFormat="1" x14ac:dyDescent="0.2">
      <c r="A719" s="34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565"/>
      <c r="R719" s="1097"/>
      <c r="U719" s="39"/>
      <c r="CU719" s="875"/>
      <c r="CV719" s="875"/>
      <c r="CW719" s="875"/>
      <c r="CX719" s="856"/>
      <c r="CY719" s="856"/>
      <c r="CZ719" s="856"/>
      <c r="DA719" s="126"/>
      <c r="DB719" s="126"/>
      <c r="DC719" s="126"/>
      <c r="DD719" s="126"/>
      <c r="DE719" s="856"/>
      <c r="DF719" s="856"/>
      <c r="DG719" s="856"/>
      <c r="DH719" s="856"/>
      <c r="DI719" s="856"/>
      <c r="DJ719" s="856"/>
      <c r="DK719" s="856"/>
      <c r="DL719" s="856"/>
      <c r="DM719" s="152"/>
      <c r="DN719" s="152"/>
      <c r="DO719" s="152"/>
      <c r="DP719" s="152"/>
      <c r="DQ719" s="152"/>
    </row>
    <row r="720" spans="1:121" s="35" customFormat="1" x14ac:dyDescent="0.2">
      <c r="A720" s="34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565"/>
      <c r="R720" s="1097"/>
      <c r="U720" s="39"/>
      <c r="CU720" s="875"/>
      <c r="CV720" s="875"/>
      <c r="CW720" s="875"/>
      <c r="CX720" s="856"/>
      <c r="CY720" s="856"/>
      <c r="CZ720" s="856"/>
      <c r="DA720" s="126"/>
      <c r="DB720" s="126"/>
      <c r="DC720" s="126"/>
      <c r="DD720" s="126"/>
      <c r="DE720" s="856"/>
      <c r="DF720" s="856"/>
      <c r="DG720" s="856"/>
      <c r="DH720" s="856"/>
      <c r="DI720" s="856"/>
      <c r="DJ720" s="856"/>
      <c r="DK720" s="856"/>
      <c r="DL720" s="856"/>
      <c r="DM720" s="152"/>
      <c r="DN720" s="152"/>
      <c r="DO720" s="152"/>
      <c r="DP720" s="152"/>
      <c r="DQ720" s="152"/>
    </row>
    <row r="721" spans="1:121" s="35" customFormat="1" x14ac:dyDescent="0.2">
      <c r="A721" s="34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565"/>
      <c r="R721" s="1097"/>
      <c r="U721" s="39"/>
      <c r="CU721" s="875"/>
      <c r="CV721" s="875"/>
      <c r="CW721" s="875"/>
      <c r="CX721" s="856"/>
      <c r="CY721" s="856"/>
      <c r="CZ721" s="856"/>
      <c r="DA721" s="126"/>
      <c r="DB721" s="126"/>
      <c r="DC721" s="126"/>
      <c r="DD721" s="126"/>
      <c r="DE721" s="856"/>
      <c r="DF721" s="856"/>
      <c r="DG721" s="856"/>
      <c r="DH721" s="856"/>
      <c r="DI721" s="856"/>
      <c r="DJ721" s="856"/>
      <c r="DK721" s="856"/>
      <c r="DL721" s="856"/>
      <c r="DM721" s="152"/>
      <c r="DN721" s="152"/>
      <c r="DO721" s="152"/>
      <c r="DP721" s="152"/>
      <c r="DQ721" s="152"/>
    </row>
    <row r="722" spans="1:121" s="35" customFormat="1" x14ac:dyDescent="0.2">
      <c r="A722" s="34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565"/>
      <c r="R722" s="1097"/>
      <c r="U722" s="39"/>
      <c r="CU722" s="875"/>
      <c r="CV722" s="875"/>
      <c r="CW722" s="875"/>
      <c r="CX722" s="856"/>
      <c r="CY722" s="856"/>
      <c r="CZ722" s="856"/>
      <c r="DA722" s="126"/>
      <c r="DB722" s="126"/>
      <c r="DC722" s="126"/>
      <c r="DD722" s="126"/>
      <c r="DE722" s="856"/>
      <c r="DF722" s="856"/>
      <c r="DG722" s="856"/>
      <c r="DH722" s="856"/>
      <c r="DI722" s="856"/>
      <c r="DJ722" s="856"/>
      <c r="DK722" s="856"/>
      <c r="DL722" s="856"/>
      <c r="DM722" s="152"/>
      <c r="DN722" s="152"/>
      <c r="DO722" s="152"/>
      <c r="DP722" s="152"/>
      <c r="DQ722" s="152"/>
    </row>
    <row r="723" spans="1:121" s="35" customFormat="1" x14ac:dyDescent="0.2">
      <c r="A723" s="34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565"/>
      <c r="R723" s="1097"/>
      <c r="U723" s="39"/>
      <c r="CU723" s="875"/>
      <c r="CV723" s="875"/>
      <c r="CW723" s="875"/>
      <c r="CX723" s="856"/>
      <c r="CY723" s="856"/>
      <c r="CZ723" s="856"/>
      <c r="DA723" s="126"/>
      <c r="DB723" s="126"/>
      <c r="DC723" s="126"/>
      <c r="DD723" s="126"/>
      <c r="DE723" s="856"/>
      <c r="DF723" s="856"/>
      <c r="DG723" s="856"/>
      <c r="DH723" s="856"/>
      <c r="DI723" s="856"/>
      <c r="DJ723" s="856"/>
      <c r="DK723" s="856"/>
      <c r="DL723" s="856"/>
      <c r="DM723" s="152"/>
      <c r="DN723" s="152"/>
      <c r="DO723" s="152"/>
      <c r="DP723" s="152"/>
      <c r="DQ723" s="152"/>
    </row>
    <row r="724" spans="1:121" s="35" customFormat="1" x14ac:dyDescent="0.2">
      <c r="A724" s="34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565"/>
      <c r="R724" s="1097"/>
      <c r="U724" s="39"/>
      <c r="CU724" s="875"/>
      <c r="CV724" s="875"/>
      <c r="CW724" s="875"/>
      <c r="CX724" s="856"/>
      <c r="CY724" s="856"/>
      <c r="CZ724" s="856"/>
      <c r="DA724" s="126"/>
      <c r="DB724" s="126"/>
      <c r="DC724" s="126"/>
      <c r="DD724" s="126"/>
      <c r="DE724" s="856"/>
      <c r="DF724" s="856"/>
      <c r="DG724" s="856"/>
      <c r="DH724" s="856"/>
      <c r="DI724" s="856"/>
      <c r="DJ724" s="856"/>
      <c r="DK724" s="856"/>
      <c r="DL724" s="856"/>
      <c r="DM724" s="152"/>
      <c r="DN724" s="152"/>
      <c r="DO724" s="152"/>
      <c r="DP724" s="152"/>
      <c r="DQ724" s="152"/>
    </row>
    <row r="725" spans="1:121" s="35" customFormat="1" x14ac:dyDescent="0.2">
      <c r="A725" s="34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565"/>
      <c r="R725" s="1097"/>
      <c r="U725" s="39"/>
      <c r="CU725" s="875"/>
      <c r="CV725" s="875"/>
      <c r="CW725" s="875"/>
      <c r="CX725" s="856"/>
      <c r="CY725" s="856"/>
      <c r="CZ725" s="856"/>
      <c r="DA725" s="126"/>
      <c r="DB725" s="126"/>
      <c r="DC725" s="126"/>
      <c r="DD725" s="126"/>
      <c r="DE725" s="856"/>
      <c r="DF725" s="856"/>
      <c r="DG725" s="856"/>
      <c r="DH725" s="856"/>
      <c r="DI725" s="856"/>
      <c r="DJ725" s="856"/>
      <c r="DK725" s="856"/>
      <c r="DL725" s="856"/>
      <c r="DM725" s="152"/>
      <c r="DN725" s="152"/>
      <c r="DO725" s="152"/>
      <c r="DP725" s="152"/>
      <c r="DQ725" s="152"/>
    </row>
    <row r="726" spans="1:121" s="35" customFormat="1" x14ac:dyDescent="0.2">
      <c r="A726" s="34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565"/>
      <c r="R726" s="1097"/>
      <c r="U726" s="39"/>
      <c r="CU726" s="875"/>
      <c r="CV726" s="875"/>
      <c r="CW726" s="875"/>
      <c r="CX726" s="856"/>
      <c r="CY726" s="856"/>
      <c r="CZ726" s="856"/>
      <c r="DA726" s="126"/>
      <c r="DB726" s="126"/>
      <c r="DC726" s="126"/>
      <c r="DD726" s="126"/>
      <c r="DE726" s="856"/>
      <c r="DF726" s="856"/>
      <c r="DG726" s="856"/>
      <c r="DH726" s="856"/>
      <c r="DI726" s="856"/>
      <c r="DJ726" s="856"/>
      <c r="DK726" s="856"/>
      <c r="DL726" s="856"/>
      <c r="DM726" s="152"/>
      <c r="DN726" s="152"/>
      <c r="DO726" s="152"/>
      <c r="DP726" s="152"/>
      <c r="DQ726" s="152"/>
    </row>
    <row r="727" spans="1:121" s="35" customFormat="1" x14ac:dyDescent="0.2">
      <c r="A727" s="34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565"/>
      <c r="R727" s="1097"/>
      <c r="U727" s="39"/>
      <c r="CU727" s="875"/>
      <c r="CV727" s="875"/>
      <c r="CW727" s="875"/>
      <c r="CX727" s="856"/>
      <c r="CY727" s="856"/>
      <c r="CZ727" s="856"/>
      <c r="DA727" s="126"/>
      <c r="DB727" s="126"/>
      <c r="DC727" s="126"/>
      <c r="DD727" s="126"/>
      <c r="DE727" s="856"/>
      <c r="DF727" s="856"/>
      <c r="DG727" s="856"/>
      <c r="DH727" s="856"/>
      <c r="DI727" s="856"/>
      <c r="DJ727" s="856"/>
      <c r="DK727" s="856"/>
      <c r="DL727" s="856"/>
      <c r="DM727" s="152"/>
      <c r="DN727" s="152"/>
      <c r="DO727" s="152"/>
      <c r="DP727" s="152"/>
      <c r="DQ727" s="152"/>
    </row>
    <row r="728" spans="1:121" s="35" customFormat="1" x14ac:dyDescent="0.2">
      <c r="A728" s="34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565"/>
      <c r="R728" s="1097"/>
      <c r="U728" s="39"/>
      <c r="CU728" s="875"/>
      <c r="CV728" s="875"/>
      <c r="CW728" s="875"/>
      <c r="CX728" s="856"/>
      <c r="CY728" s="856"/>
      <c r="CZ728" s="856"/>
      <c r="DA728" s="126"/>
      <c r="DB728" s="126"/>
      <c r="DC728" s="126"/>
      <c r="DD728" s="126"/>
      <c r="DE728" s="856"/>
      <c r="DF728" s="856"/>
      <c r="DG728" s="856"/>
      <c r="DH728" s="856"/>
      <c r="DI728" s="856"/>
      <c r="DJ728" s="856"/>
      <c r="DK728" s="856"/>
      <c r="DL728" s="856"/>
      <c r="DM728" s="152"/>
      <c r="DN728" s="152"/>
      <c r="DO728" s="152"/>
      <c r="DP728" s="152"/>
      <c r="DQ728" s="152"/>
    </row>
    <row r="729" spans="1:121" s="35" customFormat="1" x14ac:dyDescent="0.2">
      <c r="A729" s="34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565"/>
      <c r="R729" s="1097"/>
      <c r="U729" s="39"/>
      <c r="CU729" s="875"/>
      <c r="CV729" s="875"/>
      <c r="CW729" s="875"/>
      <c r="CX729" s="856"/>
      <c r="CY729" s="856"/>
      <c r="CZ729" s="856"/>
      <c r="DA729" s="126"/>
      <c r="DB729" s="126"/>
      <c r="DC729" s="126"/>
      <c r="DD729" s="126"/>
      <c r="DE729" s="856"/>
      <c r="DF729" s="856"/>
      <c r="DG729" s="856"/>
      <c r="DH729" s="856"/>
      <c r="DI729" s="856"/>
      <c r="DJ729" s="856"/>
      <c r="DK729" s="856"/>
      <c r="DL729" s="856"/>
      <c r="DM729" s="152"/>
      <c r="DN729" s="152"/>
      <c r="DO729" s="152"/>
      <c r="DP729" s="152"/>
      <c r="DQ729" s="152"/>
    </row>
    <row r="730" spans="1:121" s="35" customFormat="1" x14ac:dyDescent="0.2">
      <c r="A730" s="34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565"/>
      <c r="R730" s="1097"/>
      <c r="U730" s="39"/>
      <c r="CU730" s="875"/>
      <c r="CV730" s="875"/>
      <c r="CW730" s="875"/>
      <c r="CX730" s="856"/>
      <c r="CY730" s="856"/>
      <c r="CZ730" s="856"/>
      <c r="DA730" s="126"/>
      <c r="DB730" s="126"/>
      <c r="DC730" s="126"/>
      <c r="DD730" s="126"/>
      <c r="DE730" s="856"/>
      <c r="DF730" s="856"/>
      <c r="DG730" s="856"/>
      <c r="DH730" s="856"/>
      <c r="DI730" s="856"/>
      <c r="DJ730" s="856"/>
      <c r="DK730" s="856"/>
      <c r="DL730" s="856"/>
      <c r="DM730" s="152"/>
      <c r="DN730" s="152"/>
      <c r="DO730" s="152"/>
      <c r="DP730" s="152"/>
      <c r="DQ730" s="152"/>
    </row>
    <row r="731" spans="1:121" s="35" customFormat="1" x14ac:dyDescent="0.2">
      <c r="A731" s="34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565"/>
      <c r="R731" s="1097"/>
      <c r="U731" s="39"/>
      <c r="CU731" s="875"/>
      <c r="CV731" s="875"/>
      <c r="CW731" s="875"/>
      <c r="CX731" s="856"/>
      <c r="CY731" s="856"/>
      <c r="CZ731" s="856"/>
      <c r="DA731" s="126"/>
      <c r="DB731" s="126"/>
      <c r="DC731" s="126"/>
      <c r="DD731" s="126"/>
      <c r="DE731" s="856"/>
      <c r="DF731" s="856"/>
      <c r="DG731" s="856"/>
      <c r="DH731" s="856"/>
      <c r="DI731" s="856"/>
      <c r="DJ731" s="856"/>
      <c r="DK731" s="856"/>
      <c r="DL731" s="856"/>
      <c r="DM731" s="152"/>
      <c r="DN731" s="152"/>
      <c r="DO731" s="152"/>
      <c r="DP731" s="152"/>
      <c r="DQ731" s="152"/>
    </row>
    <row r="732" spans="1:121" s="35" customFormat="1" x14ac:dyDescent="0.2">
      <c r="A732" s="34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565"/>
      <c r="R732" s="1097"/>
      <c r="U732" s="39"/>
      <c r="CU732" s="875"/>
      <c r="CV732" s="875"/>
      <c r="CW732" s="875"/>
      <c r="CX732" s="856"/>
      <c r="CY732" s="856"/>
      <c r="CZ732" s="856"/>
      <c r="DA732" s="126"/>
      <c r="DB732" s="126"/>
      <c r="DC732" s="126"/>
      <c r="DD732" s="126"/>
      <c r="DE732" s="856"/>
      <c r="DF732" s="856"/>
      <c r="DG732" s="856"/>
      <c r="DH732" s="856"/>
      <c r="DI732" s="856"/>
      <c r="DJ732" s="856"/>
      <c r="DK732" s="856"/>
      <c r="DL732" s="856"/>
      <c r="DM732" s="152"/>
      <c r="DN732" s="152"/>
      <c r="DO732" s="152"/>
      <c r="DP732" s="152"/>
      <c r="DQ732" s="152"/>
    </row>
    <row r="733" spans="1:121" s="35" customFormat="1" x14ac:dyDescent="0.2">
      <c r="A733" s="34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565"/>
      <c r="R733" s="1097"/>
      <c r="U733" s="39"/>
      <c r="CU733" s="875"/>
      <c r="CV733" s="875"/>
      <c r="CW733" s="875"/>
      <c r="CX733" s="856"/>
      <c r="CY733" s="856"/>
      <c r="CZ733" s="856"/>
      <c r="DA733" s="126"/>
      <c r="DB733" s="126"/>
      <c r="DC733" s="126"/>
      <c r="DD733" s="126"/>
      <c r="DE733" s="856"/>
      <c r="DF733" s="856"/>
      <c r="DG733" s="856"/>
      <c r="DH733" s="856"/>
      <c r="DI733" s="856"/>
      <c r="DJ733" s="856"/>
      <c r="DK733" s="856"/>
      <c r="DL733" s="856"/>
      <c r="DM733" s="152"/>
      <c r="DN733" s="152"/>
      <c r="DO733" s="152"/>
      <c r="DP733" s="152"/>
      <c r="DQ733" s="152"/>
    </row>
    <row r="734" spans="1:121" s="35" customFormat="1" x14ac:dyDescent="0.2">
      <c r="A734" s="34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565"/>
      <c r="R734" s="1097"/>
      <c r="U734" s="39"/>
      <c r="CU734" s="875"/>
      <c r="CV734" s="875"/>
      <c r="CW734" s="875"/>
      <c r="CX734" s="856"/>
      <c r="CY734" s="856"/>
      <c r="CZ734" s="856"/>
      <c r="DA734" s="126"/>
      <c r="DB734" s="126"/>
      <c r="DC734" s="126"/>
      <c r="DD734" s="126"/>
      <c r="DE734" s="856"/>
      <c r="DF734" s="856"/>
      <c r="DG734" s="856"/>
      <c r="DH734" s="856"/>
      <c r="DI734" s="856"/>
      <c r="DJ734" s="856"/>
      <c r="DK734" s="856"/>
      <c r="DL734" s="856"/>
      <c r="DM734" s="152"/>
      <c r="DN734" s="152"/>
      <c r="DO734" s="152"/>
      <c r="DP734" s="152"/>
      <c r="DQ734" s="152"/>
    </row>
    <row r="735" spans="1:121" s="35" customFormat="1" x14ac:dyDescent="0.2">
      <c r="A735" s="34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565"/>
      <c r="R735" s="1097"/>
      <c r="U735" s="39"/>
      <c r="CU735" s="875"/>
      <c r="CV735" s="875"/>
      <c r="CW735" s="875"/>
      <c r="CX735" s="856"/>
      <c r="CY735" s="856"/>
      <c r="CZ735" s="856"/>
      <c r="DA735" s="126"/>
      <c r="DB735" s="126"/>
      <c r="DC735" s="126"/>
      <c r="DD735" s="126"/>
      <c r="DE735" s="856"/>
      <c r="DF735" s="856"/>
      <c r="DG735" s="856"/>
      <c r="DH735" s="856"/>
      <c r="DI735" s="856"/>
      <c r="DJ735" s="856"/>
      <c r="DK735" s="856"/>
      <c r="DL735" s="856"/>
      <c r="DM735" s="152"/>
      <c r="DN735" s="152"/>
      <c r="DO735" s="152"/>
      <c r="DP735" s="152"/>
      <c r="DQ735" s="152"/>
    </row>
    <row r="736" spans="1:121" s="35" customFormat="1" x14ac:dyDescent="0.2">
      <c r="A736" s="34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565"/>
      <c r="R736" s="1097"/>
      <c r="U736" s="39"/>
      <c r="CU736" s="875"/>
      <c r="CV736" s="875"/>
      <c r="CW736" s="875"/>
      <c r="CX736" s="856"/>
      <c r="CY736" s="856"/>
      <c r="CZ736" s="856"/>
      <c r="DA736" s="126"/>
      <c r="DB736" s="126"/>
      <c r="DC736" s="126"/>
      <c r="DD736" s="126"/>
      <c r="DE736" s="856"/>
      <c r="DF736" s="856"/>
      <c r="DG736" s="856"/>
      <c r="DH736" s="856"/>
      <c r="DI736" s="856"/>
      <c r="DJ736" s="856"/>
      <c r="DK736" s="856"/>
      <c r="DL736" s="856"/>
      <c r="DM736" s="152"/>
      <c r="DN736" s="152"/>
      <c r="DO736" s="152"/>
      <c r="DP736" s="152"/>
      <c r="DQ736" s="152"/>
    </row>
    <row r="737" spans="1:121" s="35" customFormat="1" x14ac:dyDescent="0.2">
      <c r="A737" s="34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565"/>
      <c r="R737" s="1097"/>
      <c r="U737" s="39"/>
      <c r="CU737" s="875"/>
      <c r="CV737" s="875"/>
      <c r="CW737" s="875"/>
      <c r="CX737" s="856"/>
      <c r="CY737" s="856"/>
      <c r="CZ737" s="856"/>
      <c r="DA737" s="126"/>
      <c r="DB737" s="126"/>
      <c r="DC737" s="126"/>
      <c r="DD737" s="126"/>
      <c r="DE737" s="856"/>
      <c r="DF737" s="856"/>
      <c r="DG737" s="856"/>
      <c r="DH737" s="856"/>
      <c r="DI737" s="856"/>
      <c r="DJ737" s="856"/>
      <c r="DK737" s="856"/>
      <c r="DL737" s="856"/>
      <c r="DM737" s="152"/>
      <c r="DN737" s="152"/>
      <c r="DO737" s="152"/>
      <c r="DP737" s="152"/>
      <c r="DQ737" s="152"/>
    </row>
    <row r="738" spans="1:121" s="35" customFormat="1" x14ac:dyDescent="0.2">
      <c r="A738" s="34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565"/>
      <c r="R738" s="1097"/>
      <c r="U738" s="39"/>
      <c r="CU738" s="875"/>
      <c r="CV738" s="875"/>
      <c r="CW738" s="875"/>
      <c r="CX738" s="856"/>
      <c r="CY738" s="856"/>
      <c r="CZ738" s="856"/>
      <c r="DA738" s="126"/>
      <c r="DB738" s="126"/>
      <c r="DC738" s="126"/>
      <c r="DD738" s="126"/>
      <c r="DE738" s="856"/>
      <c r="DF738" s="856"/>
      <c r="DG738" s="856"/>
      <c r="DH738" s="856"/>
      <c r="DI738" s="856"/>
      <c r="DJ738" s="856"/>
      <c r="DK738" s="856"/>
      <c r="DL738" s="856"/>
      <c r="DM738" s="152"/>
      <c r="DN738" s="152"/>
      <c r="DO738" s="152"/>
      <c r="DP738" s="152"/>
      <c r="DQ738" s="152"/>
    </row>
    <row r="739" spans="1:121" s="35" customFormat="1" x14ac:dyDescent="0.2">
      <c r="A739" s="34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565"/>
      <c r="R739" s="1097"/>
      <c r="U739" s="39"/>
      <c r="CU739" s="875"/>
      <c r="CV739" s="875"/>
      <c r="CW739" s="875"/>
      <c r="CX739" s="856"/>
      <c r="CY739" s="856"/>
      <c r="CZ739" s="856"/>
      <c r="DA739" s="126"/>
      <c r="DB739" s="126"/>
      <c r="DC739" s="126"/>
      <c r="DD739" s="126"/>
      <c r="DE739" s="856"/>
      <c r="DF739" s="856"/>
      <c r="DG739" s="856"/>
      <c r="DH739" s="856"/>
      <c r="DI739" s="856"/>
      <c r="DJ739" s="856"/>
      <c r="DK739" s="856"/>
      <c r="DL739" s="856"/>
      <c r="DM739" s="152"/>
      <c r="DN739" s="152"/>
      <c r="DO739" s="152"/>
      <c r="DP739" s="152"/>
      <c r="DQ739" s="152"/>
    </row>
    <row r="740" spans="1:121" s="35" customFormat="1" x14ac:dyDescent="0.2">
      <c r="A740" s="34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565"/>
      <c r="R740" s="1097"/>
      <c r="U740" s="39"/>
      <c r="CU740" s="875"/>
      <c r="CV740" s="875"/>
      <c r="CW740" s="875"/>
      <c r="CX740" s="856"/>
      <c r="CY740" s="856"/>
      <c r="CZ740" s="856"/>
      <c r="DA740" s="126"/>
      <c r="DB740" s="126"/>
      <c r="DC740" s="126"/>
      <c r="DD740" s="126"/>
      <c r="DE740" s="856"/>
      <c r="DF740" s="856"/>
      <c r="DG740" s="856"/>
      <c r="DH740" s="856"/>
      <c r="DI740" s="856"/>
      <c r="DJ740" s="856"/>
      <c r="DK740" s="856"/>
      <c r="DL740" s="856"/>
      <c r="DM740" s="152"/>
      <c r="DN740" s="152"/>
      <c r="DO740" s="152"/>
      <c r="DP740" s="152"/>
      <c r="DQ740" s="152"/>
    </row>
    <row r="741" spans="1:121" s="35" customFormat="1" x14ac:dyDescent="0.2">
      <c r="A741" s="34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565"/>
      <c r="R741" s="1097"/>
      <c r="U741" s="39"/>
      <c r="CU741" s="875"/>
      <c r="CV741" s="875"/>
      <c r="CW741" s="875"/>
      <c r="CX741" s="856"/>
      <c r="CY741" s="856"/>
      <c r="CZ741" s="856"/>
      <c r="DA741" s="126"/>
      <c r="DB741" s="126"/>
      <c r="DC741" s="126"/>
      <c r="DD741" s="126"/>
      <c r="DE741" s="856"/>
      <c r="DF741" s="856"/>
      <c r="DG741" s="856"/>
      <c r="DH741" s="856"/>
      <c r="DI741" s="856"/>
      <c r="DJ741" s="856"/>
      <c r="DK741" s="856"/>
      <c r="DL741" s="856"/>
      <c r="DM741" s="152"/>
      <c r="DN741" s="152"/>
      <c r="DO741" s="152"/>
      <c r="DP741" s="152"/>
      <c r="DQ741" s="152"/>
    </row>
    <row r="742" spans="1:121" s="35" customFormat="1" x14ac:dyDescent="0.2">
      <c r="A742" s="34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565"/>
      <c r="R742" s="1097"/>
      <c r="U742" s="39"/>
      <c r="CU742" s="875"/>
      <c r="CV742" s="875"/>
      <c r="CW742" s="875"/>
      <c r="CX742" s="856"/>
      <c r="CY742" s="856"/>
      <c r="CZ742" s="856"/>
      <c r="DA742" s="126"/>
      <c r="DB742" s="126"/>
      <c r="DC742" s="126"/>
      <c r="DD742" s="126"/>
      <c r="DE742" s="856"/>
      <c r="DF742" s="856"/>
      <c r="DG742" s="856"/>
      <c r="DH742" s="856"/>
      <c r="DI742" s="856"/>
      <c r="DJ742" s="856"/>
      <c r="DK742" s="856"/>
      <c r="DL742" s="856"/>
      <c r="DM742" s="152"/>
      <c r="DN742" s="152"/>
      <c r="DO742" s="152"/>
      <c r="DP742" s="152"/>
      <c r="DQ742" s="152"/>
    </row>
    <row r="743" spans="1:121" s="35" customFormat="1" x14ac:dyDescent="0.2">
      <c r="A743" s="34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565"/>
      <c r="R743" s="1097"/>
      <c r="U743" s="39"/>
      <c r="CU743" s="875"/>
      <c r="CV743" s="875"/>
      <c r="CW743" s="875"/>
      <c r="CX743" s="856"/>
      <c r="CY743" s="856"/>
      <c r="CZ743" s="856"/>
      <c r="DA743" s="126"/>
      <c r="DB743" s="126"/>
      <c r="DC743" s="126"/>
      <c r="DD743" s="126"/>
      <c r="DE743" s="856"/>
      <c r="DF743" s="856"/>
      <c r="DG743" s="856"/>
      <c r="DH743" s="856"/>
      <c r="DI743" s="856"/>
      <c r="DJ743" s="856"/>
      <c r="DK743" s="856"/>
      <c r="DL743" s="856"/>
      <c r="DM743" s="152"/>
      <c r="DN743" s="152"/>
      <c r="DO743" s="152"/>
      <c r="DP743" s="152"/>
      <c r="DQ743" s="152"/>
    </row>
    <row r="744" spans="1:121" s="35" customFormat="1" x14ac:dyDescent="0.2">
      <c r="A744" s="34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565"/>
      <c r="R744" s="1097"/>
      <c r="U744" s="39"/>
      <c r="CU744" s="875"/>
      <c r="CV744" s="875"/>
      <c r="CW744" s="875"/>
      <c r="CX744" s="856"/>
      <c r="CY744" s="856"/>
      <c r="CZ744" s="856"/>
      <c r="DA744" s="126"/>
      <c r="DB744" s="126"/>
      <c r="DC744" s="126"/>
      <c r="DD744" s="126"/>
      <c r="DE744" s="856"/>
      <c r="DF744" s="856"/>
      <c r="DG744" s="856"/>
      <c r="DH744" s="856"/>
      <c r="DI744" s="856"/>
      <c r="DJ744" s="856"/>
      <c r="DK744" s="856"/>
      <c r="DL744" s="856"/>
      <c r="DM744" s="152"/>
      <c r="DN744" s="152"/>
      <c r="DO744" s="152"/>
      <c r="DP744" s="152"/>
      <c r="DQ744" s="152"/>
    </row>
    <row r="745" spans="1:121" s="35" customFormat="1" x14ac:dyDescent="0.2">
      <c r="A745" s="34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565"/>
      <c r="R745" s="1097"/>
      <c r="U745" s="39"/>
      <c r="CU745" s="875"/>
      <c r="CV745" s="875"/>
      <c r="CW745" s="875"/>
      <c r="CX745" s="856"/>
      <c r="CY745" s="856"/>
      <c r="CZ745" s="856"/>
      <c r="DA745" s="126"/>
      <c r="DB745" s="126"/>
      <c r="DC745" s="126"/>
      <c r="DD745" s="126"/>
      <c r="DE745" s="856"/>
      <c r="DF745" s="856"/>
      <c r="DG745" s="856"/>
      <c r="DH745" s="856"/>
      <c r="DI745" s="856"/>
      <c r="DJ745" s="856"/>
      <c r="DK745" s="856"/>
      <c r="DL745" s="856"/>
      <c r="DM745" s="152"/>
      <c r="DN745" s="152"/>
      <c r="DO745" s="152"/>
      <c r="DP745" s="152"/>
      <c r="DQ745" s="152"/>
    </row>
    <row r="746" spans="1:121" s="35" customFormat="1" x14ac:dyDescent="0.2">
      <c r="A746" s="34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565"/>
      <c r="R746" s="1097"/>
      <c r="U746" s="39"/>
      <c r="CU746" s="875"/>
      <c r="CV746" s="875"/>
      <c r="CW746" s="875"/>
      <c r="CX746" s="856"/>
      <c r="CY746" s="856"/>
      <c r="CZ746" s="856"/>
      <c r="DA746" s="126"/>
      <c r="DB746" s="126"/>
      <c r="DC746" s="126"/>
      <c r="DD746" s="126"/>
      <c r="DE746" s="856"/>
      <c r="DF746" s="856"/>
      <c r="DG746" s="856"/>
      <c r="DH746" s="856"/>
      <c r="DI746" s="856"/>
      <c r="DJ746" s="856"/>
      <c r="DK746" s="856"/>
      <c r="DL746" s="856"/>
      <c r="DM746" s="152"/>
      <c r="DN746" s="152"/>
      <c r="DO746" s="152"/>
      <c r="DP746" s="152"/>
      <c r="DQ746" s="152"/>
    </row>
    <row r="747" spans="1:121" s="35" customFormat="1" x14ac:dyDescent="0.2">
      <c r="A747" s="34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565"/>
      <c r="R747" s="1097"/>
      <c r="U747" s="39"/>
      <c r="CU747" s="875"/>
      <c r="CV747" s="875"/>
      <c r="CW747" s="875"/>
      <c r="CX747" s="856"/>
      <c r="CY747" s="856"/>
      <c r="CZ747" s="856"/>
      <c r="DA747" s="126"/>
      <c r="DB747" s="126"/>
      <c r="DC747" s="126"/>
      <c r="DD747" s="126"/>
      <c r="DE747" s="856"/>
      <c r="DF747" s="856"/>
      <c r="DG747" s="856"/>
      <c r="DH747" s="856"/>
      <c r="DI747" s="856"/>
      <c r="DJ747" s="856"/>
      <c r="DK747" s="856"/>
      <c r="DL747" s="856"/>
      <c r="DM747" s="152"/>
      <c r="DN747" s="152"/>
      <c r="DO747" s="152"/>
      <c r="DP747" s="152"/>
      <c r="DQ747" s="152"/>
    </row>
    <row r="748" spans="1:121" s="35" customFormat="1" x14ac:dyDescent="0.2">
      <c r="A748" s="34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565"/>
      <c r="R748" s="1097"/>
      <c r="U748" s="39"/>
      <c r="CU748" s="875"/>
      <c r="CV748" s="875"/>
      <c r="CW748" s="875"/>
      <c r="CX748" s="856"/>
      <c r="CY748" s="856"/>
      <c r="CZ748" s="856"/>
      <c r="DA748" s="126"/>
      <c r="DB748" s="126"/>
      <c r="DC748" s="126"/>
      <c r="DD748" s="126"/>
      <c r="DE748" s="856"/>
      <c r="DF748" s="856"/>
      <c r="DG748" s="856"/>
      <c r="DH748" s="856"/>
      <c r="DI748" s="856"/>
      <c r="DJ748" s="856"/>
      <c r="DK748" s="856"/>
      <c r="DL748" s="856"/>
      <c r="DM748" s="152"/>
      <c r="DN748" s="152"/>
      <c r="DO748" s="152"/>
      <c r="DP748" s="152"/>
      <c r="DQ748" s="152"/>
    </row>
    <row r="749" spans="1:121" s="35" customFormat="1" x14ac:dyDescent="0.2">
      <c r="A749" s="34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565"/>
      <c r="R749" s="1097"/>
      <c r="U749" s="39"/>
      <c r="CU749" s="875"/>
      <c r="CV749" s="875"/>
      <c r="CW749" s="875"/>
      <c r="CX749" s="856"/>
      <c r="CY749" s="856"/>
      <c r="CZ749" s="856"/>
      <c r="DA749" s="126"/>
      <c r="DB749" s="126"/>
      <c r="DC749" s="126"/>
      <c r="DD749" s="126"/>
      <c r="DE749" s="856"/>
      <c r="DF749" s="856"/>
      <c r="DG749" s="856"/>
      <c r="DH749" s="856"/>
      <c r="DI749" s="856"/>
      <c r="DJ749" s="856"/>
      <c r="DK749" s="856"/>
      <c r="DL749" s="856"/>
      <c r="DM749" s="152"/>
      <c r="DN749" s="152"/>
      <c r="DO749" s="152"/>
      <c r="DP749" s="152"/>
      <c r="DQ749" s="152"/>
    </row>
    <row r="750" spans="1:121" s="35" customFormat="1" x14ac:dyDescent="0.2">
      <c r="A750" s="34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565"/>
      <c r="R750" s="1097"/>
      <c r="U750" s="39"/>
      <c r="CU750" s="875"/>
      <c r="CV750" s="875"/>
      <c r="CW750" s="875"/>
      <c r="CX750" s="856"/>
      <c r="CY750" s="856"/>
      <c r="CZ750" s="856"/>
      <c r="DA750" s="126"/>
      <c r="DB750" s="126"/>
      <c r="DC750" s="126"/>
      <c r="DD750" s="126"/>
      <c r="DE750" s="856"/>
      <c r="DF750" s="856"/>
      <c r="DG750" s="856"/>
      <c r="DH750" s="856"/>
      <c r="DI750" s="856"/>
      <c r="DJ750" s="856"/>
      <c r="DK750" s="856"/>
      <c r="DL750" s="856"/>
      <c r="DM750" s="152"/>
      <c r="DN750" s="152"/>
      <c r="DO750" s="152"/>
      <c r="DP750" s="152"/>
      <c r="DQ750" s="152"/>
    </row>
    <row r="751" spans="1:121" s="35" customFormat="1" x14ac:dyDescent="0.2">
      <c r="A751" s="34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565"/>
      <c r="R751" s="1097"/>
      <c r="U751" s="39"/>
      <c r="CU751" s="875"/>
      <c r="CV751" s="875"/>
      <c r="CW751" s="875"/>
      <c r="CX751" s="856"/>
      <c r="CY751" s="856"/>
      <c r="CZ751" s="856"/>
      <c r="DA751" s="126"/>
      <c r="DB751" s="126"/>
      <c r="DC751" s="126"/>
      <c r="DD751" s="126"/>
      <c r="DE751" s="856"/>
      <c r="DF751" s="856"/>
      <c r="DG751" s="856"/>
      <c r="DH751" s="856"/>
      <c r="DI751" s="856"/>
      <c r="DJ751" s="856"/>
      <c r="DK751" s="856"/>
      <c r="DL751" s="856"/>
      <c r="DM751" s="152"/>
      <c r="DN751" s="152"/>
      <c r="DO751" s="152"/>
      <c r="DP751" s="152"/>
      <c r="DQ751" s="152"/>
    </row>
    <row r="752" spans="1:121" s="35" customFormat="1" x14ac:dyDescent="0.2">
      <c r="A752" s="34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565"/>
      <c r="R752" s="1097"/>
      <c r="U752" s="39"/>
      <c r="CU752" s="875"/>
      <c r="CV752" s="875"/>
      <c r="CW752" s="875"/>
      <c r="CX752" s="856"/>
      <c r="CY752" s="856"/>
      <c r="CZ752" s="856"/>
      <c r="DA752" s="126"/>
      <c r="DB752" s="126"/>
      <c r="DC752" s="126"/>
      <c r="DD752" s="126"/>
      <c r="DE752" s="856"/>
      <c r="DF752" s="856"/>
      <c r="DG752" s="856"/>
      <c r="DH752" s="856"/>
      <c r="DI752" s="856"/>
      <c r="DJ752" s="856"/>
      <c r="DK752" s="856"/>
      <c r="DL752" s="856"/>
      <c r="DM752" s="152"/>
      <c r="DN752" s="152"/>
      <c r="DO752" s="152"/>
      <c r="DP752" s="152"/>
      <c r="DQ752" s="152"/>
    </row>
    <row r="753" spans="1:121" s="35" customFormat="1" x14ac:dyDescent="0.2">
      <c r="A753" s="34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565"/>
      <c r="R753" s="1097"/>
      <c r="U753" s="39"/>
      <c r="CU753" s="875"/>
      <c r="CV753" s="875"/>
      <c r="CW753" s="875"/>
      <c r="CX753" s="856"/>
      <c r="CY753" s="856"/>
      <c r="CZ753" s="856"/>
      <c r="DA753" s="126"/>
      <c r="DB753" s="126"/>
      <c r="DC753" s="126"/>
      <c r="DD753" s="126"/>
      <c r="DE753" s="856"/>
      <c r="DF753" s="856"/>
      <c r="DG753" s="856"/>
      <c r="DH753" s="856"/>
      <c r="DI753" s="856"/>
      <c r="DJ753" s="856"/>
      <c r="DK753" s="856"/>
      <c r="DL753" s="856"/>
      <c r="DM753" s="152"/>
      <c r="DN753" s="152"/>
      <c r="DO753" s="152"/>
      <c r="DP753" s="152"/>
      <c r="DQ753" s="152"/>
    </row>
    <row r="754" spans="1:121" s="35" customFormat="1" x14ac:dyDescent="0.2">
      <c r="A754" s="34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565"/>
      <c r="R754" s="1097"/>
      <c r="U754" s="39"/>
      <c r="CU754" s="875"/>
      <c r="CV754" s="875"/>
      <c r="CW754" s="875"/>
      <c r="CX754" s="856"/>
      <c r="CY754" s="856"/>
      <c r="CZ754" s="856"/>
      <c r="DA754" s="126"/>
      <c r="DB754" s="126"/>
      <c r="DC754" s="126"/>
      <c r="DD754" s="126"/>
      <c r="DE754" s="856"/>
      <c r="DF754" s="856"/>
      <c r="DG754" s="856"/>
      <c r="DH754" s="856"/>
      <c r="DI754" s="856"/>
      <c r="DJ754" s="856"/>
      <c r="DK754" s="856"/>
      <c r="DL754" s="856"/>
      <c r="DM754" s="152"/>
      <c r="DN754" s="152"/>
      <c r="DO754" s="152"/>
      <c r="DP754" s="152"/>
      <c r="DQ754" s="152"/>
    </row>
    <row r="755" spans="1:121" s="35" customFormat="1" x14ac:dyDescent="0.2">
      <c r="A755" s="34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565"/>
      <c r="R755" s="1097"/>
      <c r="U755" s="39"/>
      <c r="CU755" s="875"/>
      <c r="CV755" s="875"/>
      <c r="CW755" s="875"/>
      <c r="CX755" s="856"/>
      <c r="CY755" s="856"/>
      <c r="CZ755" s="856"/>
      <c r="DA755" s="126"/>
      <c r="DB755" s="126"/>
      <c r="DC755" s="126"/>
      <c r="DD755" s="126"/>
      <c r="DE755" s="856"/>
      <c r="DF755" s="856"/>
      <c r="DG755" s="856"/>
      <c r="DH755" s="856"/>
      <c r="DI755" s="856"/>
      <c r="DJ755" s="856"/>
      <c r="DK755" s="856"/>
      <c r="DL755" s="856"/>
      <c r="DM755" s="152"/>
      <c r="DN755" s="152"/>
      <c r="DO755" s="152"/>
      <c r="DP755" s="152"/>
      <c r="DQ755" s="152"/>
    </row>
    <row r="756" spans="1:121" s="35" customFormat="1" x14ac:dyDescent="0.2">
      <c r="A756" s="34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565"/>
      <c r="R756" s="1097"/>
      <c r="U756" s="39"/>
      <c r="CU756" s="875"/>
      <c r="CV756" s="875"/>
      <c r="CW756" s="875"/>
      <c r="CX756" s="856"/>
      <c r="CY756" s="856"/>
      <c r="CZ756" s="856"/>
      <c r="DA756" s="126"/>
      <c r="DB756" s="126"/>
      <c r="DC756" s="126"/>
      <c r="DD756" s="126"/>
      <c r="DE756" s="856"/>
      <c r="DF756" s="856"/>
      <c r="DG756" s="856"/>
      <c r="DH756" s="856"/>
      <c r="DI756" s="856"/>
      <c r="DJ756" s="856"/>
      <c r="DK756" s="856"/>
      <c r="DL756" s="856"/>
      <c r="DM756" s="152"/>
      <c r="DN756" s="152"/>
      <c r="DO756" s="152"/>
      <c r="DP756" s="152"/>
      <c r="DQ756" s="152"/>
    </row>
    <row r="757" spans="1:121" s="35" customFormat="1" x14ac:dyDescent="0.2">
      <c r="A757" s="34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565"/>
      <c r="R757" s="1097"/>
      <c r="U757" s="39"/>
      <c r="CU757" s="875"/>
      <c r="CV757" s="875"/>
      <c r="CW757" s="875"/>
      <c r="CX757" s="856"/>
      <c r="CY757" s="856"/>
      <c r="CZ757" s="856"/>
      <c r="DA757" s="126"/>
      <c r="DB757" s="126"/>
      <c r="DC757" s="126"/>
      <c r="DD757" s="126"/>
      <c r="DE757" s="856"/>
      <c r="DF757" s="856"/>
      <c r="DG757" s="856"/>
      <c r="DH757" s="856"/>
      <c r="DI757" s="856"/>
      <c r="DJ757" s="856"/>
      <c r="DK757" s="856"/>
      <c r="DL757" s="856"/>
      <c r="DM757" s="152"/>
      <c r="DN757" s="152"/>
      <c r="DO757" s="152"/>
      <c r="DP757" s="152"/>
      <c r="DQ757" s="152"/>
    </row>
    <row r="758" spans="1:121" s="35" customFormat="1" x14ac:dyDescent="0.2">
      <c r="A758" s="34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565"/>
      <c r="R758" s="1097"/>
      <c r="U758" s="39"/>
      <c r="CU758" s="875"/>
      <c r="CV758" s="875"/>
      <c r="CW758" s="875"/>
      <c r="CX758" s="856"/>
      <c r="CY758" s="856"/>
      <c r="CZ758" s="856"/>
      <c r="DA758" s="126"/>
      <c r="DB758" s="126"/>
      <c r="DC758" s="126"/>
      <c r="DD758" s="126"/>
      <c r="DE758" s="856"/>
      <c r="DF758" s="856"/>
      <c r="DG758" s="856"/>
      <c r="DH758" s="856"/>
      <c r="DI758" s="856"/>
      <c r="DJ758" s="856"/>
      <c r="DK758" s="856"/>
      <c r="DL758" s="856"/>
      <c r="DM758" s="152"/>
      <c r="DN758" s="152"/>
      <c r="DO758" s="152"/>
      <c r="DP758" s="152"/>
      <c r="DQ758" s="152"/>
    </row>
    <row r="759" spans="1:121" s="35" customFormat="1" x14ac:dyDescent="0.2">
      <c r="A759" s="34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565"/>
      <c r="R759" s="1097"/>
      <c r="U759" s="39"/>
      <c r="CU759" s="875"/>
      <c r="CV759" s="875"/>
      <c r="CW759" s="875"/>
      <c r="CX759" s="856"/>
      <c r="CY759" s="856"/>
      <c r="CZ759" s="856"/>
      <c r="DA759" s="126"/>
      <c r="DB759" s="126"/>
      <c r="DC759" s="126"/>
      <c r="DD759" s="126"/>
      <c r="DE759" s="856"/>
      <c r="DF759" s="856"/>
      <c r="DG759" s="856"/>
      <c r="DH759" s="856"/>
      <c r="DI759" s="856"/>
      <c r="DJ759" s="856"/>
      <c r="DK759" s="856"/>
      <c r="DL759" s="856"/>
      <c r="DM759" s="152"/>
      <c r="DN759" s="152"/>
      <c r="DO759" s="152"/>
      <c r="DP759" s="152"/>
      <c r="DQ759" s="152"/>
    </row>
    <row r="760" spans="1:121" s="35" customFormat="1" x14ac:dyDescent="0.2">
      <c r="A760" s="34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565"/>
      <c r="R760" s="1097"/>
      <c r="U760" s="39"/>
      <c r="CU760" s="875"/>
      <c r="CV760" s="875"/>
      <c r="CW760" s="875"/>
      <c r="CX760" s="856"/>
      <c r="CY760" s="856"/>
      <c r="CZ760" s="856"/>
      <c r="DA760" s="126"/>
      <c r="DB760" s="126"/>
      <c r="DC760" s="126"/>
      <c r="DD760" s="126"/>
      <c r="DE760" s="856"/>
      <c r="DF760" s="856"/>
      <c r="DG760" s="856"/>
      <c r="DH760" s="856"/>
      <c r="DI760" s="856"/>
      <c r="DJ760" s="856"/>
      <c r="DK760" s="856"/>
      <c r="DL760" s="856"/>
      <c r="DM760" s="152"/>
      <c r="DN760" s="152"/>
      <c r="DO760" s="152"/>
      <c r="DP760" s="152"/>
      <c r="DQ760" s="152"/>
    </row>
    <row r="761" spans="1:121" s="35" customFormat="1" x14ac:dyDescent="0.2">
      <c r="A761" s="34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565"/>
      <c r="R761" s="1097"/>
      <c r="U761" s="39"/>
      <c r="CU761" s="875"/>
      <c r="CV761" s="875"/>
      <c r="CW761" s="875"/>
      <c r="CX761" s="856"/>
      <c r="CY761" s="856"/>
      <c r="CZ761" s="856"/>
      <c r="DA761" s="126"/>
      <c r="DB761" s="126"/>
      <c r="DC761" s="126"/>
      <c r="DD761" s="126"/>
      <c r="DE761" s="856"/>
      <c r="DF761" s="856"/>
      <c r="DG761" s="856"/>
      <c r="DH761" s="856"/>
      <c r="DI761" s="856"/>
      <c r="DJ761" s="856"/>
      <c r="DK761" s="856"/>
      <c r="DL761" s="856"/>
      <c r="DM761" s="152"/>
      <c r="DN761" s="152"/>
      <c r="DO761" s="152"/>
      <c r="DP761" s="152"/>
      <c r="DQ761" s="152"/>
    </row>
    <row r="762" spans="1:121" s="35" customFormat="1" x14ac:dyDescent="0.2">
      <c r="A762" s="34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565"/>
      <c r="R762" s="1097"/>
      <c r="U762" s="39"/>
      <c r="CU762" s="875"/>
      <c r="CV762" s="875"/>
      <c r="CW762" s="875"/>
      <c r="CX762" s="856"/>
      <c r="CY762" s="856"/>
      <c r="CZ762" s="856"/>
      <c r="DA762" s="126"/>
      <c r="DB762" s="126"/>
      <c r="DC762" s="126"/>
      <c r="DD762" s="126"/>
      <c r="DE762" s="856"/>
      <c r="DF762" s="856"/>
      <c r="DG762" s="856"/>
      <c r="DH762" s="856"/>
      <c r="DI762" s="856"/>
      <c r="DJ762" s="856"/>
      <c r="DK762" s="856"/>
      <c r="DL762" s="856"/>
      <c r="DM762" s="152"/>
      <c r="DN762" s="152"/>
      <c r="DO762" s="152"/>
      <c r="DP762" s="152"/>
      <c r="DQ762" s="152"/>
    </row>
    <row r="763" spans="1:121" s="35" customFormat="1" x14ac:dyDescent="0.2">
      <c r="A763" s="34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565"/>
      <c r="R763" s="1097"/>
      <c r="U763" s="39"/>
      <c r="CU763" s="875"/>
      <c r="CV763" s="875"/>
      <c r="CW763" s="875"/>
      <c r="CX763" s="856"/>
      <c r="CY763" s="856"/>
      <c r="CZ763" s="856"/>
      <c r="DA763" s="126"/>
      <c r="DB763" s="126"/>
      <c r="DC763" s="126"/>
      <c r="DD763" s="126"/>
      <c r="DE763" s="856"/>
      <c r="DF763" s="856"/>
      <c r="DG763" s="856"/>
      <c r="DH763" s="856"/>
      <c r="DI763" s="856"/>
      <c r="DJ763" s="856"/>
      <c r="DK763" s="856"/>
      <c r="DL763" s="856"/>
      <c r="DM763" s="152"/>
      <c r="DN763" s="152"/>
      <c r="DO763" s="152"/>
      <c r="DP763" s="152"/>
      <c r="DQ763" s="152"/>
    </row>
    <row r="764" spans="1:121" s="35" customFormat="1" x14ac:dyDescent="0.2">
      <c r="A764" s="34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565"/>
      <c r="R764" s="1097"/>
      <c r="U764" s="39"/>
      <c r="CU764" s="875"/>
      <c r="CV764" s="875"/>
      <c r="CW764" s="875"/>
      <c r="CX764" s="856"/>
      <c r="CY764" s="856"/>
      <c r="CZ764" s="856"/>
      <c r="DA764" s="126"/>
      <c r="DB764" s="126"/>
      <c r="DC764" s="126"/>
      <c r="DD764" s="126"/>
      <c r="DE764" s="856"/>
      <c r="DF764" s="856"/>
      <c r="DG764" s="856"/>
      <c r="DH764" s="856"/>
      <c r="DI764" s="856"/>
      <c r="DJ764" s="856"/>
      <c r="DK764" s="856"/>
      <c r="DL764" s="856"/>
      <c r="DM764" s="152"/>
      <c r="DN764" s="152"/>
      <c r="DO764" s="152"/>
      <c r="DP764" s="152"/>
      <c r="DQ764" s="152"/>
    </row>
    <row r="765" spans="1:121" s="35" customFormat="1" x14ac:dyDescent="0.2">
      <c r="A765" s="34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565"/>
      <c r="R765" s="1097"/>
      <c r="U765" s="39"/>
      <c r="CU765" s="875"/>
      <c r="CV765" s="875"/>
      <c r="CW765" s="875"/>
      <c r="CX765" s="856"/>
      <c r="CY765" s="856"/>
      <c r="CZ765" s="856"/>
      <c r="DA765" s="126"/>
      <c r="DB765" s="126"/>
      <c r="DC765" s="126"/>
      <c r="DD765" s="126"/>
      <c r="DE765" s="856"/>
      <c r="DF765" s="856"/>
      <c r="DG765" s="856"/>
      <c r="DH765" s="856"/>
      <c r="DI765" s="856"/>
      <c r="DJ765" s="856"/>
      <c r="DK765" s="856"/>
      <c r="DL765" s="856"/>
      <c r="DM765" s="152"/>
      <c r="DN765" s="152"/>
      <c r="DO765" s="152"/>
      <c r="DP765" s="152"/>
      <c r="DQ765" s="152"/>
    </row>
    <row r="766" spans="1:121" s="35" customFormat="1" x14ac:dyDescent="0.2">
      <c r="A766" s="34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565"/>
      <c r="R766" s="1097"/>
      <c r="U766" s="39"/>
      <c r="CU766" s="875"/>
      <c r="CV766" s="875"/>
      <c r="CW766" s="875"/>
      <c r="CX766" s="856"/>
      <c r="CY766" s="856"/>
      <c r="CZ766" s="856"/>
      <c r="DA766" s="126"/>
      <c r="DB766" s="126"/>
      <c r="DC766" s="126"/>
      <c r="DD766" s="126"/>
      <c r="DE766" s="856"/>
      <c r="DF766" s="856"/>
      <c r="DG766" s="856"/>
      <c r="DH766" s="856"/>
      <c r="DI766" s="856"/>
      <c r="DJ766" s="856"/>
      <c r="DK766" s="856"/>
      <c r="DL766" s="856"/>
      <c r="DM766" s="152"/>
      <c r="DN766" s="152"/>
      <c r="DO766" s="152"/>
      <c r="DP766" s="152"/>
      <c r="DQ766" s="152"/>
    </row>
    <row r="767" spans="1:121" s="35" customFormat="1" x14ac:dyDescent="0.2">
      <c r="A767" s="34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565"/>
      <c r="R767" s="1097"/>
      <c r="U767" s="39"/>
      <c r="CU767" s="875"/>
      <c r="CV767" s="875"/>
      <c r="CW767" s="875"/>
      <c r="CX767" s="856"/>
      <c r="CY767" s="856"/>
      <c r="CZ767" s="856"/>
      <c r="DA767" s="126"/>
      <c r="DB767" s="126"/>
      <c r="DC767" s="126"/>
      <c r="DD767" s="126"/>
      <c r="DE767" s="856"/>
      <c r="DF767" s="856"/>
      <c r="DG767" s="856"/>
      <c r="DH767" s="856"/>
      <c r="DI767" s="856"/>
      <c r="DJ767" s="856"/>
      <c r="DK767" s="856"/>
      <c r="DL767" s="856"/>
      <c r="DM767" s="152"/>
      <c r="DN767" s="152"/>
      <c r="DO767" s="152"/>
      <c r="DP767" s="152"/>
      <c r="DQ767" s="152"/>
    </row>
    <row r="768" spans="1:121" s="35" customFormat="1" x14ac:dyDescent="0.2">
      <c r="A768" s="34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565"/>
      <c r="R768" s="1097"/>
      <c r="U768" s="39"/>
      <c r="CU768" s="875"/>
      <c r="CV768" s="875"/>
      <c r="CW768" s="875"/>
      <c r="CX768" s="856"/>
      <c r="CY768" s="856"/>
      <c r="CZ768" s="856"/>
      <c r="DA768" s="126"/>
      <c r="DB768" s="126"/>
      <c r="DC768" s="126"/>
      <c r="DD768" s="126"/>
      <c r="DE768" s="856"/>
      <c r="DF768" s="856"/>
      <c r="DG768" s="856"/>
      <c r="DH768" s="856"/>
      <c r="DI768" s="856"/>
      <c r="DJ768" s="856"/>
      <c r="DK768" s="856"/>
      <c r="DL768" s="856"/>
      <c r="DM768" s="152"/>
      <c r="DN768" s="152"/>
      <c r="DO768" s="152"/>
      <c r="DP768" s="152"/>
      <c r="DQ768" s="152"/>
    </row>
    <row r="769" spans="1:121" s="35" customFormat="1" x14ac:dyDescent="0.2">
      <c r="A769" s="34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565"/>
      <c r="R769" s="1097"/>
      <c r="U769" s="39"/>
      <c r="CU769" s="875"/>
      <c r="CV769" s="875"/>
      <c r="CW769" s="875"/>
      <c r="CX769" s="856"/>
      <c r="CY769" s="856"/>
      <c r="CZ769" s="856"/>
      <c r="DA769" s="126"/>
      <c r="DB769" s="126"/>
      <c r="DC769" s="126"/>
      <c r="DD769" s="126"/>
      <c r="DE769" s="856"/>
      <c r="DF769" s="856"/>
      <c r="DG769" s="856"/>
      <c r="DH769" s="856"/>
      <c r="DI769" s="856"/>
      <c r="DJ769" s="856"/>
      <c r="DK769" s="856"/>
      <c r="DL769" s="856"/>
      <c r="DM769" s="152"/>
      <c r="DN769" s="152"/>
      <c r="DO769" s="152"/>
      <c r="DP769" s="152"/>
      <c r="DQ769" s="152"/>
    </row>
    <row r="770" spans="1:121" s="35" customFormat="1" x14ac:dyDescent="0.2">
      <c r="A770" s="34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565"/>
      <c r="R770" s="1097"/>
      <c r="U770" s="39"/>
      <c r="CU770" s="875"/>
      <c r="CV770" s="875"/>
      <c r="CW770" s="875"/>
      <c r="CX770" s="856"/>
      <c r="CY770" s="856"/>
      <c r="CZ770" s="856"/>
      <c r="DA770" s="126"/>
      <c r="DB770" s="126"/>
      <c r="DC770" s="126"/>
      <c r="DD770" s="126"/>
      <c r="DE770" s="856"/>
      <c r="DF770" s="856"/>
      <c r="DG770" s="856"/>
      <c r="DH770" s="856"/>
      <c r="DI770" s="856"/>
      <c r="DJ770" s="856"/>
      <c r="DK770" s="856"/>
      <c r="DL770" s="856"/>
      <c r="DM770" s="152"/>
      <c r="DN770" s="152"/>
      <c r="DO770" s="152"/>
      <c r="DP770" s="152"/>
      <c r="DQ770" s="152"/>
    </row>
    <row r="771" spans="1:121" s="35" customFormat="1" x14ac:dyDescent="0.2">
      <c r="A771" s="34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565"/>
      <c r="R771" s="1097"/>
      <c r="U771" s="39"/>
      <c r="CU771" s="875"/>
      <c r="CV771" s="875"/>
      <c r="CW771" s="875"/>
      <c r="CX771" s="856"/>
      <c r="CY771" s="856"/>
      <c r="CZ771" s="856"/>
      <c r="DA771" s="126"/>
      <c r="DB771" s="126"/>
      <c r="DC771" s="126"/>
      <c r="DD771" s="126"/>
      <c r="DE771" s="856"/>
      <c r="DF771" s="856"/>
      <c r="DG771" s="856"/>
      <c r="DH771" s="856"/>
      <c r="DI771" s="856"/>
      <c r="DJ771" s="856"/>
      <c r="DK771" s="856"/>
      <c r="DL771" s="856"/>
      <c r="DM771" s="152"/>
      <c r="DN771" s="152"/>
      <c r="DO771" s="152"/>
      <c r="DP771" s="152"/>
      <c r="DQ771" s="152"/>
    </row>
    <row r="772" spans="1:121" s="35" customFormat="1" x14ac:dyDescent="0.2">
      <c r="A772" s="34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565"/>
      <c r="R772" s="1097"/>
      <c r="U772" s="39"/>
      <c r="CU772" s="875"/>
      <c r="CV772" s="875"/>
      <c r="CW772" s="875"/>
      <c r="CX772" s="856"/>
      <c r="CY772" s="856"/>
      <c r="CZ772" s="856"/>
      <c r="DA772" s="126"/>
      <c r="DB772" s="126"/>
      <c r="DC772" s="126"/>
      <c r="DD772" s="126"/>
      <c r="DE772" s="856"/>
      <c r="DF772" s="856"/>
      <c r="DG772" s="856"/>
      <c r="DH772" s="856"/>
      <c r="DI772" s="856"/>
      <c r="DJ772" s="856"/>
      <c r="DK772" s="856"/>
      <c r="DL772" s="856"/>
      <c r="DM772" s="152"/>
      <c r="DN772" s="152"/>
      <c r="DO772" s="152"/>
      <c r="DP772" s="152"/>
      <c r="DQ772" s="152"/>
    </row>
    <row r="773" spans="1:121" s="35" customFormat="1" x14ac:dyDescent="0.2">
      <c r="A773" s="34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565"/>
      <c r="R773" s="1097"/>
      <c r="U773" s="39"/>
      <c r="CU773" s="875"/>
      <c r="CV773" s="875"/>
      <c r="CW773" s="875"/>
      <c r="CX773" s="856"/>
      <c r="CY773" s="856"/>
      <c r="CZ773" s="856"/>
      <c r="DA773" s="126"/>
      <c r="DB773" s="126"/>
      <c r="DC773" s="126"/>
      <c r="DD773" s="126"/>
      <c r="DE773" s="856"/>
      <c r="DF773" s="856"/>
      <c r="DG773" s="856"/>
      <c r="DH773" s="856"/>
      <c r="DI773" s="856"/>
      <c r="DJ773" s="856"/>
      <c r="DK773" s="856"/>
      <c r="DL773" s="856"/>
      <c r="DM773" s="152"/>
      <c r="DN773" s="152"/>
      <c r="DO773" s="152"/>
      <c r="DP773" s="152"/>
      <c r="DQ773" s="152"/>
    </row>
    <row r="774" spans="1:121" s="35" customFormat="1" x14ac:dyDescent="0.2">
      <c r="A774" s="34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565"/>
      <c r="R774" s="1097"/>
      <c r="U774" s="39"/>
      <c r="CU774" s="875"/>
      <c r="CV774" s="875"/>
      <c r="CW774" s="875"/>
      <c r="CX774" s="856"/>
      <c r="CY774" s="856"/>
      <c r="CZ774" s="856"/>
      <c r="DA774" s="126"/>
      <c r="DB774" s="126"/>
      <c r="DC774" s="126"/>
      <c r="DD774" s="126"/>
      <c r="DE774" s="856"/>
      <c r="DF774" s="856"/>
      <c r="DG774" s="856"/>
      <c r="DH774" s="856"/>
      <c r="DI774" s="856"/>
      <c r="DJ774" s="856"/>
      <c r="DK774" s="856"/>
      <c r="DL774" s="856"/>
      <c r="DM774" s="152"/>
      <c r="DN774" s="152"/>
      <c r="DO774" s="152"/>
      <c r="DP774" s="152"/>
      <c r="DQ774" s="152"/>
    </row>
    <row r="775" spans="1:121" s="35" customFormat="1" x14ac:dyDescent="0.2">
      <c r="A775" s="34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565"/>
      <c r="R775" s="1097"/>
      <c r="U775" s="39"/>
      <c r="CU775" s="875"/>
      <c r="CV775" s="875"/>
      <c r="CW775" s="875"/>
      <c r="CX775" s="856"/>
      <c r="CY775" s="856"/>
      <c r="CZ775" s="856"/>
      <c r="DA775" s="126"/>
      <c r="DB775" s="126"/>
      <c r="DC775" s="126"/>
      <c r="DD775" s="126"/>
      <c r="DE775" s="856"/>
      <c r="DF775" s="856"/>
      <c r="DG775" s="856"/>
      <c r="DH775" s="856"/>
      <c r="DI775" s="856"/>
      <c r="DJ775" s="856"/>
      <c r="DK775" s="856"/>
      <c r="DL775" s="856"/>
      <c r="DM775" s="152"/>
      <c r="DN775" s="152"/>
      <c r="DO775" s="152"/>
      <c r="DP775" s="152"/>
      <c r="DQ775" s="152"/>
    </row>
    <row r="776" spans="1:121" s="35" customFormat="1" x14ac:dyDescent="0.2">
      <c r="A776" s="34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565"/>
      <c r="R776" s="1097"/>
      <c r="U776" s="39"/>
      <c r="CU776" s="875"/>
      <c r="CV776" s="875"/>
      <c r="CW776" s="875"/>
      <c r="CX776" s="856"/>
      <c r="CY776" s="856"/>
      <c r="CZ776" s="856"/>
      <c r="DA776" s="126"/>
      <c r="DB776" s="126"/>
      <c r="DC776" s="126"/>
      <c r="DD776" s="126"/>
      <c r="DE776" s="856"/>
      <c r="DF776" s="856"/>
      <c r="DG776" s="856"/>
      <c r="DH776" s="856"/>
      <c r="DI776" s="856"/>
      <c r="DJ776" s="856"/>
      <c r="DK776" s="856"/>
      <c r="DL776" s="856"/>
      <c r="DM776" s="152"/>
      <c r="DN776" s="152"/>
      <c r="DO776" s="152"/>
      <c r="DP776" s="152"/>
      <c r="DQ776" s="152"/>
    </row>
    <row r="777" spans="1:121" s="35" customFormat="1" x14ac:dyDescent="0.2">
      <c r="A777" s="34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565"/>
      <c r="R777" s="1097"/>
      <c r="U777" s="39"/>
      <c r="CU777" s="875"/>
      <c r="CV777" s="875"/>
      <c r="CW777" s="875"/>
      <c r="CX777" s="856"/>
      <c r="CY777" s="856"/>
      <c r="CZ777" s="856"/>
      <c r="DA777" s="126"/>
      <c r="DB777" s="126"/>
      <c r="DC777" s="126"/>
      <c r="DD777" s="126"/>
      <c r="DE777" s="856"/>
      <c r="DF777" s="856"/>
      <c r="DG777" s="856"/>
      <c r="DH777" s="856"/>
      <c r="DI777" s="856"/>
      <c r="DJ777" s="856"/>
      <c r="DK777" s="856"/>
      <c r="DL777" s="856"/>
      <c r="DM777" s="152"/>
      <c r="DN777" s="152"/>
      <c r="DO777" s="152"/>
      <c r="DP777" s="152"/>
      <c r="DQ777" s="152"/>
    </row>
    <row r="778" spans="1:121" s="35" customFormat="1" x14ac:dyDescent="0.2">
      <c r="A778" s="34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565"/>
      <c r="R778" s="1097"/>
      <c r="U778" s="39"/>
      <c r="CU778" s="875"/>
      <c r="CV778" s="875"/>
      <c r="CW778" s="875"/>
      <c r="CX778" s="856"/>
      <c r="CY778" s="856"/>
      <c r="CZ778" s="856"/>
      <c r="DA778" s="126"/>
      <c r="DB778" s="126"/>
      <c r="DC778" s="126"/>
      <c r="DD778" s="126"/>
      <c r="DE778" s="856"/>
      <c r="DF778" s="856"/>
      <c r="DG778" s="856"/>
      <c r="DH778" s="856"/>
      <c r="DI778" s="856"/>
      <c r="DJ778" s="856"/>
      <c r="DK778" s="856"/>
      <c r="DL778" s="856"/>
      <c r="DM778" s="152"/>
      <c r="DN778" s="152"/>
      <c r="DO778" s="152"/>
      <c r="DP778" s="152"/>
      <c r="DQ778" s="152"/>
    </row>
    <row r="779" spans="1:121" s="35" customFormat="1" x14ac:dyDescent="0.2">
      <c r="A779" s="34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565"/>
      <c r="R779" s="1097"/>
      <c r="U779" s="39"/>
      <c r="CU779" s="875"/>
      <c r="CV779" s="875"/>
      <c r="CW779" s="875"/>
      <c r="CX779" s="856"/>
      <c r="CY779" s="856"/>
      <c r="CZ779" s="856"/>
      <c r="DA779" s="126"/>
      <c r="DB779" s="126"/>
      <c r="DC779" s="126"/>
      <c r="DD779" s="126"/>
      <c r="DE779" s="856"/>
      <c r="DF779" s="856"/>
      <c r="DG779" s="856"/>
      <c r="DH779" s="856"/>
      <c r="DI779" s="856"/>
      <c r="DJ779" s="856"/>
      <c r="DK779" s="856"/>
      <c r="DL779" s="856"/>
      <c r="DM779" s="152"/>
      <c r="DN779" s="152"/>
      <c r="DO779" s="152"/>
      <c r="DP779" s="152"/>
      <c r="DQ779" s="152"/>
    </row>
    <row r="780" spans="1:121" s="35" customFormat="1" x14ac:dyDescent="0.2">
      <c r="A780" s="34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565"/>
      <c r="R780" s="1097"/>
      <c r="U780" s="39"/>
      <c r="CU780" s="875"/>
      <c r="CV780" s="875"/>
      <c r="CW780" s="875"/>
      <c r="CX780" s="856"/>
      <c r="CY780" s="856"/>
      <c r="CZ780" s="856"/>
      <c r="DA780" s="126"/>
      <c r="DB780" s="126"/>
      <c r="DC780" s="126"/>
      <c r="DD780" s="126"/>
      <c r="DE780" s="856"/>
      <c r="DF780" s="856"/>
      <c r="DG780" s="856"/>
      <c r="DH780" s="856"/>
      <c r="DI780" s="856"/>
      <c r="DJ780" s="856"/>
      <c r="DK780" s="856"/>
      <c r="DL780" s="856"/>
      <c r="DM780" s="152"/>
      <c r="DN780" s="152"/>
      <c r="DO780" s="152"/>
      <c r="DP780" s="152"/>
      <c r="DQ780" s="152"/>
    </row>
    <row r="781" spans="1:121" s="35" customFormat="1" x14ac:dyDescent="0.2">
      <c r="A781" s="34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565"/>
      <c r="R781" s="1097"/>
      <c r="U781" s="39"/>
      <c r="CU781" s="875"/>
      <c r="CV781" s="875"/>
      <c r="CW781" s="875"/>
      <c r="CX781" s="856"/>
      <c r="CY781" s="856"/>
      <c r="CZ781" s="856"/>
      <c r="DA781" s="126"/>
      <c r="DB781" s="126"/>
      <c r="DC781" s="126"/>
      <c r="DD781" s="126"/>
      <c r="DE781" s="856"/>
      <c r="DF781" s="856"/>
      <c r="DG781" s="856"/>
      <c r="DH781" s="856"/>
      <c r="DI781" s="856"/>
      <c r="DJ781" s="856"/>
      <c r="DK781" s="856"/>
      <c r="DL781" s="856"/>
      <c r="DM781" s="152"/>
      <c r="DN781" s="152"/>
      <c r="DO781" s="152"/>
      <c r="DP781" s="152"/>
      <c r="DQ781" s="152"/>
    </row>
    <row r="782" spans="1:121" s="35" customFormat="1" x14ac:dyDescent="0.2">
      <c r="A782" s="34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565"/>
      <c r="R782" s="1097"/>
      <c r="U782" s="39"/>
      <c r="CU782" s="875"/>
      <c r="CV782" s="875"/>
      <c r="CW782" s="875"/>
      <c r="CX782" s="856"/>
      <c r="CY782" s="856"/>
      <c r="CZ782" s="856"/>
      <c r="DA782" s="126"/>
      <c r="DB782" s="126"/>
      <c r="DC782" s="126"/>
      <c r="DD782" s="126"/>
      <c r="DE782" s="856"/>
      <c r="DF782" s="856"/>
      <c r="DG782" s="856"/>
      <c r="DH782" s="856"/>
      <c r="DI782" s="856"/>
      <c r="DJ782" s="856"/>
      <c r="DK782" s="856"/>
      <c r="DL782" s="856"/>
      <c r="DM782" s="152"/>
      <c r="DN782" s="152"/>
      <c r="DO782" s="152"/>
      <c r="DP782" s="152"/>
      <c r="DQ782" s="152"/>
    </row>
    <row r="783" spans="1:121" s="35" customFormat="1" x14ac:dyDescent="0.2">
      <c r="A783" s="34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565"/>
      <c r="R783" s="1097"/>
      <c r="U783" s="39"/>
      <c r="CU783" s="875"/>
      <c r="CV783" s="875"/>
      <c r="CW783" s="875"/>
      <c r="CX783" s="856"/>
      <c r="CY783" s="856"/>
      <c r="CZ783" s="856"/>
      <c r="DA783" s="126"/>
      <c r="DB783" s="126"/>
      <c r="DC783" s="126"/>
      <c r="DD783" s="126"/>
      <c r="DE783" s="856"/>
      <c r="DF783" s="856"/>
      <c r="DG783" s="856"/>
      <c r="DH783" s="856"/>
      <c r="DI783" s="856"/>
      <c r="DJ783" s="856"/>
      <c r="DK783" s="856"/>
      <c r="DL783" s="856"/>
      <c r="DM783" s="152"/>
      <c r="DN783" s="152"/>
      <c r="DO783" s="152"/>
      <c r="DP783" s="152"/>
      <c r="DQ783" s="152"/>
    </row>
    <row r="784" spans="1:121" s="35" customFormat="1" x14ac:dyDescent="0.2">
      <c r="A784" s="34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565"/>
      <c r="R784" s="1097"/>
      <c r="U784" s="39"/>
      <c r="CU784" s="875"/>
      <c r="CV784" s="875"/>
      <c r="CW784" s="875"/>
      <c r="CX784" s="856"/>
      <c r="CY784" s="856"/>
      <c r="CZ784" s="856"/>
      <c r="DA784" s="126"/>
      <c r="DB784" s="126"/>
      <c r="DC784" s="126"/>
      <c r="DD784" s="126"/>
      <c r="DE784" s="856"/>
      <c r="DF784" s="856"/>
      <c r="DG784" s="856"/>
      <c r="DH784" s="856"/>
      <c r="DI784" s="856"/>
      <c r="DJ784" s="856"/>
      <c r="DK784" s="856"/>
      <c r="DL784" s="856"/>
      <c r="DM784" s="152"/>
      <c r="DN784" s="152"/>
      <c r="DO784" s="152"/>
      <c r="DP784" s="152"/>
      <c r="DQ784" s="152"/>
    </row>
    <row r="785" spans="1:121" s="35" customFormat="1" x14ac:dyDescent="0.2">
      <c r="A785" s="34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565"/>
      <c r="R785" s="1097"/>
      <c r="U785" s="39"/>
      <c r="CU785" s="875"/>
      <c r="CV785" s="875"/>
      <c r="CW785" s="875"/>
      <c r="CX785" s="856"/>
      <c r="CY785" s="856"/>
      <c r="CZ785" s="856"/>
      <c r="DA785" s="126"/>
      <c r="DB785" s="126"/>
      <c r="DC785" s="126"/>
      <c r="DD785" s="126"/>
      <c r="DE785" s="856"/>
      <c r="DF785" s="856"/>
      <c r="DG785" s="856"/>
      <c r="DH785" s="856"/>
      <c r="DI785" s="856"/>
      <c r="DJ785" s="856"/>
      <c r="DK785" s="856"/>
      <c r="DL785" s="856"/>
      <c r="DM785" s="152"/>
      <c r="DN785" s="152"/>
      <c r="DO785" s="152"/>
      <c r="DP785" s="152"/>
      <c r="DQ785" s="152"/>
    </row>
    <row r="786" spans="1:121" s="35" customFormat="1" x14ac:dyDescent="0.2">
      <c r="A786" s="34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565"/>
      <c r="R786" s="1097"/>
      <c r="U786" s="39"/>
      <c r="CU786" s="875"/>
      <c r="CV786" s="875"/>
      <c r="CW786" s="875"/>
      <c r="CX786" s="856"/>
      <c r="CY786" s="856"/>
      <c r="CZ786" s="856"/>
      <c r="DA786" s="126"/>
      <c r="DB786" s="126"/>
      <c r="DC786" s="126"/>
      <c r="DD786" s="126"/>
      <c r="DE786" s="856"/>
      <c r="DF786" s="856"/>
      <c r="DG786" s="856"/>
      <c r="DH786" s="856"/>
      <c r="DI786" s="856"/>
      <c r="DJ786" s="856"/>
      <c r="DK786" s="856"/>
      <c r="DL786" s="856"/>
      <c r="DM786" s="152"/>
      <c r="DN786" s="152"/>
      <c r="DO786" s="152"/>
      <c r="DP786" s="152"/>
      <c r="DQ786" s="152"/>
    </row>
    <row r="787" spans="1:121" s="35" customFormat="1" x14ac:dyDescent="0.2">
      <c r="A787" s="34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565"/>
      <c r="R787" s="1097"/>
      <c r="U787" s="39"/>
      <c r="CU787" s="875"/>
      <c r="CV787" s="875"/>
      <c r="CW787" s="875"/>
      <c r="CX787" s="856"/>
      <c r="CY787" s="856"/>
      <c r="CZ787" s="856"/>
      <c r="DA787" s="126"/>
      <c r="DB787" s="126"/>
      <c r="DC787" s="126"/>
      <c r="DD787" s="126"/>
      <c r="DE787" s="856"/>
      <c r="DF787" s="856"/>
      <c r="DG787" s="856"/>
      <c r="DH787" s="856"/>
      <c r="DI787" s="856"/>
      <c r="DJ787" s="856"/>
      <c r="DK787" s="856"/>
      <c r="DL787" s="856"/>
      <c r="DM787" s="152"/>
      <c r="DN787" s="152"/>
      <c r="DO787" s="152"/>
      <c r="DP787" s="152"/>
      <c r="DQ787" s="152"/>
    </row>
    <row r="788" spans="1:121" s="35" customFormat="1" x14ac:dyDescent="0.2">
      <c r="A788" s="34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565"/>
      <c r="R788" s="1097"/>
      <c r="U788" s="39"/>
      <c r="CU788" s="875"/>
      <c r="CV788" s="875"/>
      <c r="CW788" s="875"/>
      <c r="CX788" s="856"/>
      <c r="CY788" s="856"/>
      <c r="CZ788" s="856"/>
      <c r="DA788" s="126"/>
      <c r="DB788" s="126"/>
      <c r="DC788" s="126"/>
      <c r="DD788" s="126"/>
      <c r="DE788" s="856"/>
      <c r="DF788" s="856"/>
      <c r="DG788" s="856"/>
      <c r="DH788" s="856"/>
      <c r="DI788" s="856"/>
      <c r="DJ788" s="856"/>
      <c r="DK788" s="856"/>
      <c r="DL788" s="856"/>
      <c r="DM788" s="152"/>
      <c r="DN788" s="152"/>
      <c r="DO788" s="152"/>
      <c r="DP788" s="152"/>
      <c r="DQ788" s="152"/>
    </row>
    <row r="789" spans="1:121" s="35" customFormat="1" x14ac:dyDescent="0.2">
      <c r="A789" s="34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565"/>
      <c r="R789" s="1097"/>
      <c r="U789" s="39"/>
      <c r="CU789" s="875"/>
      <c r="CV789" s="875"/>
      <c r="CW789" s="875"/>
      <c r="CX789" s="856"/>
      <c r="CY789" s="856"/>
      <c r="CZ789" s="856"/>
      <c r="DA789" s="126"/>
      <c r="DB789" s="126"/>
      <c r="DC789" s="126"/>
      <c r="DD789" s="126"/>
      <c r="DE789" s="856"/>
      <c r="DF789" s="856"/>
      <c r="DG789" s="856"/>
      <c r="DH789" s="856"/>
      <c r="DI789" s="856"/>
      <c r="DJ789" s="856"/>
      <c r="DK789" s="856"/>
      <c r="DL789" s="856"/>
      <c r="DM789" s="152"/>
      <c r="DN789" s="152"/>
      <c r="DO789" s="152"/>
      <c r="DP789" s="152"/>
      <c r="DQ789" s="152"/>
    </row>
    <row r="790" spans="1:121" s="35" customFormat="1" x14ac:dyDescent="0.2">
      <c r="A790" s="34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565"/>
      <c r="R790" s="1097"/>
      <c r="U790" s="39"/>
      <c r="CU790" s="875"/>
      <c r="CV790" s="875"/>
      <c r="CW790" s="875"/>
      <c r="CX790" s="856"/>
      <c r="CY790" s="856"/>
      <c r="CZ790" s="856"/>
      <c r="DA790" s="126"/>
      <c r="DB790" s="126"/>
      <c r="DC790" s="126"/>
      <c r="DD790" s="126"/>
      <c r="DE790" s="856"/>
      <c r="DF790" s="856"/>
      <c r="DG790" s="856"/>
      <c r="DH790" s="856"/>
      <c r="DI790" s="856"/>
      <c r="DJ790" s="856"/>
      <c r="DK790" s="856"/>
      <c r="DL790" s="856"/>
      <c r="DM790" s="152"/>
      <c r="DN790" s="152"/>
      <c r="DO790" s="152"/>
      <c r="DP790" s="152"/>
      <c r="DQ790" s="152"/>
    </row>
    <row r="791" spans="1:121" s="35" customFormat="1" x14ac:dyDescent="0.2">
      <c r="A791" s="34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565"/>
      <c r="R791" s="1097"/>
      <c r="U791" s="39"/>
      <c r="CU791" s="875"/>
      <c r="CV791" s="875"/>
      <c r="CW791" s="875"/>
      <c r="CX791" s="856"/>
      <c r="CY791" s="856"/>
      <c r="CZ791" s="856"/>
      <c r="DA791" s="126"/>
      <c r="DB791" s="126"/>
      <c r="DC791" s="126"/>
      <c r="DD791" s="126"/>
      <c r="DE791" s="856"/>
      <c r="DF791" s="856"/>
      <c r="DG791" s="856"/>
      <c r="DH791" s="856"/>
      <c r="DI791" s="856"/>
      <c r="DJ791" s="856"/>
      <c r="DK791" s="856"/>
      <c r="DL791" s="856"/>
      <c r="DM791" s="152"/>
      <c r="DN791" s="152"/>
      <c r="DO791" s="152"/>
      <c r="DP791" s="152"/>
      <c r="DQ791" s="152"/>
    </row>
    <row r="792" spans="1:121" s="35" customFormat="1" x14ac:dyDescent="0.2">
      <c r="A792" s="34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565"/>
      <c r="R792" s="1097"/>
      <c r="U792" s="39"/>
      <c r="CU792" s="875"/>
      <c r="CV792" s="875"/>
      <c r="CW792" s="875"/>
      <c r="CX792" s="856"/>
      <c r="CY792" s="856"/>
      <c r="CZ792" s="856"/>
      <c r="DA792" s="126"/>
      <c r="DB792" s="126"/>
      <c r="DC792" s="126"/>
      <c r="DD792" s="126"/>
      <c r="DE792" s="856"/>
      <c r="DF792" s="856"/>
      <c r="DG792" s="856"/>
      <c r="DH792" s="856"/>
      <c r="DI792" s="856"/>
      <c r="DJ792" s="856"/>
      <c r="DK792" s="856"/>
      <c r="DL792" s="856"/>
      <c r="DM792" s="152"/>
      <c r="DN792" s="152"/>
      <c r="DO792" s="152"/>
      <c r="DP792" s="152"/>
      <c r="DQ792" s="152"/>
    </row>
    <row r="793" spans="1:121" s="35" customFormat="1" x14ac:dyDescent="0.2">
      <c r="A793" s="34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565"/>
      <c r="R793" s="1097"/>
      <c r="U793" s="39"/>
      <c r="CU793" s="875"/>
      <c r="CV793" s="875"/>
      <c r="CW793" s="875"/>
      <c r="CX793" s="856"/>
      <c r="CY793" s="856"/>
      <c r="CZ793" s="856"/>
      <c r="DA793" s="126"/>
      <c r="DB793" s="126"/>
      <c r="DC793" s="126"/>
      <c r="DD793" s="126"/>
      <c r="DE793" s="856"/>
      <c r="DF793" s="856"/>
      <c r="DG793" s="856"/>
      <c r="DH793" s="856"/>
      <c r="DI793" s="856"/>
      <c r="DJ793" s="856"/>
      <c r="DK793" s="856"/>
      <c r="DL793" s="856"/>
      <c r="DM793" s="152"/>
      <c r="DN793" s="152"/>
      <c r="DO793" s="152"/>
      <c r="DP793" s="152"/>
      <c r="DQ793" s="152"/>
    </row>
    <row r="794" spans="1:121" s="35" customFormat="1" x14ac:dyDescent="0.2">
      <c r="A794" s="34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565"/>
      <c r="R794" s="1097"/>
      <c r="U794" s="39"/>
      <c r="CU794" s="875"/>
      <c r="CV794" s="875"/>
      <c r="CW794" s="875"/>
      <c r="CX794" s="856"/>
      <c r="CY794" s="856"/>
      <c r="CZ794" s="856"/>
      <c r="DA794" s="126"/>
      <c r="DB794" s="126"/>
      <c r="DC794" s="126"/>
      <c r="DD794" s="126"/>
      <c r="DE794" s="856"/>
      <c r="DF794" s="856"/>
      <c r="DG794" s="856"/>
      <c r="DH794" s="856"/>
      <c r="DI794" s="856"/>
      <c r="DJ794" s="856"/>
      <c r="DK794" s="856"/>
      <c r="DL794" s="856"/>
      <c r="DM794" s="152"/>
      <c r="DN794" s="152"/>
      <c r="DO794" s="152"/>
      <c r="DP794" s="152"/>
      <c r="DQ794" s="152"/>
    </row>
    <row r="795" spans="1:121" s="35" customFormat="1" x14ac:dyDescent="0.2">
      <c r="A795" s="34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565"/>
      <c r="R795" s="1097"/>
      <c r="U795" s="39"/>
      <c r="CU795" s="875"/>
      <c r="CV795" s="875"/>
      <c r="CW795" s="875"/>
      <c r="CX795" s="856"/>
      <c r="CY795" s="856"/>
      <c r="CZ795" s="856"/>
      <c r="DA795" s="126"/>
      <c r="DB795" s="126"/>
      <c r="DC795" s="126"/>
      <c r="DD795" s="126"/>
      <c r="DE795" s="856"/>
      <c r="DF795" s="856"/>
      <c r="DG795" s="856"/>
      <c r="DH795" s="856"/>
      <c r="DI795" s="856"/>
      <c r="DJ795" s="856"/>
      <c r="DK795" s="856"/>
      <c r="DL795" s="856"/>
      <c r="DM795" s="152"/>
      <c r="DN795" s="152"/>
      <c r="DO795" s="152"/>
      <c r="DP795" s="152"/>
      <c r="DQ795" s="152"/>
    </row>
    <row r="796" spans="1:121" s="35" customFormat="1" x14ac:dyDescent="0.2">
      <c r="A796" s="34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565"/>
      <c r="R796" s="1097"/>
      <c r="U796" s="39"/>
      <c r="CU796" s="875"/>
      <c r="CV796" s="875"/>
      <c r="CW796" s="875"/>
      <c r="CX796" s="856"/>
      <c r="CY796" s="856"/>
      <c r="CZ796" s="856"/>
      <c r="DA796" s="126"/>
      <c r="DB796" s="126"/>
      <c r="DC796" s="126"/>
      <c r="DD796" s="126"/>
      <c r="DE796" s="856"/>
      <c r="DF796" s="856"/>
      <c r="DG796" s="856"/>
      <c r="DH796" s="856"/>
      <c r="DI796" s="856"/>
      <c r="DJ796" s="856"/>
      <c r="DK796" s="856"/>
      <c r="DL796" s="856"/>
      <c r="DM796" s="152"/>
      <c r="DN796" s="152"/>
      <c r="DO796" s="152"/>
      <c r="DP796" s="152"/>
      <c r="DQ796" s="152"/>
    </row>
    <row r="797" spans="1:121" s="35" customFormat="1" x14ac:dyDescent="0.2">
      <c r="A797" s="34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565"/>
      <c r="R797" s="1097"/>
      <c r="U797" s="39"/>
      <c r="CU797" s="875"/>
      <c r="CV797" s="875"/>
      <c r="CW797" s="875"/>
      <c r="CX797" s="856"/>
      <c r="CY797" s="856"/>
      <c r="CZ797" s="856"/>
      <c r="DA797" s="126"/>
      <c r="DB797" s="126"/>
      <c r="DC797" s="126"/>
      <c r="DD797" s="126"/>
      <c r="DE797" s="856"/>
      <c r="DF797" s="856"/>
      <c r="DG797" s="856"/>
      <c r="DH797" s="856"/>
      <c r="DI797" s="856"/>
      <c r="DJ797" s="856"/>
      <c r="DK797" s="856"/>
      <c r="DL797" s="856"/>
      <c r="DM797" s="152"/>
      <c r="DN797" s="152"/>
      <c r="DO797" s="152"/>
      <c r="DP797" s="152"/>
      <c r="DQ797" s="152"/>
    </row>
    <row r="798" spans="1:121" s="35" customFormat="1" x14ac:dyDescent="0.2">
      <c r="A798" s="34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565"/>
      <c r="R798" s="1097"/>
      <c r="U798" s="39"/>
      <c r="CU798" s="875"/>
      <c r="CV798" s="875"/>
      <c r="CW798" s="875"/>
      <c r="CX798" s="856"/>
      <c r="CY798" s="856"/>
      <c r="CZ798" s="856"/>
      <c r="DA798" s="126"/>
      <c r="DB798" s="126"/>
      <c r="DC798" s="126"/>
      <c r="DD798" s="126"/>
      <c r="DE798" s="856"/>
      <c r="DF798" s="856"/>
      <c r="DG798" s="856"/>
      <c r="DH798" s="856"/>
      <c r="DI798" s="856"/>
      <c r="DJ798" s="856"/>
      <c r="DK798" s="856"/>
      <c r="DL798" s="856"/>
      <c r="DM798" s="152"/>
      <c r="DN798" s="152"/>
      <c r="DO798" s="152"/>
      <c r="DP798" s="152"/>
      <c r="DQ798" s="152"/>
    </row>
    <row r="799" spans="1:121" s="35" customFormat="1" x14ac:dyDescent="0.2">
      <c r="A799" s="34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565"/>
      <c r="R799" s="1097"/>
      <c r="U799" s="39"/>
      <c r="CU799" s="875"/>
      <c r="CV799" s="875"/>
      <c r="CW799" s="875"/>
      <c r="CX799" s="856"/>
      <c r="CY799" s="856"/>
      <c r="CZ799" s="856"/>
      <c r="DA799" s="126"/>
      <c r="DB799" s="126"/>
      <c r="DC799" s="126"/>
      <c r="DD799" s="126"/>
      <c r="DE799" s="856"/>
      <c r="DF799" s="856"/>
      <c r="DG799" s="856"/>
      <c r="DH799" s="856"/>
      <c r="DI799" s="856"/>
      <c r="DJ799" s="856"/>
      <c r="DK799" s="856"/>
      <c r="DL799" s="856"/>
      <c r="DM799" s="152"/>
      <c r="DN799" s="152"/>
      <c r="DO799" s="152"/>
      <c r="DP799" s="152"/>
      <c r="DQ799" s="152"/>
    </row>
    <row r="800" spans="1:121" s="35" customFormat="1" x14ac:dyDescent="0.2">
      <c r="A800" s="34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565"/>
      <c r="R800" s="1097"/>
      <c r="U800" s="39"/>
      <c r="CU800" s="875"/>
      <c r="CV800" s="875"/>
      <c r="CW800" s="875"/>
      <c r="CX800" s="856"/>
      <c r="CY800" s="856"/>
      <c r="CZ800" s="856"/>
      <c r="DA800" s="126"/>
      <c r="DB800" s="126"/>
      <c r="DC800" s="126"/>
      <c r="DD800" s="126"/>
      <c r="DE800" s="856"/>
      <c r="DF800" s="856"/>
      <c r="DG800" s="856"/>
      <c r="DH800" s="856"/>
      <c r="DI800" s="856"/>
      <c r="DJ800" s="856"/>
      <c r="DK800" s="856"/>
      <c r="DL800" s="856"/>
      <c r="DM800" s="152"/>
      <c r="DN800" s="152"/>
      <c r="DO800" s="152"/>
      <c r="DP800" s="152"/>
      <c r="DQ800" s="152"/>
    </row>
    <row r="801" spans="1:121" s="35" customFormat="1" x14ac:dyDescent="0.2">
      <c r="A801" s="34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565"/>
      <c r="R801" s="1097"/>
      <c r="U801" s="39"/>
      <c r="CU801" s="875"/>
      <c r="CV801" s="875"/>
      <c r="CW801" s="875"/>
      <c r="CX801" s="856"/>
      <c r="CY801" s="856"/>
      <c r="CZ801" s="856"/>
      <c r="DA801" s="126"/>
      <c r="DB801" s="126"/>
      <c r="DC801" s="126"/>
      <c r="DD801" s="126"/>
      <c r="DE801" s="856"/>
      <c r="DF801" s="856"/>
      <c r="DG801" s="856"/>
      <c r="DH801" s="856"/>
      <c r="DI801" s="856"/>
      <c r="DJ801" s="856"/>
      <c r="DK801" s="856"/>
      <c r="DL801" s="856"/>
      <c r="DM801" s="152"/>
      <c r="DN801" s="152"/>
      <c r="DO801" s="152"/>
      <c r="DP801" s="152"/>
      <c r="DQ801" s="152"/>
    </row>
    <row r="802" spans="1:121" s="35" customFormat="1" x14ac:dyDescent="0.2">
      <c r="A802" s="34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565"/>
      <c r="R802" s="1097"/>
      <c r="U802" s="39"/>
      <c r="CU802" s="875"/>
      <c r="CV802" s="875"/>
      <c r="CW802" s="875"/>
      <c r="CX802" s="856"/>
      <c r="CY802" s="856"/>
      <c r="CZ802" s="856"/>
      <c r="DA802" s="126"/>
      <c r="DB802" s="126"/>
      <c r="DC802" s="126"/>
      <c r="DD802" s="126"/>
      <c r="DE802" s="856"/>
      <c r="DF802" s="856"/>
      <c r="DG802" s="856"/>
      <c r="DH802" s="856"/>
      <c r="DI802" s="856"/>
      <c r="DJ802" s="856"/>
      <c r="DK802" s="856"/>
      <c r="DL802" s="856"/>
      <c r="DM802" s="152"/>
      <c r="DN802" s="152"/>
      <c r="DO802" s="152"/>
      <c r="DP802" s="152"/>
      <c r="DQ802" s="152"/>
    </row>
    <row r="803" spans="1:121" s="35" customFormat="1" x14ac:dyDescent="0.2">
      <c r="A803" s="34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565"/>
      <c r="R803" s="1097"/>
      <c r="U803" s="39"/>
      <c r="CU803" s="875"/>
      <c r="CV803" s="875"/>
      <c r="CW803" s="875"/>
      <c r="CX803" s="856"/>
      <c r="CY803" s="856"/>
      <c r="CZ803" s="856"/>
      <c r="DA803" s="126"/>
      <c r="DB803" s="126"/>
      <c r="DC803" s="126"/>
      <c r="DD803" s="126"/>
      <c r="DE803" s="856"/>
      <c r="DF803" s="856"/>
      <c r="DG803" s="856"/>
      <c r="DH803" s="856"/>
      <c r="DI803" s="856"/>
      <c r="DJ803" s="856"/>
      <c r="DK803" s="856"/>
      <c r="DL803" s="856"/>
      <c r="DM803" s="152"/>
      <c r="DN803" s="152"/>
      <c r="DO803" s="152"/>
      <c r="DP803" s="152"/>
      <c r="DQ803" s="152"/>
    </row>
    <row r="804" spans="1:121" s="35" customFormat="1" x14ac:dyDescent="0.2">
      <c r="A804" s="34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565"/>
      <c r="R804" s="1097"/>
      <c r="U804" s="39"/>
      <c r="CU804" s="875"/>
      <c r="CV804" s="875"/>
      <c r="CW804" s="875"/>
      <c r="CX804" s="856"/>
      <c r="CY804" s="856"/>
      <c r="CZ804" s="856"/>
      <c r="DA804" s="126"/>
      <c r="DB804" s="126"/>
      <c r="DC804" s="126"/>
      <c r="DD804" s="126"/>
      <c r="DE804" s="856"/>
      <c r="DF804" s="856"/>
      <c r="DG804" s="856"/>
      <c r="DH804" s="856"/>
      <c r="DI804" s="856"/>
      <c r="DJ804" s="856"/>
      <c r="DK804" s="856"/>
      <c r="DL804" s="856"/>
      <c r="DM804" s="152"/>
      <c r="DN804" s="152"/>
      <c r="DO804" s="152"/>
      <c r="DP804" s="152"/>
      <c r="DQ804" s="152"/>
    </row>
    <row r="805" spans="1:121" s="35" customFormat="1" x14ac:dyDescent="0.2">
      <c r="A805" s="34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565"/>
      <c r="R805" s="1097"/>
      <c r="U805" s="39"/>
      <c r="CU805" s="875"/>
      <c r="CV805" s="875"/>
      <c r="CW805" s="875"/>
      <c r="CX805" s="856"/>
      <c r="CY805" s="856"/>
      <c r="CZ805" s="856"/>
      <c r="DA805" s="126"/>
      <c r="DB805" s="126"/>
      <c r="DC805" s="126"/>
      <c r="DD805" s="126"/>
      <c r="DE805" s="856"/>
      <c r="DF805" s="856"/>
      <c r="DG805" s="856"/>
      <c r="DH805" s="856"/>
      <c r="DI805" s="856"/>
      <c r="DJ805" s="856"/>
      <c r="DK805" s="856"/>
      <c r="DL805" s="856"/>
      <c r="DM805" s="152"/>
      <c r="DN805" s="152"/>
      <c r="DO805" s="152"/>
      <c r="DP805" s="152"/>
      <c r="DQ805" s="152"/>
    </row>
    <row r="806" spans="1:121" s="35" customFormat="1" x14ac:dyDescent="0.2">
      <c r="A806" s="34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565"/>
      <c r="R806" s="1097"/>
      <c r="U806" s="39"/>
      <c r="CU806" s="875"/>
      <c r="CV806" s="875"/>
      <c r="CW806" s="875"/>
      <c r="CX806" s="856"/>
      <c r="CY806" s="856"/>
      <c r="CZ806" s="856"/>
      <c r="DA806" s="126"/>
      <c r="DB806" s="126"/>
      <c r="DC806" s="126"/>
      <c r="DD806" s="126"/>
      <c r="DE806" s="856"/>
      <c r="DF806" s="856"/>
      <c r="DG806" s="856"/>
      <c r="DH806" s="856"/>
      <c r="DI806" s="856"/>
      <c r="DJ806" s="856"/>
      <c r="DK806" s="856"/>
      <c r="DL806" s="856"/>
      <c r="DM806" s="152"/>
      <c r="DN806" s="152"/>
      <c r="DO806" s="152"/>
      <c r="DP806" s="152"/>
      <c r="DQ806" s="152"/>
    </row>
    <row r="807" spans="1:121" s="35" customFormat="1" x14ac:dyDescent="0.2">
      <c r="A807" s="34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565"/>
      <c r="R807" s="1097"/>
      <c r="U807" s="39"/>
      <c r="CU807" s="875"/>
      <c r="CV807" s="875"/>
      <c r="CW807" s="875"/>
      <c r="CX807" s="856"/>
      <c r="CY807" s="856"/>
      <c r="CZ807" s="856"/>
      <c r="DA807" s="126"/>
      <c r="DB807" s="126"/>
      <c r="DC807" s="126"/>
      <c r="DD807" s="126"/>
      <c r="DE807" s="856"/>
      <c r="DF807" s="856"/>
      <c r="DG807" s="856"/>
      <c r="DH807" s="856"/>
      <c r="DI807" s="856"/>
      <c r="DJ807" s="856"/>
      <c r="DK807" s="856"/>
      <c r="DL807" s="856"/>
      <c r="DM807" s="152"/>
      <c r="DN807" s="152"/>
      <c r="DO807" s="152"/>
      <c r="DP807" s="152"/>
      <c r="DQ807" s="152"/>
    </row>
    <row r="808" spans="1:121" s="35" customFormat="1" x14ac:dyDescent="0.2">
      <c r="A808" s="34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565"/>
      <c r="R808" s="1097"/>
      <c r="U808" s="39"/>
      <c r="CU808" s="875"/>
      <c r="CV808" s="875"/>
      <c r="CW808" s="875"/>
      <c r="CX808" s="856"/>
      <c r="CY808" s="856"/>
      <c r="CZ808" s="856"/>
      <c r="DA808" s="126"/>
      <c r="DB808" s="126"/>
      <c r="DC808" s="126"/>
      <c r="DD808" s="126"/>
      <c r="DE808" s="856"/>
      <c r="DF808" s="856"/>
      <c r="DG808" s="856"/>
      <c r="DH808" s="856"/>
      <c r="DI808" s="856"/>
      <c r="DJ808" s="856"/>
      <c r="DK808" s="856"/>
      <c r="DL808" s="856"/>
      <c r="DM808" s="152"/>
      <c r="DN808" s="152"/>
      <c r="DO808" s="152"/>
      <c r="DP808" s="152"/>
      <c r="DQ808" s="152"/>
    </row>
    <row r="809" spans="1:121" s="35" customFormat="1" x14ac:dyDescent="0.2">
      <c r="A809" s="34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565"/>
      <c r="R809" s="1097"/>
      <c r="U809" s="39"/>
      <c r="CU809" s="875"/>
      <c r="CV809" s="875"/>
      <c r="CW809" s="875"/>
      <c r="CX809" s="856"/>
      <c r="CY809" s="856"/>
      <c r="CZ809" s="856"/>
      <c r="DA809" s="126"/>
      <c r="DB809" s="126"/>
      <c r="DC809" s="126"/>
      <c r="DD809" s="126"/>
      <c r="DE809" s="856"/>
      <c r="DF809" s="856"/>
      <c r="DG809" s="856"/>
      <c r="DH809" s="856"/>
      <c r="DI809" s="856"/>
      <c r="DJ809" s="856"/>
      <c r="DK809" s="856"/>
      <c r="DL809" s="856"/>
      <c r="DM809" s="152"/>
      <c r="DN809" s="152"/>
      <c r="DO809" s="152"/>
      <c r="DP809" s="152"/>
      <c r="DQ809" s="152"/>
    </row>
    <row r="810" spans="1:121" s="35" customFormat="1" x14ac:dyDescent="0.2">
      <c r="A810" s="34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565"/>
      <c r="R810" s="1097"/>
      <c r="U810" s="39"/>
      <c r="CU810" s="875"/>
      <c r="CV810" s="875"/>
      <c r="CW810" s="875"/>
      <c r="CX810" s="856"/>
      <c r="CY810" s="856"/>
      <c r="CZ810" s="856"/>
      <c r="DA810" s="126"/>
      <c r="DB810" s="126"/>
      <c r="DC810" s="126"/>
      <c r="DD810" s="126"/>
      <c r="DE810" s="856"/>
      <c r="DF810" s="856"/>
      <c r="DG810" s="856"/>
      <c r="DH810" s="856"/>
      <c r="DI810" s="856"/>
      <c r="DJ810" s="856"/>
      <c r="DK810" s="856"/>
      <c r="DL810" s="856"/>
      <c r="DM810" s="152"/>
      <c r="DN810" s="152"/>
      <c r="DO810" s="152"/>
      <c r="DP810" s="152"/>
      <c r="DQ810" s="152"/>
    </row>
    <row r="811" spans="1:121" s="35" customFormat="1" x14ac:dyDescent="0.2">
      <c r="A811" s="34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565"/>
      <c r="R811" s="1097"/>
      <c r="U811" s="39"/>
      <c r="CU811" s="875"/>
      <c r="CV811" s="875"/>
      <c r="CW811" s="875"/>
      <c r="CX811" s="856"/>
      <c r="CY811" s="856"/>
      <c r="CZ811" s="856"/>
      <c r="DA811" s="126"/>
      <c r="DB811" s="126"/>
      <c r="DC811" s="126"/>
      <c r="DD811" s="126"/>
      <c r="DE811" s="856"/>
      <c r="DF811" s="856"/>
      <c r="DG811" s="856"/>
      <c r="DH811" s="856"/>
      <c r="DI811" s="856"/>
      <c r="DJ811" s="856"/>
      <c r="DK811" s="856"/>
      <c r="DL811" s="856"/>
      <c r="DM811" s="152"/>
      <c r="DN811" s="152"/>
      <c r="DO811" s="152"/>
      <c r="DP811" s="152"/>
      <c r="DQ811" s="152"/>
    </row>
    <row r="812" spans="1:121" s="35" customFormat="1" x14ac:dyDescent="0.2">
      <c r="A812" s="34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565"/>
      <c r="R812" s="1097"/>
      <c r="U812" s="39"/>
      <c r="CU812" s="875"/>
      <c r="CV812" s="875"/>
      <c r="CW812" s="875"/>
      <c r="CX812" s="856"/>
      <c r="CY812" s="856"/>
      <c r="CZ812" s="856"/>
      <c r="DA812" s="126"/>
      <c r="DB812" s="126"/>
      <c r="DC812" s="126"/>
      <c r="DD812" s="126"/>
      <c r="DE812" s="856"/>
      <c r="DF812" s="856"/>
      <c r="DG812" s="856"/>
      <c r="DH812" s="856"/>
      <c r="DI812" s="856"/>
      <c r="DJ812" s="856"/>
      <c r="DK812" s="856"/>
      <c r="DL812" s="856"/>
      <c r="DM812" s="152"/>
      <c r="DN812" s="152"/>
      <c r="DO812" s="152"/>
      <c r="DP812" s="152"/>
      <c r="DQ812" s="152"/>
    </row>
    <row r="813" spans="1:121" s="35" customFormat="1" x14ac:dyDescent="0.2">
      <c r="A813" s="34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565"/>
      <c r="R813" s="1097"/>
      <c r="U813" s="39"/>
      <c r="CU813" s="875"/>
      <c r="CV813" s="875"/>
      <c r="CW813" s="875"/>
      <c r="CX813" s="856"/>
      <c r="CY813" s="856"/>
      <c r="CZ813" s="856"/>
      <c r="DA813" s="126"/>
      <c r="DB813" s="126"/>
      <c r="DC813" s="126"/>
      <c r="DD813" s="126"/>
      <c r="DE813" s="856"/>
      <c r="DF813" s="856"/>
      <c r="DG813" s="856"/>
      <c r="DH813" s="856"/>
      <c r="DI813" s="856"/>
      <c r="DJ813" s="856"/>
      <c r="DK813" s="856"/>
      <c r="DL813" s="856"/>
      <c r="DM813" s="152"/>
      <c r="DN813" s="152"/>
      <c r="DO813" s="152"/>
      <c r="DP813" s="152"/>
      <c r="DQ813" s="152"/>
    </row>
    <row r="814" spans="1:121" s="35" customFormat="1" x14ac:dyDescent="0.2">
      <c r="A814" s="34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565"/>
      <c r="R814" s="1097"/>
      <c r="U814" s="39"/>
      <c r="CU814" s="875"/>
      <c r="CV814" s="875"/>
      <c r="CW814" s="875"/>
      <c r="CX814" s="856"/>
      <c r="CY814" s="856"/>
      <c r="CZ814" s="856"/>
      <c r="DA814" s="126"/>
      <c r="DB814" s="126"/>
      <c r="DC814" s="126"/>
      <c r="DD814" s="126"/>
      <c r="DE814" s="856"/>
      <c r="DF814" s="856"/>
      <c r="DG814" s="856"/>
      <c r="DH814" s="856"/>
      <c r="DI814" s="856"/>
      <c r="DJ814" s="856"/>
      <c r="DK814" s="856"/>
      <c r="DL814" s="856"/>
      <c r="DM814" s="152"/>
      <c r="DN814" s="152"/>
      <c r="DO814" s="152"/>
      <c r="DP814" s="152"/>
      <c r="DQ814" s="152"/>
    </row>
    <row r="815" spans="1:121" s="35" customFormat="1" x14ac:dyDescent="0.2">
      <c r="A815" s="34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565"/>
      <c r="R815" s="1097"/>
      <c r="U815" s="39"/>
      <c r="CU815" s="875"/>
      <c r="CV815" s="875"/>
      <c r="CW815" s="875"/>
      <c r="CX815" s="856"/>
      <c r="CY815" s="856"/>
      <c r="CZ815" s="856"/>
      <c r="DA815" s="126"/>
      <c r="DB815" s="126"/>
      <c r="DC815" s="126"/>
      <c r="DD815" s="126"/>
      <c r="DE815" s="856"/>
      <c r="DF815" s="856"/>
      <c r="DG815" s="856"/>
      <c r="DH815" s="856"/>
      <c r="DI815" s="856"/>
      <c r="DJ815" s="856"/>
      <c r="DK815" s="856"/>
      <c r="DL815" s="856"/>
      <c r="DM815" s="152"/>
      <c r="DN815" s="152"/>
      <c r="DO815" s="152"/>
      <c r="DP815" s="152"/>
      <c r="DQ815" s="152"/>
    </row>
    <row r="816" spans="1:121" s="35" customFormat="1" x14ac:dyDescent="0.2">
      <c r="A816" s="34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565"/>
      <c r="R816" s="1097"/>
      <c r="U816" s="39"/>
      <c r="CU816" s="875"/>
      <c r="CV816" s="875"/>
      <c r="CW816" s="875"/>
      <c r="CX816" s="856"/>
      <c r="CY816" s="856"/>
      <c r="CZ816" s="856"/>
      <c r="DA816" s="126"/>
      <c r="DB816" s="126"/>
      <c r="DC816" s="126"/>
      <c r="DD816" s="126"/>
      <c r="DE816" s="856"/>
      <c r="DF816" s="856"/>
      <c r="DG816" s="856"/>
      <c r="DH816" s="856"/>
      <c r="DI816" s="856"/>
      <c r="DJ816" s="856"/>
      <c r="DK816" s="856"/>
      <c r="DL816" s="856"/>
      <c r="DM816" s="152"/>
      <c r="DN816" s="152"/>
      <c r="DO816" s="152"/>
      <c r="DP816" s="152"/>
      <c r="DQ816" s="152"/>
    </row>
    <row r="817" spans="1:121" s="35" customFormat="1" x14ac:dyDescent="0.2">
      <c r="A817" s="34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565"/>
      <c r="R817" s="1097"/>
      <c r="U817" s="39"/>
      <c r="CU817" s="875"/>
      <c r="CV817" s="875"/>
      <c r="CW817" s="875"/>
      <c r="CX817" s="856"/>
      <c r="CY817" s="856"/>
      <c r="CZ817" s="856"/>
      <c r="DA817" s="126"/>
      <c r="DB817" s="126"/>
      <c r="DC817" s="126"/>
      <c r="DD817" s="126"/>
      <c r="DE817" s="856"/>
      <c r="DF817" s="856"/>
      <c r="DG817" s="856"/>
      <c r="DH817" s="856"/>
      <c r="DI817" s="856"/>
      <c r="DJ817" s="856"/>
      <c r="DK817" s="856"/>
      <c r="DL817" s="856"/>
      <c r="DM817" s="152"/>
      <c r="DN817" s="152"/>
      <c r="DO817" s="152"/>
      <c r="DP817" s="152"/>
      <c r="DQ817" s="152"/>
    </row>
    <row r="818" spans="1:121" s="35" customFormat="1" x14ac:dyDescent="0.2">
      <c r="A818" s="34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565"/>
      <c r="R818" s="1097"/>
      <c r="U818" s="39"/>
      <c r="CU818" s="875"/>
      <c r="CV818" s="875"/>
      <c r="CW818" s="875"/>
      <c r="CX818" s="856"/>
      <c r="CY818" s="856"/>
      <c r="CZ818" s="856"/>
      <c r="DA818" s="126"/>
      <c r="DB818" s="126"/>
      <c r="DC818" s="126"/>
      <c r="DD818" s="126"/>
      <c r="DE818" s="856"/>
      <c r="DF818" s="856"/>
      <c r="DG818" s="856"/>
      <c r="DH818" s="856"/>
      <c r="DI818" s="856"/>
      <c r="DJ818" s="856"/>
      <c r="DK818" s="856"/>
      <c r="DL818" s="856"/>
      <c r="DM818" s="152"/>
      <c r="DN818" s="152"/>
      <c r="DO818" s="152"/>
      <c r="DP818" s="152"/>
      <c r="DQ818" s="152"/>
    </row>
    <row r="819" spans="1:121" s="35" customFormat="1" x14ac:dyDescent="0.2">
      <c r="A819" s="34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565"/>
      <c r="R819" s="1097"/>
      <c r="U819" s="39"/>
      <c r="CU819" s="875"/>
      <c r="CV819" s="875"/>
      <c r="CW819" s="875"/>
      <c r="CX819" s="856"/>
      <c r="CY819" s="856"/>
      <c r="CZ819" s="856"/>
      <c r="DA819" s="126"/>
      <c r="DB819" s="126"/>
      <c r="DC819" s="126"/>
      <c r="DD819" s="126"/>
      <c r="DE819" s="856"/>
      <c r="DF819" s="856"/>
      <c r="DG819" s="856"/>
      <c r="DH819" s="856"/>
      <c r="DI819" s="856"/>
      <c r="DJ819" s="856"/>
      <c r="DK819" s="856"/>
      <c r="DL819" s="856"/>
      <c r="DM819" s="152"/>
      <c r="DN819" s="152"/>
      <c r="DO819" s="152"/>
      <c r="DP819" s="152"/>
      <c r="DQ819" s="152"/>
    </row>
    <row r="820" spans="1:121" s="35" customFormat="1" x14ac:dyDescent="0.2">
      <c r="A820" s="34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565"/>
      <c r="R820" s="1097"/>
      <c r="U820" s="39"/>
      <c r="CU820" s="875"/>
      <c r="CV820" s="875"/>
      <c r="CW820" s="875"/>
      <c r="CX820" s="856"/>
      <c r="CY820" s="856"/>
      <c r="CZ820" s="856"/>
      <c r="DA820" s="126"/>
      <c r="DB820" s="126"/>
      <c r="DC820" s="126"/>
      <c r="DD820" s="126"/>
      <c r="DE820" s="856"/>
      <c r="DF820" s="856"/>
      <c r="DG820" s="856"/>
      <c r="DH820" s="856"/>
      <c r="DI820" s="856"/>
      <c r="DJ820" s="856"/>
      <c r="DK820" s="856"/>
      <c r="DL820" s="856"/>
      <c r="DM820" s="152"/>
      <c r="DN820" s="152"/>
      <c r="DO820" s="152"/>
      <c r="DP820" s="152"/>
      <c r="DQ820" s="152"/>
    </row>
    <row r="821" spans="1:121" s="35" customFormat="1" x14ac:dyDescent="0.2">
      <c r="A821" s="34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565"/>
      <c r="R821" s="1097"/>
      <c r="U821" s="39"/>
      <c r="CU821" s="875"/>
      <c r="CV821" s="875"/>
      <c r="CW821" s="875"/>
      <c r="CX821" s="856"/>
      <c r="CY821" s="856"/>
      <c r="CZ821" s="856"/>
      <c r="DA821" s="126"/>
      <c r="DB821" s="126"/>
      <c r="DC821" s="126"/>
      <c r="DD821" s="126"/>
      <c r="DE821" s="856"/>
      <c r="DF821" s="856"/>
      <c r="DG821" s="856"/>
      <c r="DH821" s="856"/>
      <c r="DI821" s="856"/>
      <c r="DJ821" s="856"/>
      <c r="DK821" s="856"/>
      <c r="DL821" s="856"/>
      <c r="DM821" s="152"/>
      <c r="DN821" s="152"/>
      <c r="DO821" s="152"/>
      <c r="DP821" s="152"/>
      <c r="DQ821" s="152"/>
    </row>
    <row r="822" spans="1:121" s="35" customFormat="1" x14ac:dyDescent="0.2">
      <c r="A822" s="34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565"/>
      <c r="R822" s="1097"/>
      <c r="U822" s="39"/>
      <c r="CU822" s="875"/>
      <c r="CV822" s="875"/>
      <c r="CW822" s="875"/>
      <c r="CX822" s="856"/>
      <c r="CY822" s="856"/>
      <c r="CZ822" s="856"/>
      <c r="DA822" s="126"/>
      <c r="DB822" s="126"/>
      <c r="DC822" s="126"/>
      <c r="DD822" s="126"/>
      <c r="DE822" s="856"/>
      <c r="DF822" s="856"/>
      <c r="DG822" s="856"/>
      <c r="DH822" s="856"/>
      <c r="DI822" s="856"/>
      <c r="DJ822" s="856"/>
      <c r="DK822" s="856"/>
      <c r="DL822" s="856"/>
      <c r="DM822" s="152"/>
      <c r="DN822" s="152"/>
      <c r="DO822" s="152"/>
      <c r="DP822" s="152"/>
      <c r="DQ822" s="152"/>
    </row>
    <row r="823" spans="1:121" s="35" customFormat="1" x14ac:dyDescent="0.2">
      <c r="A823" s="34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565"/>
      <c r="R823" s="1097"/>
      <c r="U823" s="39"/>
      <c r="CU823" s="875"/>
      <c r="CV823" s="875"/>
      <c r="CW823" s="875"/>
      <c r="CX823" s="856"/>
      <c r="CY823" s="856"/>
      <c r="CZ823" s="856"/>
      <c r="DA823" s="126"/>
      <c r="DB823" s="126"/>
      <c r="DC823" s="126"/>
      <c r="DD823" s="126"/>
      <c r="DE823" s="856"/>
      <c r="DF823" s="856"/>
      <c r="DG823" s="856"/>
      <c r="DH823" s="856"/>
      <c r="DI823" s="856"/>
      <c r="DJ823" s="856"/>
      <c r="DK823" s="856"/>
      <c r="DL823" s="856"/>
      <c r="DM823" s="152"/>
      <c r="DN823" s="152"/>
      <c r="DO823" s="152"/>
      <c r="DP823" s="152"/>
      <c r="DQ823" s="152"/>
    </row>
    <row r="824" spans="1:121" s="35" customFormat="1" x14ac:dyDescent="0.2">
      <c r="A824" s="34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565"/>
      <c r="R824" s="1097"/>
      <c r="U824" s="39"/>
      <c r="CU824" s="875"/>
      <c r="CV824" s="875"/>
      <c r="CW824" s="875"/>
      <c r="CX824" s="856"/>
      <c r="CY824" s="856"/>
      <c r="CZ824" s="856"/>
      <c r="DA824" s="126"/>
      <c r="DB824" s="126"/>
      <c r="DC824" s="126"/>
      <c r="DD824" s="126"/>
      <c r="DE824" s="856"/>
      <c r="DF824" s="856"/>
      <c r="DG824" s="856"/>
      <c r="DH824" s="856"/>
      <c r="DI824" s="856"/>
      <c r="DJ824" s="856"/>
      <c r="DK824" s="856"/>
      <c r="DL824" s="856"/>
      <c r="DM824" s="152"/>
      <c r="DN824" s="152"/>
      <c r="DO824" s="152"/>
      <c r="DP824" s="152"/>
      <c r="DQ824" s="152"/>
    </row>
    <row r="825" spans="1:121" s="35" customFormat="1" x14ac:dyDescent="0.2">
      <c r="A825" s="34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565"/>
      <c r="R825" s="1097"/>
      <c r="U825" s="39"/>
      <c r="CU825" s="875"/>
      <c r="CV825" s="875"/>
      <c r="CW825" s="875"/>
      <c r="CX825" s="856"/>
      <c r="CY825" s="856"/>
      <c r="CZ825" s="856"/>
      <c r="DA825" s="126"/>
      <c r="DB825" s="126"/>
      <c r="DC825" s="126"/>
      <c r="DD825" s="126"/>
      <c r="DE825" s="856"/>
      <c r="DF825" s="856"/>
      <c r="DG825" s="856"/>
      <c r="DH825" s="856"/>
      <c r="DI825" s="856"/>
      <c r="DJ825" s="856"/>
      <c r="DK825" s="856"/>
      <c r="DL825" s="856"/>
      <c r="DM825" s="152"/>
      <c r="DN825" s="152"/>
      <c r="DO825" s="152"/>
      <c r="DP825" s="152"/>
      <c r="DQ825" s="152"/>
    </row>
    <row r="826" spans="1:121" s="35" customFormat="1" x14ac:dyDescent="0.2">
      <c r="A826" s="34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565"/>
      <c r="R826" s="1097"/>
      <c r="U826" s="39"/>
      <c r="CU826" s="875"/>
      <c r="CV826" s="875"/>
      <c r="CW826" s="875"/>
      <c r="CX826" s="856"/>
      <c r="CY826" s="856"/>
      <c r="CZ826" s="856"/>
      <c r="DA826" s="126"/>
      <c r="DB826" s="126"/>
      <c r="DC826" s="126"/>
      <c r="DD826" s="126"/>
      <c r="DE826" s="856"/>
      <c r="DF826" s="856"/>
      <c r="DG826" s="856"/>
      <c r="DH826" s="856"/>
      <c r="DI826" s="856"/>
      <c r="DJ826" s="856"/>
      <c r="DK826" s="856"/>
      <c r="DL826" s="856"/>
      <c r="DM826" s="152"/>
      <c r="DN826" s="152"/>
      <c r="DO826" s="152"/>
      <c r="DP826" s="152"/>
      <c r="DQ826" s="152"/>
    </row>
    <row r="827" spans="1:121" s="35" customFormat="1" x14ac:dyDescent="0.2">
      <c r="A827" s="34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565"/>
      <c r="R827" s="1097"/>
      <c r="U827" s="39"/>
      <c r="CU827" s="875"/>
      <c r="CV827" s="875"/>
      <c r="CW827" s="875"/>
      <c r="CX827" s="856"/>
      <c r="CY827" s="856"/>
      <c r="CZ827" s="856"/>
      <c r="DA827" s="126"/>
      <c r="DB827" s="126"/>
      <c r="DC827" s="126"/>
      <c r="DD827" s="126"/>
      <c r="DE827" s="856"/>
      <c r="DF827" s="856"/>
      <c r="DG827" s="856"/>
      <c r="DH827" s="856"/>
      <c r="DI827" s="856"/>
      <c r="DJ827" s="856"/>
      <c r="DK827" s="856"/>
      <c r="DL827" s="856"/>
      <c r="DM827" s="152"/>
      <c r="DN827" s="152"/>
      <c r="DO827" s="152"/>
      <c r="DP827" s="152"/>
      <c r="DQ827" s="152"/>
    </row>
    <row r="828" spans="1:121" s="35" customFormat="1" x14ac:dyDescent="0.2">
      <c r="A828" s="34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565"/>
      <c r="R828" s="1097"/>
      <c r="U828" s="39"/>
      <c r="CU828" s="875"/>
      <c r="CV828" s="875"/>
      <c r="CW828" s="875"/>
      <c r="CX828" s="856"/>
      <c r="CY828" s="856"/>
      <c r="CZ828" s="856"/>
      <c r="DA828" s="126"/>
      <c r="DB828" s="126"/>
      <c r="DC828" s="126"/>
      <c r="DD828" s="126"/>
      <c r="DE828" s="856"/>
      <c r="DF828" s="856"/>
      <c r="DG828" s="856"/>
      <c r="DH828" s="856"/>
      <c r="DI828" s="856"/>
      <c r="DJ828" s="856"/>
      <c r="DK828" s="856"/>
      <c r="DL828" s="856"/>
      <c r="DM828" s="152"/>
      <c r="DN828" s="152"/>
      <c r="DO828" s="152"/>
      <c r="DP828" s="152"/>
      <c r="DQ828" s="152"/>
    </row>
    <row r="829" spans="1:121" s="35" customFormat="1" x14ac:dyDescent="0.2">
      <c r="A829" s="34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565"/>
      <c r="R829" s="1097"/>
      <c r="U829" s="39"/>
      <c r="CU829" s="875"/>
      <c r="CV829" s="875"/>
      <c r="CW829" s="875"/>
      <c r="CX829" s="856"/>
      <c r="CY829" s="856"/>
      <c r="CZ829" s="856"/>
      <c r="DA829" s="126"/>
      <c r="DB829" s="126"/>
      <c r="DC829" s="126"/>
      <c r="DD829" s="126"/>
      <c r="DE829" s="856"/>
      <c r="DF829" s="856"/>
      <c r="DG829" s="856"/>
      <c r="DH829" s="856"/>
      <c r="DI829" s="856"/>
      <c r="DJ829" s="856"/>
      <c r="DK829" s="856"/>
      <c r="DL829" s="856"/>
      <c r="DM829" s="152"/>
      <c r="DN829" s="152"/>
      <c r="DO829" s="152"/>
      <c r="DP829" s="152"/>
      <c r="DQ829" s="152"/>
    </row>
    <row r="830" spans="1:121" s="35" customFormat="1" x14ac:dyDescent="0.2">
      <c r="A830" s="34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565"/>
      <c r="R830" s="1097"/>
      <c r="U830" s="39"/>
      <c r="CU830" s="875"/>
      <c r="CV830" s="875"/>
      <c r="CW830" s="875"/>
      <c r="CX830" s="856"/>
      <c r="CY830" s="856"/>
      <c r="CZ830" s="856"/>
      <c r="DA830" s="126"/>
      <c r="DB830" s="126"/>
      <c r="DC830" s="126"/>
      <c r="DD830" s="126"/>
      <c r="DE830" s="856"/>
      <c r="DF830" s="856"/>
      <c r="DG830" s="856"/>
      <c r="DH830" s="856"/>
      <c r="DI830" s="856"/>
      <c r="DJ830" s="856"/>
      <c r="DK830" s="856"/>
      <c r="DL830" s="856"/>
      <c r="DM830" s="152"/>
      <c r="DN830" s="152"/>
      <c r="DO830" s="152"/>
      <c r="DP830" s="152"/>
      <c r="DQ830" s="152"/>
    </row>
    <row r="831" spans="1:121" s="35" customFormat="1" x14ac:dyDescent="0.2">
      <c r="A831" s="34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565"/>
      <c r="R831" s="1097"/>
      <c r="U831" s="39"/>
      <c r="CU831" s="875"/>
      <c r="CV831" s="875"/>
      <c r="CW831" s="875"/>
      <c r="CX831" s="856"/>
      <c r="CY831" s="856"/>
      <c r="CZ831" s="856"/>
      <c r="DA831" s="126"/>
      <c r="DB831" s="126"/>
      <c r="DC831" s="126"/>
      <c r="DD831" s="126"/>
      <c r="DE831" s="856"/>
      <c r="DF831" s="856"/>
      <c r="DG831" s="856"/>
      <c r="DH831" s="856"/>
      <c r="DI831" s="856"/>
      <c r="DJ831" s="856"/>
      <c r="DK831" s="856"/>
      <c r="DL831" s="856"/>
      <c r="DM831" s="152"/>
      <c r="DN831" s="152"/>
      <c r="DO831" s="152"/>
      <c r="DP831" s="152"/>
      <c r="DQ831" s="152"/>
    </row>
    <row r="832" spans="1:121" s="35" customFormat="1" x14ac:dyDescent="0.2">
      <c r="A832" s="34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565"/>
      <c r="R832" s="1097"/>
      <c r="U832" s="39"/>
      <c r="CU832" s="875"/>
      <c r="CV832" s="875"/>
      <c r="CW832" s="875"/>
      <c r="CX832" s="856"/>
      <c r="CY832" s="856"/>
      <c r="CZ832" s="856"/>
      <c r="DA832" s="126"/>
      <c r="DB832" s="126"/>
      <c r="DC832" s="126"/>
      <c r="DD832" s="126"/>
      <c r="DE832" s="856"/>
      <c r="DF832" s="856"/>
      <c r="DG832" s="856"/>
      <c r="DH832" s="856"/>
      <c r="DI832" s="856"/>
      <c r="DJ832" s="856"/>
      <c r="DK832" s="856"/>
      <c r="DL832" s="856"/>
      <c r="DM832" s="152"/>
      <c r="DN832" s="152"/>
      <c r="DO832" s="152"/>
      <c r="DP832" s="152"/>
      <c r="DQ832" s="152"/>
    </row>
    <row r="833" spans="1:121" s="35" customFormat="1" x14ac:dyDescent="0.2">
      <c r="A833" s="34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565"/>
      <c r="R833" s="1097"/>
      <c r="U833" s="39"/>
      <c r="CU833" s="875"/>
      <c r="CV833" s="875"/>
      <c r="CW833" s="875"/>
      <c r="CX833" s="856"/>
      <c r="CY833" s="856"/>
      <c r="CZ833" s="856"/>
      <c r="DA833" s="126"/>
      <c r="DB833" s="126"/>
      <c r="DC833" s="126"/>
      <c r="DD833" s="126"/>
      <c r="DE833" s="856"/>
      <c r="DF833" s="856"/>
      <c r="DG833" s="856"/>
      <c r="DH833" s="856"/>
      <c r="DI833" s="856"/>
      <c r="DJ833" s="856"/>
      <c r="DK833" s="856"/>
      <c r="DL833" s="856"/>
      <c r="DM833" s="152"/>
      <c r="DN833" s="152"/>
      <c r="DO833" s="152"/>
      <c r="DP833" s="152"/>
      <c r="DQ833" s="152"/>
    </row>
    <row r="834" spans="1:121" s="35" customFormat="1" x14ac:dyDescent="0.2">
      <c r="A834" s="34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565"/>
      <c r="R834" s="1097"/>
      <c r="U834" s="39"/>
      <c r="CU834" s="875"/>
      <c r="CV834" s="875"/>
      <c r="CW834" s="875"/>
      <c r="CX834" s="856"/>
      <c r="CY834" s="856"/>
      <c r="CZ834" s="856"/>
      <c r="DA834" s="126"/>
      <c r="DB834" s="126"/>
      <c r="DC834" s="126"/>
      <c r="DD834" s="126"/>
      <c r="DE834" s="856"/>
      <c r="DF834" s="856"/>
      <c r="DG834" s="856"/>
      <c r="DH834" s="856"/>
      <c r="DI834" s="856"/>
      <c r="DJ834" s="856"/>
      <c r="DK834" s="856"/>
      <c r="DL834" s="856"/>
      <c r="DM834" s="152"/>
      <c r="DN834" s="152"/>
      <c r="DO834" s="152"/>
      <c r="DP834" s="152"/>
      <c r="DQ834" s="152"/>
    </row>
    <row r="835" spans="1:121" s="35" customFormat="1" x14ac:dyDescent="0.2">
      <c r="A835" s="34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565"/>
      <c r="R835" s="1097"/>
      <c r="U835" s="39"/>
      <c r="CU835" s="875"/>
      <c r="CV835" s="875"/>
      <c r="CW835" s="875"/>
      <c r="CX835" s="856"/>
      <c r="CY835" s="856"/>
      <c r="CZ835" s="856"/>
      <c r="DA835" s="126"/>
      <c r="DB835" s="126"/>
      <c r="DC835" s="126"/>
      <c r="DD835" s="126"/>
      <c r="DE835" s="856"/>
      <c r="DF835" s="856"/>
      <c r="DG835" s="856"/>
      <c r="DH835" s="856"/>
      <c r="DI835" s="856"/>
      <c r="DJ835" s="856"/>
      <c r="DK835" s="856"/>
      <c r="DL835" s="856"/>
      <c r="DM835" s="152"/>
      <c r="DN835" s="152"/>
      <c r="DO835" s="152"/>
      <c r="DP835" s="152"/>
      <c r="DQ835" s="152"/>
    </row>
    <row r="836" spans="1:121" s="35" customFormat="1" x14ac:dyDescent="0.2">
      <c r="A836" s="34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565"/>
      <c r="R836" s="1097"/>
      <c r="U836" s="39"/>
      <c r="CU836" s="875"/>
      <c r="CV836" s="875"/>
      <c r="CW836" s="875"/>
      <c r="CX836" s="856"/>
      <c r="CY836" s="856"/>
      <c r="CZ836" s="856"/>
      <c r="DA836" s="126"/>
      <c r="DB836" s="126"/>
      <c r="DC836" s="126"/>
      <c r="DD836" s="126"/>
      <c r="DE836" s="856"/>
      <c r="DF836" s="856"/>
      <c r="DG836" s="856"/>
      <c r="DH836" s="856"/>
      <c r="DI836" s="856"/>
      <c r="DJ836" s="856"/>
      <c r="DK836" s="856"/>
      <c r="DL836" s="856"/>
      <c r="DM836" s="152"/>
      <c r="DN836" s="152"/>
      <c r="DO836" s="152"/>
      <c r="DP836" s="152"/>
      <c r="DQ836" s="152"/>
    </row>
    <row r="837" spans="1:121" s="35" customFormat="1" x14ac:dyDescent="0.2">
      <c r="A837" s="34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565"/>
      <c r="R837" s="1097"/>
      <c r="U837" s="39"/>
      <c r="CU837" s="875"/>
      <c r="CV837" s="875"/>
      <c r="CW837" s="875"/>
      <c r="CX837" s="856"/>
      <c r="CY837" s="856"/>
      <c r="CZ837" s="856"/>
      <c r="DA837" s="126"/>
      <c r="DB837" s="126"/>
      <c r="DC837" s="126"/>
      <c r="DD837" s="126"/>
      <c r="DE837" s="856"/>
      <c r="DF837" s="856"/>
      <c r="DG837" s="856"/>
      <c r="DH837" s="856"/>
      <c r="DI837" s="856"/>
      <c r="DJ837" s="856"/>
      <c r="DK837" s="856"/>
      <c r="DL837" s="856"/>
      <c r="DM837" s="152"/>
      <c r="DN837" s="152"/>
      <c r="DO837" s="152"/>
      <c r="DP837" s="152"/>
      <c r="DQ837" s="152"/>
    </row>
    <row r="838" spans="1:121" s="35" customFormat="1" x14ac:dyDescent="0.2">
      <c r="A838" s="34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565"/>
      <c r="R838" s="1097"/>
      <c r="U838" s="39"/>
      <c r="CU838" s="875"/>
      <c r="CV838" s="875"/>
      <c r="CW838" s="875"/>
      <c r="CX838" s="856"/>
      <c r="CY838" s="856"/>
      <c r="CZ838" s="856"/>
      <c r="DA838" s="126"/>
      <c r="DB838" s="126"/>
      <c r="DC838" s="126"/>
      <c r="DD838" s="126"/>
      <c r="DE838" s="856"/>
      <c r="DF838" s="856"/>
      <c r="DG838" s="856"/>
      <c r="DH838" s="856"/>
      <c r="DI838" s="856"/>
      <c r="DJ838" s="856"/>
      <c r="DK838" s="856"/>
      <c r="DL838" s="856"/>
      <c r="DM838" s="152"/>
      <c r="DN838" s="152"/>
      <c r="DO838" s="152"/>
      <c r="DP838" s="152"/>
      <c r="DQ838" s="152"/>
    </row>
    <row r="839" spans="1:121" s="35" customFormat="1" x14ac:dyDescent="0.2">
      <c r="A839" s="34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565"/>
      <c r="R839" s="1097"/>
      <c r="U839" s="39"/>
      <c r="CU839" s="875"/>
      <c r="CV839" s="875"/>
      <c r="CW839" s="875"/>
      <c r="CX839" s="856"/>
      <c r="CY839" s="856"/>
      <c r="CZ839" s="856"/>
      <c r="DA839" s="126"/>
      <c r="DB839" s="126"/>
      <c r="DC839" s="126"/>
      <c r="DD839" s="126"/>
      <c r="DE839" s="856"/>
      <c r="DF839" s="856"/>
      <c r="DG839" s="856"/>
      <c r="DH839" s="856"/>
      <c r="DI839" s="856"/>
      <c r="DJ839" s="856"/>
      <c r="DK839" s="856"/>
      <c r="DL839" s="856"/>
      <c r="DM839" s="152"/>
      <c r="DN839" s="152"/>
      <c r="DO839" s="152"/>
      <c r="DP839" s="152"/>
      <c r="DQ839" s="152"/>
    </row>
    <row r="840" spans="1:121" s="35" customFormat="1" x14ac:dyDescent="0.2">
      <c r="A840" s="34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565"/>
      <c r="R840" s="1097"/>
      <c r="U840" s="39"/>
      <c r="CU840" s="875"/>
      <c r="CV840" s="875"/>
      <c r="CW840" s="875"/>
      <c r="CX840" s="856"/>
      <c r="CY840" s="856"/>
      <c r="CZ840" s="856"/>
      <c r="DA840" s="126"/>
      <c r="DB840" s="126"/>
      <c r="DC840" s="126"/>
      <c r="DD840" s="126"/>
      <c r="DE840" s="856"/>
      <c r="DF840" s="856"/>
      <c r="DG840" s="856"/>
      <c r="DH840" s="856"/>
      <c r="DI840" s="856"/>
      <c r="DJ840" s="856"/>
      <c r="DK840" s="856"/>
      <c r="DL840" s="856"/>
      <c r="DM840" s="152"/>
      <c r="DN840" s="152"/>
      <c r="DO840" s="152"/>
      <c r="DP840" s="152"/>
      <c r="DQ840" s="152"/>
    </row>
    <row r="841" spans="1:121" s="35" customFormat="1" x14ac:dyDescent="0.2">
      <c r="A841" s="34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565"/>
      <c r="R841" s="1097"/>
      <c r="U841" s="39"/>
      <c r="CU841" s="875"/>
      <c r="CV841" s="875"/>
      <c r="CW841" s="875"/>
      <c r="CX841" s="856"/>
      <c r="CY841" s="856"/>
      <c r="CZ841" s="856"/>
      <c r="DA841" s="126"/>
      <c r="DB841" s="126"/>
      <c r="DC841" s="126"/>
      <c r="DD841" s="126"/>
      <c r="DE841" s="856"/>
      <c r="DF841" s="856"/>
      <c r="DG841" s="856"/>
      <c r="DH841" s="856"/>
      <c r="DI841" s="856"/>
      <c r="DJ841" s="856"/>
      <c r="DK841" s="856"/>
      <c r="DL841" s="856"/>
      <c r="DM841" s="152"/>
      <c r="DN841" s="152"/>
      <c r="DO841" s="152"/>
      <c r="DP841" s="152"/>
      <c r="DQ841" s="152"/>
    </row>
    <row r="842" spans="1:121" s="35" customFormat="1" x14ac:dyDescent="0.2">
      <c r="A842" s="34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565"/>
      <c r="R842" s="1097"/>
      <c r="U842" s="39"/>
      <c r="CU842" s="875"/>
      <c r="CV842" s="875"/>
      <c r="CW842" s="875"/>
      <c r="CX842" s="856"/>
      <c r="CY842" s="856"/>
      <c r="CZ842" s="856"/>
      <c r="DA842" s="126"/>
      <c r="DB842" s="126"/>
      <c r="DC842" s="126"/>
      <c r="DD842" s="126"/>
      <c r="DE842" s="856"/>
      <c r="DF842" s="856"/>
      <c r="DG842" s="856"/>
      <c r="DH842" s="856"/>
      <c r="DI842" s="856"/>
      <c r="DJ842" s="856"/>
      <c r="DK842" s="856"/>
      <c r="DL842" s="856"/>
      <c r="DM842" s="152"/>
      <c r="DN842" s="152"/>
      <c r="DO842" s="152"/>
      <c r="DP842" s="152"/>
      <c r="DQ842" s="152"/>
    </row>
    <row r="843" spans="1:121" s="35" customFormat="1" x14ac:dyDescent="0.2">
      <c r="A843" s="34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565"/>
      <c r="R843" s="1097"/>
      <c r="U843" s="39"/>
      <c r="CU843" s="875"/>
      <c r="CV843" s="875"/>
      <c r="CW843" s="875"/>
      <c r="CX843" s="856"/>
      <c r="CY843" s="856"/>
      <c r="CZ843" s="856"/>
      <c r="DA843" s="126"/>
      <c r="DB843" s="126"/>
      <c r="DC843" s="126"/>
      <c r="DD843" s="126"/>
      <c r="DE843" s="856"/>
      <c r="DF843" s="856"/>
      <c r="DG843" s="856"/>
      <c r="DH843" s="856"/>
      <c r="DI843" s="856"/>
      <c r="DJ843" s="856"/>
      <c r="DK843" s="856"/>
      <c r="DL843" s="856"/>
      <c r="DM843" s="152"/>
      <c r="DN843" s="152"/>
      <c r="DO843" s="152"/>
      <c r="DP843" s="152"/>
      <c r="DQ843" s="152"/>
    </row>
    <row r="844" spans="1:121" s="35" customFormat="1" x14ac:dyDescent="0.2">
      <c r="A844" s="34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565"/>
      <c r="R844" s="1097"/>
      <c r="U844" s="39"/>
      <c r="CU844" s="875"/>
      <c r="CV844" s="875"/>
      <c r="CW844" s="875"/>
      <c r="CX844" s="856"/>
      <c r="CY844" s="856"/>
      <c r="CZ844" s="856"/>
      <c r="DA844" s="126"/>
      <c r="DB844" s="126"/>
      <c r="DC844" s="126"/>
      <c r="DD844" s="126"/>
      <c r="DE844" s="856"/>
      <c r="DF844" s="856"/>
      <c r="DG844" s="856"/>
      <c r="DH844" s="856"/>
      <c r="DI844" s="856"/>
      <c r="DJ844" s="856"/>
      <c r="DK844" s="856"/>
      <c r="DL844" s="856"/>
      <c r="DM844" s="152"/>
      <c r="DN844" s="152"/>
      <c r="DO844" s="152"/>
      <c r="DP844" s="152"/>
      <c r="DQ844" s="152"/>
    </row>
    <row r="845" spans="1:121" s="35" customFormat="1" x14ac:dyDescent="0.2">
      <c r="A845" s="34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565"/>
      <c r="R845" s="1097"/>
      <c r="U845" s="39"/>
      <c r="CU845" s="875"/>
      <c r="CV845" s="875"/>
      <c r="CW845" s="875"/>
      <c r="CX845" s="856"/>
      <c r="CY845" s="856"/>
      <c r="CZ845" s="856"/>
      <c r="DA845" s="126"/>
      <c r="DB845" s="126"/>
      <c r="DC845" s="126"/>
      <c r="DD845" s="126"/>
      <c r="DE845" s="856"/>
      <c r="DF845" s="856"/>
      <c r="DG845" s="856"/>
      <c r="DH845" s="856"/>
      <c r="DI845" s="856"/>
      <c r="DJ845" s="856"/>
      <c r="DK845" s="856"/>
      <c r="DL845" s="856"/>
      <c r="DM845" s="152"/>
      <c r="DN845" s="152"/>
      <c r="DO845" s="152"/>
      <c r="DP845" s="152"/>
      <c r="DQ845" s="152"/>
    </row>
    <row r="846" spans="1:121" s="35" customFormat="1" x14ac:dyDescent="0.2">
      <c r="A846" s="34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565"/>
      <c r="R846" s="1097"/>
      <c r="U846" s="39"/>
      <c r="CU846" s="875"/>
      <c r="CV846" s="875"/>
      <c r="CW846" s="875"/>
      <c r="CX846" s="856"/>
      <c r="CY846" s="856"/>
      <c r="CZ846" s="856"/>
      <c r="DA846" s="126"/>
      <c r="DB846" s="126"/>
      <c r="DC846" s="126"/>
      <c r="DD846" s="126"/>
      <c r="DE846" s="856"/>
      <c r="DF846" s="856"/>
      <c r="DG846" s="856"/>
      <c r="DH846" s="856"/>
      <c r="DI846" s="856"/>
      <c r="DJ846" s="856"/>
      <c r="DK846" s="856"/>
      <c r="DL846" s="856"/>
      <c r="DM846" s="152"/>
      <c r="DN846" s="152"/>
      <c r="DO846" s="152"/>
      <c r="DP846" s="152"/>
      <c r="DQ846" s="152"/>
    </row>
    <row r="847" spans="1:121" s="35" customFormat="1" x14ac:dyDescent="0.2">
      <c r="A847" s="34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565"/>
      <c r="R847" s="1097"/>
      <c r="U847" s="39"/>
      <c r="CU847" s="875"/>
      <c r="CV847" s="875"/>
      <c r="CW847" s="875"/>
      <c r="CX847" s="856"/>
      <c r="CY847" s="856"/>
      <c r="CZ847" s="856"/>
      <c r="DA847" s="126"/>
      <c r="DB847" s="126"/>
      <c r="DC847" s="126"/>
      <c r="DD847" s="126"/>
      <c r="DE847" s="856"/>
      <c r="DF847" s="856"/>
      <c r="DG847" s="856"/>
      <c r="DH847" s="856"/>
      <c r="DI847" s="856"/>
      <c r="DJ847" s="856"/>
      <c r="DK847" s="856"/>
      <c r="DL847" s="856"/>
      <c r="DM847" s="152"/>
      <c r="DN847" s="152"/>
      <c r="DO847" s="152"/>
      <c r="DP847" s="152"/>
      <c r="DQ847" s="152"/>
    </row>
    <row r="848" spans="1:121" s="35" customFormat="1" x14ac:dyDescent="0.2">
      <c r="A848" s="34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565"/>
      <c r="R848" s="1097"/>
      <c r="U848" s="39"/>
      <c r="CU848" s="875"/>
      <c r="CV848" s="875"/>
      <c r="CW848" s="875"/>
      <c r="CX848" s="856"/>
      <c r="CY848" s="856"/>
      <c r="CZ848" s="856"/>
      <c r="DA848" s="126"/>
      <c r="DB848" s="126"/>
      <c r="DC848" s="126"/>
      <c r="DD848" s="126"/>
      <c r="DE848" s="856"/>
      <c r="DF848" s="856"/>
      <c r="DG848" s="856"/>
      <c r="DH848" s="856"/>
      <c r="DI848" s="856"/>
      <c r="DJ848" s="856"/>
      <c r="DK848" s="856"/>
      <c r="DL848" s="856"/>
      <c r="DM848" s="152"/>
      <c r="DN848" s="152"/>
      <c r="DO848" s="152"/>
      <c r="DP848" s="152"/>
      <c r="DQ848" s="152"/>
    </row>
    <row r="849" spans="1:121" s="35" customFormat="1" x14ac:dyDescent="0.2">
      <c r="A849" s="34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565"/>
      <c r="R849" s="1097"/>
      <c r="U849" s="39"/>
      <c r="CU849" s="875"/>
      <c r="CV849" s="875"/>
      <c r="CW849" s="875"/>
      <c r="CX849" s="856"/>
      <c r="CY849" s="856"/>
      <c r="CZ849" s="856"/>
      <c r="DA849" s="126"/>
      <c r="DB849" s="126"/>
      <c r="DC849" s="126"/>
      <c r="DD849" s="126"/>
      <c r="DE849" s="856"/>
      <c r="DF849" s="856"/>
      <c r="DG849" s="856"/>
      <c r="DH849" s="856"/>
      <c r="DI849" s="856"/>
      <c r="DJ849" s="856"/>
      <c r="DK849" s="856"/>
      <c r="DL849" s="856"/>
      <c r="DM849" s="152"/>
      <c r="DN849" s="152"/>
      <c r="DO849" s="152"/>
      <c r="DP849" s="152"/>
      <c r="DQ849" s="152"/>
    </row>
    <row r="850" spans="1:121" s="35" customFormat="1" x14ac:dyDescent="0.2">
      <c r="A850" s="34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565"/>
      <c r="R850" s="1097"/>
      <c r="U850" s="39"/>
      <c r="CU850" s="875"/>
      <c r="CV850" s="875"/>
      <c r="CW850" s="875"/>
      <c r="CX850" s="856"/>
      <c r="CY850" s="856"/>
      <c r="CZ850" s="856"/>
      <c r="DA850" s="126"/>
      <c r="DB850" s="126"/>
      <c r="DC850" s="126"/>
      <c r="DD850" s="126"/>
      <c r="DE850" s="856"/>
      <c r="DF850" s="856"/>
      <c r="DG850" s="856"/>
      <c r="DH850" s="856"/>
      <c r="DI850" s="856"/>
      <c r="DJ850" s="856"/>
      <c r="DK850" s="856"/>
      <c r="DL850" s="856"/>
      <c r="DM850" s="152"/>
      <c r="DN850" s="152"/>
      <c r="DO850" s="152"/>
      <c r="DP850" s="152"/>
      <c r="DQ850" s="152"/>
    </row>
    <row r="851" spans="1:121" s="35" customFormat="1" x14ac:dyDescent="0.2">
      <c r="A851" s="34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565"/>
      <c r="R851" s="1097"/>
      <c r="U851" s="39"/>
      <c r="CU851" s="875"/>
      <c r="CV851" s="875"/>
      <c r="CW851" s="875"/>
      <c r="CX851" s="856"/>
      <c r="CY851" s="856"/>
      <c r="CZ851" s="856"/>
      <c r="DA851" s="126"/>
      <c r="DB851" s="126"/>
      <c r="DC851" s="126"/>
      <c r="DD851" s="126"/>
      <c r="DE851" s="856"/>
      <c r="DF851" s="856"/>
      <c r="DG851" s="856"/>
      <c r="DH851" s="856"/>
      <c r="DI851" s="856"/>
      <c r="DJ851" s="856"/>
      <c r="DK851" s="856"/>
      <c r="DL851" s="856"/>
      <c r="DM851" s="152"/>
      <c r="DN851" s="152"/>
      <c r="DO851" s="152"/>
      <c r="DP851" s="152"/>
      <c r="DQ851" s="152"/>
    </row>
    <row r="852" spans="1:121" s="35" customFormat="1" x14ac:dyDescent="0.2">
      <c r="A852" s="34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565"/>
      <c r="R852" s="1097"/>
      <c r="U852" s="39"/>
      <c r="CU852" s="875"/>
      <c r="CV852" s="875"/>
      <c r="CW852" s="875"/>
      <c r="CX852" s="856"/>
      <c r="CY852" s="856"/>
      <c r="CZ852" s="856"/>
      <c r="DA852" s="126"/>
      <c r="DB852" s="126"/>
      <c r="DC852" s="126"/>
      <c r="DD852" s="126"/>
      <c r="DE852" s="856"/>
      <c r="DF852" s="856"/>
      <c r="DG852" s="856"/>
      <c r="DH852" s="856"/>
      <c r="DI852" s="856"/>
      <c r="DJ852" s="856"/>
      <c r="DK852" s="856"/>
      <c r="DL852" s="856"/>
      <c r="DM852" s="152"/>
      <c r="DN852" s="152"/>
      <c r="DO852" s="152"/>
      <c r="DP852" s="152"/>
      <c r="DQ852" s="152"/>
    </row>
    <row r="853" spans="1:121" s="35" customFormat="1" x14ac:dyDescent="0.2">
      <c r="A853" s="34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565"/>
      <c r="R853" s="1097"/>
      <c r="U853" s="39"/>
      <c r="CU853" s="875"/>
      <c r="CV853" s="875"/>
      <c r="CW853" s="875"/>
      <c r="CX853" s="856"/>
      <c r="CY853" s="856"/>
      <c r="CZ853" s="856"/>
      <c r="DA853" s="126"/>
      <c r="DB853" s="126"/>
      <c r="DC853" s="126"/>
      <c r="DD853" s="126"/>
      <c r="DE853" s="856"/>
      <c r="DF853" s="856"/>
      <c r="DG853" s="856"/>
      <c r="DH853" s="856"/>
      <c r="DI853" s="856"/>
      <c r="DJ853" s="856"/>
      <c r="DK853" s="856"/>
      <c r="DL853" s="856"/>
      <c r="DM853" s="152"/>
      <c r="DN853" s="152"/>
      <c r="DO853" s="152"/>
      <c r="DP853" s="152"/>
      <c r="DQ853" s="152"/>
    </row>
    <row r="854" spans="1:121" s="35" customFormat="1" x14ac:dyDescent="0.2">
      <c r="A854" s="34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565"/>
      <c r="R854" s="1097"/>
      <c r="U854" s="39"/>
      <c r="CU854" s="875"/>
      <c r="CV854" s="875"/>
      <c r="CW854" s="875"/>
      <c r="CX854" s="856"/>
      <c r="CY854" s="856"/>
      <c r="CZ854" s="856"/>
      <c r="DA854" s="126"/>
      <c r="DB854" s="126"/>
      <c r="DC854" s="126"/>
      <c r="DD854" s="126"/>
      <c r="DE854" s="856"/>
      <c r="DF854" s="856"/>
      <c r="DG854" s="856"/>
      <c r="DH854" s="856"/>
      <c r="DI854" s="856"/>
      <c r="DJ854" s="856"/>
      <c r="DK854" s="856"/>
      <c r="DL854" s="856"/>
      <c r="DM854" s="152"/>
      <c r="DN854" s="152"/>
      <c r="DO854" s="152"/>
      <c r="DP854" s="152"/>
      <c r="DQ854" s="152"/>
    </row>
    <row r="855" spans="1:121" s="35" customFormat="1" x14ac:dyDescent="0.2">
      <c r="A855" s="34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565"/>
      <c r="R855" s="1097"/>
      <c r="U855" s="39"/>
      <c r="CU855" s="875"/>
      <c r="CV855" s="875"/>
      <c r="CW855" s="875"/>
      <c r="CX855" s="856"/>
      <c r="CY855" s="856"/>
      <c r="CZ855" s="856"/>
      <c r="DA855" s="126"/>
      <c r="DB855" s="126"/>
      <c r="DC855" s="126"/>
      <c r="DD855" s="126"/>
      <c r="DE855" s="856"/>
      <c r="DF855" s="856"/>
      <c r="DG855" s="856"/>
      <c r="DH855" s="856"/>
      <c r="DI855" s="856"/>
      <c r="DJ855" s="856"/>
      <c r="DK855" s="856"/>
      <c r="DL855" s="856"/>
      <c r="DM855" s="152"/>
      <c r="DN855" s="152"/>
      <c r="DO855" s="152"/>
      <c r="DP855" s="152"/>
      <c r="DQ855" s="152"/>
    </row>
    <row r="856" spans="1:121" s="35" customFormat="1" x14ac:dyDescent="0.2">
      <c r="A856" s="34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565"/>
      <c r="R856" s="1097"/>
      <c r="U856" s="39"/>
      <c r="CU856" s="875"/>
      <c r="CV856" s="875"/>
      <c r="CW856" s="875"/>
      <c r="CX856" s="856"/>
      <c r="CY856" s="856"/>
      <c r="CZ856" s="856"/>
      <c r="DA856" s="126"/>
      <c r="DB856" s="126"/>
      <c r="DC856" s="126"/>
      <c r="DD856" s="126"/>
      <c r="DE856" s="856"/>
      <c r="DF856" s="856"/>
      <c r="DG856" s="856"/>
      <c r="DH856" s="856"/>
      <c r="DI856" s="856"/>
      <c r="DJ856" s="856"/>
      <c r="DK856" s="856"/>
      <c r="DL856" s="856"/>
      <c r="DM856" s="152"/>
      <c r="DN856" s="152"/>
      <c r="DO856" s="152"/>
      <c r="DP856" s="152"/>
      <c r="DQ856" s="152"/>
    </row>
    <row r="857" spans="1:121" s="35" customFormat="1" x14ac:dyDescent="0.2">
      <c r="A857" s="34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565"/>
      <c r="R857" s="1097"/>
      <c r="U857" s="39"/>
      <c r="CU857" s="875"/>
      <c r="CV857" s="875"/>
      <c r="CW857" s="875"/>
      <c r="CX857" s="856"/>
      <c r="CY857" s="856"/>
      <c r="CZ857" s="856"/>
      <c r="DA857" s="126"/>
      <c r="DB857" s="126"/>
      <c r="DC857" s="126"/>
      <c r="DD857" s="126"/>
      <c r="DE857" s="856"/>
      <c r="DF857" s="856"/>
      <c r="DG857" s="856"/>
      <c r="DH857" s="856"/>
      <c r="DI857" s="856"/>
      <c r="DJ857" s="856"/>
      <c r="DK857" s="856"/>
      <c r="DL857" s="856"/>
      <c r="DM857" s="152"/>
      <c r="DN857" s="152"/>
      <c r="DO857" s="152"/>
      <c r="DP857" s="152"/>
      <c r="DQ857" s="152"/>
    </row>
    <row r="858" spans="1:121" s="35" customFormat="1" x14ac:dyDescent="0.2">
      <c r="A858" s="34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565"/>
      <c r="R858" s="1097"/>
      <c r="U858" s="39"/>
      <c r="CU858" s="875"/>
      <c r="CV858" s="875"/>
      <c r="CW858" s="875"/>
      <c r="CX858" s="856"/>
      <c r="CY858" s="856"/>
      <c r="CZ858" s="856"/>
      <c r="DA858" s="126"/>
      <c r="DB858" s="126"/>
      <c r="DC858" s="126"/>
      <c r="DD858" s="126"/>
      <c r="DE858" s="856"/>
      <c r="DF858" s="856"/>
      <c r="DG858" s="856"/>
      <c r="DH858" s="856"/>
      <c r="DI858" s="856"/>
      <c r="DJ858" s="856"/>
      <c r="DK858" s="856"/>
      <c r="DL858" s="856"/>
      <c r="DM858" s="152"/>
      <c r="DN858" s="152"/>
      <c r="DO858" s="152"/>
      <c r="DP858" s="152"/>
      <c r="DQ858" s="152"/>
    </row>
    <row r="859" spans="1:121" s="35" customFormat="1" x14ac:dyDescent="0.2">
      <c r="A859" s="34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565"/>
      <c r="R859" s="1097"/>
      <c r="U859" s="39"/>
      <c r="CU859" s="875"/>
      <c r="CV859" s="875"/>
      <c r="CW859" s="875"/>
      <c r="CX859" s="856"/>
      <c r="CY859" s="856"/>
      <c r="CZ859" s="856"/>
      <c r="DA859" s="126"/>
      <c r="DB859" s="126"/>
      <c r="DC859" s="126"/>
      <c r="DD859" s="126"/>
      <c r="DE859" s="856"/>
      <c r="DF859" s="856"/>
      <c r="DG859" s="856"/>
      <c r="DH859" s="856"/>
      <c r="DI859" s="856"/>
      <c r="DJ859" s="856"/>
      <c r="DK859" s="856"/>
      <c r="DL859" s="856"/>
      <c r="DM859" s="152"/>
      <c r="DN859" s="152"/>
      <c r="DO859" s="152"/>
      <c r="DP859" s="152"/>
      <c r="DQ859" s="152"/>
    </row>
    <row r="860" spans="1:121" s="35" customFormat="1" x14ac:dyDescent="0.2">
      <c r="A860" s="34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565"/>
      <c r="R860" s="1097"/>
      <c r="U860" s="39"/>
      <c r="CU860" s="875"/>
      <c r="CV860" s="875"/>
      <c r="CW860" s="875"/>
      <c r="CX860" s="856"/>
      <c r="CY860" s="856"/>
      <c r="CZ860" s="856"/>
      <c r="DA860" s="126"/>
      <c r="DB860" s="126"/>
      <c r="DC860" s="126"/>
      <c r="DD860" s="126"/>
      <c r="DE860" s="856"/>
      <c r="DF860" s="856"/>
      <c r="DG860" s="856"/>
      <c r="DH860" s="856"/>
      <c r="DI860" s="856"/>
      <c r="DJ860" s="856"/>
      <c r="DK860" s="856"/>
      <c r="DL860" s="856"/>
      <c r="DM860" s="152"/>
      <c r="DN860" s="152"/>
      <c r="DO860" s="152"/>
      <c r="DP860" s="152"/>
      <c r="DQ860" s="152"/>
    </row>
    <row r="861" spans="1:121" s="35" customFormat="1" x14ac:dyDescent="0.2">
      <c r="A861" s="34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565"/>
      <c r="R861" s="1097"/>
      <c r="U861" s="39"/>
      <c r="CU861" s="875"/>
      <c r="CV861" s="875"/>
      <c r="CW861" s="875"/>
      <c r="CX861" s="856"/>
      <c r="CY861" s="856"/>
      <c r="CZ861" s="856"/>
      <c r="DA861" s="126"/>
      <c r="DB861" s="126"/>
      <c r="DC861" s="126"/>
      <c r="DD861" s="126"/>
      <c r="DE861" s="856"/>
      <c r="DF861" s="856"/>
      <c r="DG861" s="856"/>
      <c r="DH861" s="856"/>
      <c r="DI861" s="856"/>
      <c r="DJ861" s="856"/>
      <c r="DK861" s="856"/>
      <c r="DL861" s="856"/>
      <c r="DM861" s="152"/>
      <c r="DN861" s="152"/>
      <c r="DO861" s="152"/>
      <c r="DP861" s="152"/>
      <c r="DQ861" s="152"/>
    </row>
    <row r="862" spans="1:121" s="35" customFormat="1" x14ac:dyDescent="0.2">
      <c r="A862" s="34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565"/>
      <c r="R862" s="1097"/>
      <c r="U862" s="39"/>
      <c r="CU862" s="875"/>
      <c r="CV862" s="875"/>
      <c r="CW862" s="875"/>
      <c r="CX862" s="856"/>
      <c r="CY862" s="856"/>
      <c r="CZ862" s="856"/>
      <c r="DA862" s="126"/>
      <c r="DB862" s="126"/>
      <c r="DC862" s="126"/>
      <c r="DD862" s="126"/>
      <c r="DE862" s="856"/>
      <c r="DF862" s="856"/>
      <c r="DG862" s="856"/>
      <c r="DH862" s="856"/>
      <c r="DI862" s="856"/>
      <c r="DJ862" s="856"/>
      <c r="DK862" s="856"/>
      <c r="DL862" s="856"/>
      <c r="DM862" s="152"/>
      <c r="DN862" s="152"/>
      <c r="DO862" s="152"/>
      <c r="DP862" s="152"/>
      <c r="DQ862" s="152"/>
    </row>
    <row r="863" spans="1:121" s="35" customFormat="1" x14ac:dyDescent="0.2">
      <c r="A863" s="34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565"/>
      <c r="R863" s="1097"/>
      <c r="U863" s="39"/>
      <c r="CU863" s="875"/>
      <c r="CV863" s="875"/>
      <c r="CW863" s="875"/>
      <c r="CX863" s="856"/>
      <c r="CY863" s="856"/>
      <c r="CZ863" s="856"/>
      <c r="DA863" s="126"/>
      <c r="DB863" s="126"/>
      <c r="DC863" s="126"/>
      <c r="DD863" s="126"/>
      <c r="DE863" s="856"/>
      <c r="DF863" s="856"/>
      <c r="DG863" s="856"/>
      <c r="DH863" s="856"/>
      <c r="DI863" s="856"/>
      <c r="DJ863" s="856"/>
      <c r="DK863" s="856"/>
      <c r="DL863" s="856"/>
      <c r="DM863" s="152"/>
      <c r="DN863" s="152"/>
      <c r="DO863" s="152"/>
      <c r="DP863" s="152"/>
      <c r="DQ863" s="152"/>
    </row>
    <row r="864" spans="1:121" s="35" customFormat="1" x14ac:dyDescent="0.2">
      <c r="A864" s="34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565"/>
      <c r="R864" s="1097"/>
      <c r="U864" s="39"/>
      <c r="CU864" s="875"/>
      <c r="CV864" s="875"/>
      <c r="CW864" s="875"/>
      <c r="CX864" s="856"/>
      <c r="CY864" s="856"/>
      <c r="CZ864" s="856"/>
      <c r="DA864" s="126"/>
      <c r="DB864" s="126"/>
      <c r="DC864" s="126"/>
      <c r="DD864" s="126"/>
      <c r="DE864" s="856"/>
      <c r="DF864" s="856"/>
      <c r="DG864" s="856"/>
      <c r="DH864" s="856"/>
      <c r="DI864" s="856"/>
      <c r="DJ864" s="856"/>
      <c r="DK864" s="856"/>
      <c r="DL864" s="856"/>
      <c r="DM864" s="152"/>
      <c r="DN864" s="152"/>
      <c r="DO864" s="152"/>
      <c r="DP864" s="152"/>
      <c r="DQ864" s="152"/>
    </row>
    <row r="865" spans="1:121" s="35" customFormat="1" x14ac:dyDescent="0.2">
      <c r="A865" s="34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565"/>
      <c r="R865" s="1097"/>
      <c r="U865" s="39"/>
      <c r="CU865" s="875"/>
      <c r="CV865" s="875"/>
      <c r="CW865" s="875"/>
      <c r="CX865" s="856"/>
      <c r="CY865" s="856"/>
      <c r="CZ865" s="856"/>
      <c r="DA865" s="126"/>
      <c r="DB865" s="126"/>
      <c r="DC865" s="126"/>
      <c r="DD865" s="126"/>
      <c r="DE865" s="856"/>
      <c r="DF865" s="856"/>
      <c r="DG865" s="856"/>
      <c r="DH865" s="856"/>
      <c r="DI865" s="856"/>
      <c r="DJ865" s="856"/>
      <c r="DK865" s="856"/>
      <c r="DL865" s="856"/>
      <c r="DM865" s="152"/>
      <c r="DN865" s="152"/>
      <c r="DO865" s="152"/>
      <c r="DP865" s="152"/>
      <c r="DQ865" s="152"/>
    </row>
    <row r="866" spans="1:121" s="35" customFormat="1" x14ac:dyDescent="0.2">
      <c r="A866" s="34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565"/>
      <c r="R866" s="1097"/>
      <c r="U866" s="39"/>
      <c r="CU866" s="875"/>
      <c r="CV866" s="875"/>
      <c r="CW866" s="875"/>
      <c r="CX866" s="856"/>
      <c r="CY866" s="856"/>
      <c r="CZ866" s="856"/>
      <c r="DA866" s="126"/>
      <c r="DB866" s="126"/>
      <c r="DC866" s="126"/>
      <c r="DD866" s="126"/>
      <c r="DE866" s="856"/>
      <c r="DF866" s="856"/>
      <c r="DG866" s="856"/>
      <c r="DH866" s="856"/>
      <c r="DI866" s="856"/>
      <c r="DJ866" s="856"/>
      <c r="DK866" s="856"/>
      <c r="DL866" s="856"/>
      <c r="DM866" s="152"/>
      <c r="DN866" s="152"/>
      <c r="DO866" s="152"/>
      <c r="DP866" s="152"/>
      <c r="DQ866" s="152"/>
    </row>
    <row r="867" spans="1:121" s="35" customFormat="1" x14ac:dyDescent="0.2">
      <c r="A867" s="34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565"/>
      <c r="R867" s="1097"/>
      <c r="U867" s="39"/>
      <c r="CU867" s="875"/>
      <c r="CV867" s="875"/>
      <c r="CW867" s="875"/>
      <c r="CX867" s="856"/>
      <c r="CY867" s="856"/>
      <c r="CZ867" s="856"/>
      <c r="DA867" s="126"/>
      <c r="DB867" s="126"/>
      <c r="DC867" s="126"/>
      <c r="DD867" s="126"/>
      <c r="DE867" s="856"/>
      <c r="DF867" s="856"/>
      <c r="DG867" s="856"/>
      <c r="DH867" s="856"/>
      <c r="DI867" s="856"/>
      <c r="DJ867" s="856"/>
      <c r="DK867" s="856"/>
      <c r="DL867" s="856"/>
      <c r="DM867" s="152"/>
      <c r="DN867" s="152"/>
      <c r="DO867" s="152"/>
      <c r="DP867" s="152"/>
      <c r="DQ867" s="152"/>
    </row>
    <row r="868" spans="1:121" s="35" customFormat="1" x14ac:dyDescent="0.2">
      <c r="A868" s="34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565"/>
      <c r="R868" s="1097"/>
      <c r="U868" s="39"/>
      <c r="CU868" s="875"/>
      <c r="CV868" s="875"/>
      <c r="CW868" s="875"/>
      <c r="CX868" s="856"/>
      <c r="CY868" s="856"/>
      <c r="CZ868" s="856"/>
      <c r="DA868" s="126"/>
      <c r="DB868" s="126"/>
      <c r="DC868" s="126"/>
      <c r="DD868" s="126"/>
      <c r="DE868" s="856"/>
      <c r="DF868" s="856"/>
      <c r="DG868" s="856"/>
      <c r="DH868" s="856"/>
      <c r="DI868" s="856"/>
      <c r="DJ868" s="856"/>
      <c r="DK868" s="856"/>
      <c r="DL868" s="856"/>
      <c r="DM868" s="152"/>
      <c r="DN868" s="152"/>
      <c r="DO868" s="152"/>
      <c r="DP868" s="152"/>
      <c r="DQ868" s="152"/>
    </row>
    <row r="869" spans="1:121" s="35" customFormat="1" x14ac:dyDescent="0.2">
      <c r="A869" s="34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565"/>
      <c r="R869" s="1097"/>
      <c r="U869" s="39"/>
      <c r="CU869" s="875"/>
      <c r="CV869" s="875"/>
      <c r="CW869" s="875"/>
      <c r="CX869" s="856"/>
      <c r="CY869" s="856"/>
      <c r="CZ869" s="856"/>
      <c r="DA869" s="126"/>
      <c r="DB869" s="126"/>
      <c r="DC869" s="126"/>
      <c r="DD869" s="126"/>
      <c r="DE869" s="856"/>
      <c r="DF869" s="856"/>
      <c r="DG869" s="856"/>
      <c r="DH869" s="856"/>
      <c r="DI869" s="856"/>
      <c r="DJ869" s="856"/>
      <c r="DK869" s="856"/>
      <c r="DL869" s="856"/>
      <c r="DM869" s="152"/>
      <c r="DN869" s="152"/>
      <c r="DO869" s="152"/>
      <c r="DP869" s="152"/>
      <c r="DQ869" s="152"/>
    </row>
    <row r="870" spans="1:121" s="35" customFormat="1" x14ac:dyDescent="0.2">
      <c r="A870" s="34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565"/>
      <c r="R870" s="1097"/>
      <c r="U870" s="39"/>
      <c r="CU870" s="875"/>
      <c r="CV870" s="875"/>
      <c r="CW870" s="875"/>
      <c r="CX870" s="856"/>
      <c r="CY870" s="856"/>
      <c r="CZ870" s="856"/>
      <c r="DA870" s="126"/>
      <c r="DB870" s="126"/>
      <c r="DC870" s="126"/>
      <c r="DD870" s="126"/>
      <c r="DE870" s="856"/>
      <c r="DF870" s="856"/>
      <c r="DG870" s="856"/>
      <c r="DH870" s="856"/>
      <c r="DI870" s="856"/>
      <c r="DJ870" s="856"/>
      <c r="DK870" s="856"/>
      <c r="DL870" s="856"/>
      <c r="DM870" s="152"/>
      <c r="DN870" s="152"/>
      <c r="DO870" s="152"/>
      <c r="DP870" s="152"/>
      <c r="DQ870" s="152"/>
    </row>
    <row r="871" spans="1:121" s="35" customFormat="1" x14ac:dyDescent="0.2">
      <c r="A871" s="34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565"/>
      <c r="R871" s="1097"/>
      <c r="U871" s="39"/>
      <c r="CU871" s="875"/>
      <c r="CV871" s="875"/>
      <c r="CW871" s="875"/>
      <c r="CX871" s="856"/>
      <c r="CY871" s="856"/>
      <c r="CZ871" s="856"/>
      <c r="DA871" s="126"/>
      <c r="DB871" s="126"/>
      <c r="DC871" s="126"/>
      <c r="DD871" s="126"/>
      <c r="DE871" s="856"/>
      <c r="DF871" s="856"/>
      <c r="DG871" s="856"/>
      <c r="DH871" s="856"/>
      <c r="DI871" s="856"/>
      <c r="DJ871" s="856"/>
      <c r="DK871" s="856"/>
      <c r="DL871" s="856"/>
      <c r="DM871" s="152"/>
      <c r="DN871" s="152"/>
      <c r="DO871" s="152"/>
      <c r="DP871" s="152"/>
      <c r="DQ871" s="152"/>
    </row>
    <row r="872" spans="1:121" s="35" customFormat="1" x14ac:dyDescent="0.2">
      <c r="A872" s="34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565"/>
      <c r="R872" s="1097"/>
      <c r="U872" s="39"/>
      <c r="CU872" s="875"/>
      <c r="CV872" s="875"/>
      <c r="CW872" s="875"/>
      <c r="CX872" s="856"/>
      <c r="CY872" s="856"/>
      <c r="CZ872" s="856"/>
      <c r="DA872" s="126"/>
      <c r="DB872" s="126"/>
      <c r="DC872" s="126"/>
      <c r="DD872" s="126"/>
      <c r="DE872" s="856"/>
      <c r="DF872" s="856"/>
      <c r="DG872" s="856"/>
      <c r="DH872" s="856"/>
      <c r="DI872" s="856"/>
      <c r="DJ872" s="856"/>
      <c r="DK872" s="856"/>
      <c r="DL872" s="856"/>
      <c r="DM872" s="152"/>
      <c r="DN872" s="152"/>
      <c r="DO872" s="152"/>
      <c r="DP872" s="152"/>
      <c r="DQ872" s="152"/>
    </row>
    <row r="873" spans="1:121" s="35" customFormat="1" x14ac:dyDescent="0.2">
      <c r="A873" s="34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565"/>
      <c r="R873" s="1097"/>
      <c r="U873" s="39"/>
      <c r="CU873" s="875"/>
      <c r="CV873" s="875"/>
      <c r="CW873" s="875"/>
      <c r="CX873" s="856"/>
      <c r="CY873" s="856"/>
      <c r="CZ873" s="856"/>
      <c r="DA873" s="126"/>
      <c r="DB873" s="126"/>
      <c r="DC873" s="126"/>
      <c r="DD873" s="126"/>
      <c r="DE873" s="856"/>
      <c r="DF873" s="856"/>
      <c r="DG873" s="856"/>
      <c r="DH873" s="856"/>
      <c r="DI873" s="856"/>
      <c r="DJ873" s="856"/>
      <c r="DK873" s="856"/>
      <c r="DL873" s="856"/>
      <c r="DM873" s="152"/>
      <c r="DN873" s="152"/>
      <c r="DO873" s="152"/>
      <c r="DP873" s="152"/>
      <c r="DQ873" s="152"/>
    </row>
    <row r="874" spans="1:121" s="35" customFormat="1" x14ac:dyDescent="0.2">
      <c r="A874" s="34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565"/>
      <c r="R874" s="1097"/>
      <c r="U874" s="39"/>
      <c r="CU874" s="875"/>
      <c r="CV874" s="875"/>
      <c r="CW874" s="875"/>
      <c r="CX874" s="856"/>
      <c r="CY874" s="856"/>
      <c r="CZ874" s="856"/>
      <c r="DA874" s="126"/>
      <c r="DB874" s="126"/>
      <c r="DC874" s="126"/>
      <c r="DD874" s="126"/>
      <c r="DE874" s="856"/>
      <c r="DF874" s="856"/>
      <c r="DG874" s="856"/>
      <c r="DH874" s="856"/>
      <c r="DI874" s="856"/>
      <c r="DJ874" s="856"/>
      <c r="DK874" s="856"/>
      <c r="DL874" s="856"/>
      <c r="DM874" s="152"/>
      <c r="DN874" s="152"/>
      <c r="DO874" s="152"/>
      <c r="DP874" s="152"/>
      <c r="DQ874" s="152"/>
    </row>
    <row r="875" spans="1:121" s="35" customFormat="1" x14ac:dyDescent="0.2">
      <c r="A875" s="34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565"/>
      <c r="R875" s="1097"/>
      <c r="U875" s="39"/>
      <c r="CU875" s="875"/>
      <c r="CV875" s="875"/>
      <c r="CW875" s="875"/>
      <c r="CX875" s="856"/>
      <c r="CY875" s="856"/>
      <c r="CZ875" s="856"/>
      <c r="DA875" s="126"/>
      <c r="DB875" s="126"/>
      <c r="DC875" s="126"/>
      <c r="DD875" s="126"/>
      <c r="DE875" s="856"/>
      <c r="DF875" s="856"/>
      <c r="DG875" s="856"/>
      <c r="DH875" s="856"/>
      <c r="DI875" s="856"/>
      <c r="DJ875" s="856"/>
      <c r="DK875" s="856"/>
      <c r="DL875" s="856"/>
      <c r="DM875" s="152"/>
      <c r="DN875" s="152"/>
      <c r="DO875" s="152"/>
      <c r="DP875" s="152"/>
      <c r="DQ875" s="152"/>
    </row>
    <row r="876" spans="1:121" s="35" customFormat="1" x14ac:dyDescent="0.2">
      <c r="A876" s="34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565"/>
      <c r="R876" s="1097"/>
      <c r="U876" s="39"/>
      <c r="CU876" s="875"/>
      <c r="CV876" s="875"/>
      <c r="CW876" s="875"/>
      <c r="CX876" s="856"/>
      <c r="CY876" s="856"/>
      <c r="CZ876" s="856"/>
      <c r="DA876" s="126"/>
      <c r="DB876" s="126"/>
      <c r="DC876" s="126"/>
      <c r="DD876" s="126"/>
      <c r="DE876" s="856"/>
      <c r="DF876" s="856"/>
      <c r="DG876" s="856"/>
      <c r="DH876" s="856"/>
      <c r="DI876" s="856"/>
      <c r="DJ876" s="856"/>
      <c r="DK876" s="856"/>
      <c r="DL876" s="856"/>
      <c r="DM876" s="152"/>
      <c r="DN876" s="152"/>
      <c r="DO876" s="152"/>
      <c r="DP876" s="152"/>
      <c r="DQ876" s="152"/>
    </row>
    <row r="877" spans="1:121" s="35" customFormat="1" x14ac:dyDescent="0.2">
      <c r="A877" s="34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565"/>
      <c r="R877" s="1097"/>
      <c r="U877" s="39"/>
      <c r="CU877" s="875"/>
      <c r="CV877" s="875"/>
      <c r="CW877" s="875"/>
      <c r="CX877" s="856"/>
      <c r="CY877" s="856"/>
      <c r="CZ877" s="856"/>
      <c r="DA877" s="126"/>
      <c r="DB877" s="126"/>
      <c r="DC877" s="126"/>
      <c r="DD877" s="126"/>
      <c r="DE877" s="856"/>
      <c r="DF877" s="856"/>
      <c r="DG877" s="856"/>
      <c r="DH877" s="856"/>
      <c r="DI877" s="856"/>
      <c r="DJ877" s="856"/>
      <c r="DK877" s="856"/>
      <c r="DL877" s="856"/>
      <c r="DM877" s="152"/>
      <c r="DN877" s="152"/>
      <c r="DO877" s="152"/>
      <c r="DP877" s="152"/>
      <c r="DQ877" s="152"/>
    </row>
    <row r="878" spans="1:121" s="35" customFormat="1" x14ac:dyDescent="0.2">
      <c r="A878" s="34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565"/>
      <c r="R878" s="1097"/>
      <c r="U878" s="39"/>
      <c r="CU878" s="875"/>
      <c r="CV878" s="875"/>
      <c r="CW878" s="875"/>
      <c r="CX878" s="856"/>
      <c r="CY878" s="856"/>
      <c r="CZ878" s="856"/>
      <c r="DA878" s="126"/>
      <c r="DB878" s="126"/>
      <c r="DC878" s="126"/>
      <c r="DD878" s="126"/>
      <c r="DE878" s="856"/>
      <c r="DF878" s="856"/>
      <c r="DG878" s="856"/>
      <c r="DH878" s="856"/>
      <c r="DI878" s="856"/>
      <c r="DJ878" s="856"/>
      <c r="DK878" s="856"/>
      <c r="DL878" s="856"/>
      <c r="DM878" s="152"/>
      <c r="DN878" s="152"/>
      <c r="DO878" s="152"/>
      <c r="DP878" s="152"/>
      <c r="DQ878" s="152"/>
    </row>
    <row r="879" spans="1:121" s="35" customFormat="1" x14ac:dyDescent="0.2">
      <c r="A879" s="34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565"/>
      <c r="R879" s="1097"/>
      <c r="U879" s="39"/>
      <c r="CU879" s="875"/>
      <c r="CV879" s="875"/>
      <c r="CW879" s="875"/>
      <c r="CX879" s="856"/>
      <c r="CY879" s="856"/>
      <c r="CZ879" s="856"/>
      <c r="DA879" s="126"/>
      <c r="DB879" s="126"/>
      <c r="DC879" s="126"/>
      <c r="DD879" s="126"/>
      <c r="DE879" s="856"/>
      <c r="DF879" s="856"/>
      <c r="DG879" s="856"/>
      <c r="DH879" s="856"/>
      <c r="DI879" s="856"/>
      <c r="DJ879" s="856"/>
      <c r="DK879" s="856"/>
      <c r="DL879" s="856"/>
      <c r="DM879" s="152"/>
      <c r="DN879" s="152"/>
      <c r="DO879" s="152"/>
      <c r="DP879" s="152"/>
      <c r="DQ879" s="152"/>
    </row>
    <row r="880" spans="1:121" s="35" customFormat="1" x14ac:dyDescent="0.2">
      <c r="A880" s="34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565"/>
      <c r="R880" s="1097"/>
      <c r="U880" s="39"/>
      <c r="CU880" s="875"/>
      <c r="CV880" s="875"/>
      <c r="CW880" s="875"/>
      <c r="CX880" s="856"/>
      <c r="CY880" s="856"/>
      <c r="CZ880" s="856"/>
      <c r="DA880" s="126"/>
      <c r="DB880" s="126"/>
      <c r="DC880" s="126"/>
      <c r="DD880" s="126"/>
      <c r="DE880" s="856"/>
      <c r="DF880" s="856"/>
      <c r="DG880" s="856"/>
      <c r="DH880" s="856"/>
      <c r="DI880" s="856"/>
      <c r="DJ880" s="856"/>
      <c r="DK880" s="856"/>
      <c r="DL880" s="856"/>
      <c r="DM880" s="152"/>
      <c r="DN880" s="152"/>
      <c r="DO880" s="152"/>
      <c r="DP880" s="152"/>
      <c r="DQ880" s="152"/>
    </row>
    <row r="881" spans="1:121" s="35" customFormat="1" x14ac:dyDescent="0.2">
      <c r="A881" s="34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565"/>
      <c r="R881" s="1097"/>
      <c r="U881" s="39"/>
      <c r="CU881" s="875"/>
      <c r="CV881" s="875"/>
      <c r="CW881" s="875"/>
      <c r="CX881" s="856"/>
      <c r="CY881" s="856"/>
      <c r="CZ881" s="856"/>
      <c r="DA881" s="126"/>
      <c r="DB881" s="126"/>
      <c r="DC881" s="126"/>
      <c r="DD881" s="126"/>
      <c r="DE881" s="856"/>
      <c r="DF881" s="856"/>
      <c r="DG881" s="856"/>
      <c r="DH881" s="856"/>
      <c r="DI881" s="856"/>
      <c r="DJ881" s="856"/>
      <c r="DK881" s="856"/>
      <c r="DL881" s="856"/>
      <c r="DM881" s="152"/>
      <c r="DN881" s="152"/>
      <c r="DO881" s="152"/>
      <c r="DP881" s="152"/>
      <c r="DQ881" s="152"/>
    </row>
    <row r="882" spans="1:121" s="35" customFormat="1" x14ac:dyDescent="0.2">
      <c r="A882" s="34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565"/>
      <c r="R882" s="1097"/>
      <c r="U882" s="39"/>
      <c r="CU882" s="875"/>
      <c r="CV882" s="875"/>
      <c r="CW882" s="875"/>
      <c r="CX882" s="856"/>
      <c r="CY882" s="856"/>
      <c r="CZ882" s="856"/>
      <c r="DA882" s="126"/>
      <c r="DB882" s="126"/>
      <c r="DC882" s="126"/>
      <c r="DD882" s="126"/>
      <c r="DE882" s="856"/>
      <c r="DF882" s="856"/>
      <c r="DG882" s="856"/>
      <c r="DH882" s="856"/>
      <c r="DI882" s="856"/>
      <c r="DJ882" s="856"/>
      <c r="DK882" s="856"/>
      <c r="DL882" s="856"/>
      <c r="DM882" s="152"/>
      <c r="DN882" s="152"/>
      <c r="DO882" s="152"/>
      <c r="DP882" s="152"/>
      <c r="DQ882" s="152"/>
    </row>
    <row r="883" spans="1:121" s="35" customFormat="1" x14ac:dyDescent="0.2">
      <c r="A883" s="34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565"/>
      <c r="R883" s="1097"/>
      <c r="U883" s="39"/>
      <c r="CU883" s="875"/>
      <c r="CV883" s="875"/>
      <c r="CW883" s="875"/>
      <c r="CX883" s="856"/>
      <c r="CY883" s="856"/>
      <c r="CZ883" s="856"/>
      <c r="DA883" s="126"/>
      <c r="DB883" s="126"/>
      <c r="DC883" s="126"/>
      <c r="DD883" s="126"/>
      <c r="DE883" s="856"/>
      <c r="DF883" s="856"/>
      <c r="DG883" s="856"/>
      <c r="DH883" s="856"/>
      <c r="DI883" s="856"/>
      <c r="DJ883" s="856"/>
      <c r="DK883" s="856"/>
      <c r="DL883" s="856"/>
      <c r="DM883" s="152"/>
      <c r="DN883" s="152"/>
      <c r="DO883" s="152"/>
      <c r="DP883" s="152"/>
      <c r="DQ883" s="152"/>
    </row>
    <row r="884" spans="1:121" s="35" customFormat="1" x14ac:dyDescent="0.2">
      <c r="A884" s="34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565"/>
      <c r="R884" s="1097"/>
      <c r="U884" s="39"/>
      <c r="CU884" s="875"/>
      <c r="CV884" s="875"/>
      <c r="CW884" s="875"/>
      <c r="CX884" s="856"/>
      <c r="CY884" s="856"/>
      <c r="CZ884" s="856"/>
      <c r="DA884" s="126"/>
      <c r="DB884" s="126"/>
      <c r="DC884" s="126"/>
      <c r="DD884" s="126"/>
      <c r="DE884" s="856"/>
      <c r="DF884" s="856"/>
      <c r="DG884" s="856"/>
      <c r="DH884" s="856"/>
      <c r="DI884" s="856"/>
      <c r="DJ884" s="856"/>
      <c r="DK884" s="856"/>
      <c r="DL884" s="856"/>
      <c r="DM884" s="152"/>
      <c r="DN884" s="152"/>
      <c r="DO884" s="152"/>
      <c r="DP884" s="152"/>
      <c r="DQ884" s="152"/>
    </row>
    <row r="885" spans="1:121" s="35" customFormat="1" x14ac:dyDescent="0.2">
      <c r="A885" s="34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565"/>
      <c r="R885" s="1097"/>
      <c r="U885" s="39"/>
      <c r="CU885" s="875"/>
      <c r="CV885" s="875"/>
      <c r="CW885" s="875"/>
      <c r="CX885" s="856"/>
      <c r="CY885" s="856"/>
      <c r="CZ885" s="856"/>
      <c r="DA885" s="126"/>
      <c r="DB885" s="126"/>
      <c r="DC885" s="126"/>
      <c r="DD885" s="126"/>
      <c r="DE885" s="856"/>
      <c r="DF885" s="856"/>
      <c r="DG885" s="856"/>
      <c r="DH885" s="856"/>
      <c r="DI885" s="856"/>
      <c r="DJ885" s="856"/>
      <c r="DK885" s="856"/>
      <c r="DL885" s="856"/>
      <c r="DM885" s="152"/>
      <c r="DN885" s="152"/>
      <c r="DO885" s="152"/>
      <c r="DP885" s="152"/>
      <c r="DQ885" s="152"/>
    </row>
    <row r="886" spans="1:121" s="35" customFormat="1" x14ac:dyDescent="0.2">
      <c r="A886" s="34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565"/>
      <c r="R886" s="1097"/>
      <c r="U886" s="39"/>
      <c r="CU886" s="875"/>
      <c r="CV886" s="875"/>
      <c r="CW886" s="875"/>
      <c r="CX886" s="856"/>
      <c r="CY886" s="856"/>
      <c r="CZ886" s="856"/>
      <c r="DA886" s="126"/>
      <c r="DB886" s="126"/>
      <c r="DC886" s="126"/>
      <c r="DD886" s="126"/>
      <c r="DE886" s="856"/>
      <c r="DF886" s="856"/>
      <c r="DG886" s="856"/>
      <c r="DH886" s="856"/>
      <c r="DI886" s="856"/>
      <c r="DJ886" s="856"/>
      <c r="DK886" s="856"/>
      <c r="DL886" s="856"/>
      <c r="DM886" s="152"/>
      <c r="DN886" s="152"/>
      <c r="DO886" s="152"/>
      <c r="DP886" s="152"/>
      <c r="DQ886" s="152"/>
    </row>
    <row r="887" spans="1:121" s="35" customFormat="1" x14ac:dyDescent="0.2">
      <c r="A887" s="34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565"/>
      <c r="R887" s="1097"/>
      <c r="U887" s="39"/>
      <c r="CU887" s="875"/>
      <c r="CV887" s="875"/>
      <c r="CW887" s="875"/>
      <c r="CX887" s="856"/>
      <c r="CY887" s="856"/>
      <c r="CZ887" s="856"/>
      <c r="DA887" s="126"/>
      <c r="DB887" s="126"/>
      <c r="DC887" s="126"/>
      <c r="DD887" s="126"/>
      <c r="DE887" s="856"/>
      <c r="DF887" s="856"/>
      <c r="DG887" s="856"/>
      <c r="DH887" s="856"/>
      <c r="DI887" s="856"/>
      <c r="DJ887" s="856"/>
      <c r="DK887" s="856"/>
      <c r="DL887" s="856"/>
      <c r="DM887" s="152"/>
      <c r="DN887" s="152"/>
      <c r="DO887" s="152"/>
      <c r="DP887" s="152"/>
      <c r="DQ887" s="152"/>
    </row>
    <row r="888" spans="1:121" s="35" customFormat="1" x14ac:dyDescent="0.2">
      <c r="A888" s="34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565"/>
      <c r="R888" s="1097"/>
      <c r="U888" s="39"/>
      <c r="CU888" s="875"/>
      <c r="CV888" s="875"/>
      <c r="CW888" s="875"/>
      <c r="CX888" s="856"/>
      <c r="CY888" s="856"/>
      <c r="CZ888" s="856"/>
      <c r="DA888" s="126"/>
      <c r="DB888" s="126"/>
      <c r="DC888" s="126"/>
      <c r="DD888" s="126"/>
      <c r="DE888" s="856"/>
      <c r="DF888" s="856"/>
      <c r="DG888" s="856"/>
      <c r="DH888" s="856"/>
      <c r="DI888" s="856"/>
      <c r="DJ888" s="856"/>
      <c r="DK888" s="856"/>
      <c r="DL888" s="856"/>
      <c r="DM888" s="152"/>
      <c r="DN888" s="152"/>
      <c r="DO888" s="152"/>
      <c r="DP888" s="152"/>
      <c r="DQ888" s="152"/>
    </row>
    <row r="889" spans="1:121" s="35" customFormat="1" x14ac:dyDescent="0.2">
      <c r="A889" s="34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565"/>
      <c r="R889" s="1097"/>
      <c r="U889" s="39"/>
      <c r="CU889" s="875"/>
      <c r="CV889" s="875"/>
      <c r="CW889" s="875"/>
      <c r="CX889" s="856"/>
      <c r="CY889" s="856"/>
      <c r="CZ889" s="856"/>
      <c r="DA889" s="126"/>
      <c r="DB889" s="126"/>
      <c r="DC889" s="126"/>
      <c r="DD889" s="126"/>
      <c r="DE889" s="856"/>
      <c r="DF889" s="856"/>
      <c r="DG889" s="856"/>
      <c r="DH889" s="856"/>
      <c r="DI889" s="856"/>
      <c r="DJ889" s="856"/>
      <c r="DK889" s="856"/>
      <c r="DL889" s="856"/>
      <c r="DM889" s="152"/>
      <c r="DN889" s="152"/>
      <c r="DO889" s="152"/>
      <c r="DP889" s="152"/>
      <c r="DQ889" s="152"/>
    </row>
    <row r="890" spans="1:121" s="35" customFormat="1" x14ac:dyDescent="0.2">
      <c r="A890" s="34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565"/>
      <c r="R890" s="1097"/>
      <c r="U890" s="39"/>
      <c r="CU890" s="875"/>
      <c r="CV890" s="875"/>
      <c r="CW890" s="875"/>
      <c r="CX890" s="856"/>
      <c r="CY890" s="856"/>
      <c r="CZ890" s="856"/>
      <c r="DA890" s="126"/>
      <c r="DB890" s="126"/>
      <c r="DC890" s="126"/>
      <c r="DD890" s="126"/>
      <c r="DE890" s="856"/>
      <c r="DF890" s="856"/>
      <c r="DG890" s="856"/>
      <c r="DH890" s="856"/>
      <c r="DI890" s="856"/>
      <c r="DJ890" s="856"/>
      <c r="DK890" s="856"/>
      <c r="DL890" s="856"/>
      <c r="DM890" s="152"/>
      <c r="DN890" s="152"/>
      <c r="DO890" s="152"/>
      <c r="DP890" s="152"/>
      <c r="DQ890" s="152"/>
    </row>
    <row r="891" spans="1:121" s="35" customFormat="1" x14ac:dyDescent="0.2">
      <c r="A891" s="34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565"/>
      <c r="R891" s="1097"/>
      <c r="U891" s="39"/>
      <c r="CU891" s="875"/>
      <c r="CV891" s="875"/>
      <c r="CW891" s="875"/>
      <c r="CX891" s="856"/>
      <c r="CY891" s="856"/>
      <c r="CZ891" s="856"/>
      <c r="DA891" s="126"/>
      <c r="DB891" s="126"/>
      <c r="DC891" s="126"/>
      <c r="DD891" s="126"/>
      <c r="DE891" s="856"/>
      <c r="DF891" s="856"/>
      <c r="DG891" s="856"/>
      <c r="DH891" s="856"/>
      <c r="DI891" s="856"/>
      <c r="DJ891" s="856"/>
      <c r="DK891" s="856"/>
      <c r="DL891" s="856"/>
      <c r="DM891" s="152"/>
      <c r="DN891" s="152"/>
      <c r="DO891" s="152"/>
      <c r="DP891" s="152"/>
      <c r="DQ891" s="152"/>
    </row>
    <row r="892" spans="1:121" s="35" customFormat="1" x14ac:dyDescent="0.2">
      <c r="A892" s="34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565"/>
      <c r="R892" s="1097"/>
      <c r="U892" s="39"/>
      <c r="CU892" s="875"/>
      <c r="CV892" s="875"/>
      <c r="CW892" s="875"/>
      <c r="CX892" s="856"/>
      <c r="CY892" s="856"/>
      <c r="CZ892" s="856"/>
      <c r="DA892" s="126"/>
      <c r="DB892" s="126"/>
      <c r="DC892" s="126"/>
      <c r="DD892" s="126"/>
      <c r="DE892" s="856"/>
      <c r="DF892" s="856"/>
      <c r="DG892" s="856"/>
      <c r="DH892" s="856"/>
      <c r="DI892" s="856"/>
      <c r="DJ892" s="856"/>
      <c r="DK892" s="856"/>
      <c r="DL892" s="856"/>
      <c r="DM892" s="152"/>
      <c r="DN892" s="152"/>
      <c r="DO892" s="152"/>
      <c r="DP892" s="152"/>
      <c r="DQ892" s="152"/>
    </row>
    <row r="893" spans="1:121" s="35" customFormat="1" x14ac:dyDescent="0.2">
      <c r="A893" s="34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565"/>
      <c r="R893" s="1097"/>
      <c r="U893" s="39"/>
      <c r="CU893" s="875"/>
      <c r="CV893" s="875"/>
      <c r="CW893" s="875"/>
      <c r="CX893" s="856"/>
      <c r="CY893" s="856"/>
      <c r="CZ893" s="856"/>
      <c r="DA893" s="126"/>
      <c r="DB893" s="126"/>
      <c r="DC893" s="126"/>
      <c r="DD893" s="126"/>
      <c r="DE893" s="856"/>
      <c r="DF893" s="856"/>
      <c r="DG893" s="856"/>
      <c r="DH893" s="856"/>
      <c r="DI893" s="856"/>
      <c r="DJ893" s="856"/>
      <c r="DK893" s="856"/>
      <c r="DL893" s="856"/>
      <c r="DM893" s="152"/>
      <c r="DN893" s="152"/>
      <c r="DO893" s="152"/>
      <c r="DP893" s="152"/>
      <c r="DQ893" s="152"/>
    </row>
    <row r="894" spans="1:121" s="35" customFormat="1" x14ac:dyDescent="0.2">
      <c r="A894" s="34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565"/>
      <c r="R894" s="1097"/>
      <c r="U894" s="39"/>
      <c r="CU894" s="875"/>
      <c r="CV894" s="875"/>
      <c r="CW894" s="875"/>
      <c r="CX894" s="856"/>
      <c r="CY894" s="856"/>
      <c r="CZ894" s="856"/>
      <c r="DA894" s="126"/>
      <c r="DB894" s="126"/>
      <c r="DC894" s="126"/>
      <c r="DD894" s="126"/>
      <c r="DE894" s="856"/>
      <c r="DF894" s="856"/>
      <c r="DG894" s="856"/>
      <c r="DH894" s="856"/>
      <c r="DI894" s="856"/>
      <c r="DJ894" s="856"/>
      <c r="DK894" s="856"/>
      <c r="DL894" s="856"/>
      <c r="DM894" s="152"/>
      <c r="DN894" s="152"/>
      <c r="DO894" s="152"/>
      <c r="DP894" s="152"/>
      <c r="DQ894" s="152"/>
    </row>
    <row r="895" spans="1:121" s="35" customFormat="1" x14ac:dyDescent="0.2">
      <c r="A895" s="34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565"/>
      <c r="R895" s="1097"/>
      <c r="U895" s="39"/>
      <c r="CU895" s="875"/>
      <c r="CV895" s="875"/>
      <c r="CW895" s="875"/>
      <c r="CX895" s="856"/>
      <c r="CY895" s="856"/>
      <c r="CZ895" s="856"/>
      <c r="DA895" s="126"/>
      <c r="DB895" s="126"/>
      <c r="DC895" s="126"/>
      <c r="DD895" s="126"/>
      <c r="DE895" s="856"/>
      <c r="DF895" s="856"/>
      <c r="DG895" s="856"/>
      <c r="DH895" s="856"/>
      <c r="DI895" s="856"/>
      <c r="DJ895" s="856"/>
      <c r="DK895" s="856"/>
      <c r="DL895" s="856"/>
      <c r="DM895" s="152"/>
      <c r="DN895" s="152"/>
      <c r="DO895" s="152"/>
      <c r="DP895" s="152"/>
      <c r="DQ895" s="152"/>
    </row>
    <row r="896" spans="1:121" s="35" customFormat="1" x14ac:dyDescent="0.2">
      <c r="A896" s="34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565"/>
      <c r="R896" s="1097"/>
      <c r="U896" s="39"/>
      <c r="CU896" s="875"/>
      <c r="CV896" s="875"/>
      <c r="CW896" s="875"/>
      <c r="CX896" s="856"/>
      <c r="CY896" s="856"/>
      <c r="CZ896" s="856"/>
      <c r="DA896" s="126"/>
      <c r="DB896" s="126"/>
      <c r="DC896" s="126"/>
      <c r="DD896" s="126"/>
      <c r="DE896" s="856"/>
      <c r="DF896" s="856"/>
      <c r="DG896" s="856"/>
      <c r="DH896" s="856"/>
      <c r="DI896" s="856"/>
      <c r="DJ896" s="856"/>
      <c r="DK896" s="856"/>
      <c r="DL896" s="856"/>
      <c r="DM896" s="152"/>
      <c r="DN896" s="152"/>
      <c r="DO896" s="152"/>
      <c r="DP896" s="152"/>
      <c r="DQ896" s="152"/>
    </row>
    <row r="897" spans="1:121" s="35" customFormat="1" x14ac:dyDescent="0.2">
      <c r="A897" s="34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565"/>
      <c r="R897" s="1097"/>
      <c r="U897" s="39"/>
      <c r="CU897" s="875"/>
      <c r="CV897" s="875"/>
      <c r="CW897" s="875"/>
      <c r="CX897" s="856"/>
      <c r="CY897" s="856"/>
      <c r="CZ897" s="856"/>
      <c r="DA897" s="126"/>
      <c r="DB897" s="126"/>
      <c r="DC897" s="126"/>
      <c r="DD897" s="126"/>
      <c r="DE897" s="856"/>
      <c r="DF897" s="856"/>
      <c r="DG897" s="856"/>
      <c r="DH897" s="856"/>
      <c r="DI897" s="856"/>
      <c r="DJ897" s="856"/>
      <c r="DK897" s="856"/>
      <c r="DL897" s="856"/>
      <c r="DM897" s="152"/>
      <c r="DN897" s="152"/>
      <c r="DO897" s="152"/>
      <c r="DP897" s="152"/>
      <c r="DQ897" s="152"/>
    </row>
    <row r="898" spans="1:121" s="35" customFormat="1" x14ac:dyDescent="0.2">
      <c r="A898" s="34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565"/>
      <c r="R898" s="1097"/>
      <c r="U898" s="39"/>
      <c r="CU898" s="875"/>
      <c r="CV898" s="875"/>
      <c r="CW898" s="875"/>
      <c r="CX898" s="856"/>
      <c r="CY898" s="856"/>
      <c r="CZ898" s="856"/>
      <c r="DA898" s="126"/>
      <c r="DB898" s="126"/>
      <c r="DC898" s="126"/>
      <c r="DD898" s="126"/>
      <c r="DE898" s="856"/>
      <c r="DF898" s="856"/>
      <c r="DG898" s="856"/>
      <c r="DH898" s="856"/>
      <c r="DI898" s="856"/>
      <c r="DJ898" s="856"/>
      <c r="DK898" s="856"/>
      <c r="DL898" s="856"/>
      <c r="DM898" s="152"/>
      <c r="DN898" s="152"/>
      <c r="DO898" s="152"/>
      <c r="DP898" s="152"/>
      <c r="DQ898" s="152"/>
    </row>
    <row r="899" spans="1:121" s="35" customFormat="1" x14ac:dyDescent="0.2">
      <c r="A899" s="34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565"/>
      <c r="R899" s="1097"/>
      <c r="U899" s="39"/>
      <c r="CU899" s="875"/>
      <c r="CV899" s="875"/>
      <c r="CW899" s="875"/>
      <c r="CX899" s="856"/>
      <c r="CY899" s="856"/>
      <c r="CZ899" s="856"/>
      <c r="DA899" s="126"/>
      <c r="DB899" s="126"/>
      <c r="DC899" s="126"/>
      <c r="DD899" s="126"/>
      <c r="DE899" s="856"/>
      <c r="DF899" s="856"/>
      <c r="DG899" s="856"/>
      <c r="DH899" s="856"/>
      <c r="DI899" s="856"/>
      <c r="DJ899" s="856"/>
      <c r="DK899" s="856"/>
      <c r="DL899" s="856"/>
      <c r="DM899" s="152"/>
      <c r="DN899" s="152"/>
      <c r="DO899" s="152"/>
      <c r="DP899" s="152"/>
      <c r="DQ899" s="152"/>
    </row>
    <row r="900" spans="1:121" s="35" customFormat="1" x14ac:dyDescent="0.2">
      <c r="A900" s="34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565"/>
      <c r="R900" s="1097"/>
      <c r="U900" s="39"/>
      <c r="CU900" s="875"/>
      <c r="CV900" s="875"/>
      <c r="CW900" s="875"/>
      <c r="CX900" s="856"/>
      <c r="CY900" s="856"/>
      <c r="CZ900" s="856"/>
      <c r="DA900" s="126"/>
      <c r="DB900" s="126"/>
      <c r="DC900" s="126"/>
      <c r="DD900" s="126"/>
      <c r="DE900" s="856"/>
      <c r="DF900" s="856"/>
      <c r="DG900" s="856"/>
      <c r="DH900" s="856"/>
      <c r="DI900" s="856"/>
      <c r="DJ900" s="856"/>
      <c r="DK900" s="856"/>
      <c r="DL900" s="856"/>
      <c r="DM900" s="152"/>
      <c r="DN900" s="152"/>
      <c r="DO900" s="152"/>
      <c r="DP900" s="152"/>
      <c r="DQ900" s="152"/>
    </row>
    <row r="901" spans="1:121" s="35" customFormat="1" x14ac:dyDescent="0.2">
      <c r="A901" s="34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565"/>
      <c r="R901" s="1097"/>
      <c r="U901" s="39"/>
      <c r="CU901" s="875"/>
      <c r="CV901" s="875"/>
      <c r="CW901" s="875"/>
      <c r="CX901" s="856"/>
      <c r="CY901" s="856"/>
      <c r="CZ901" s="856"/>
      <c r="DA901" s="126"/>
      <c r="DB901" s="126"/>
      <c r="DC901" s="126"/>
      <c r="DD901" s="126"/>
      <c r="DE901" s="856"/>
      <c r="DF901" s="856"/>
      <c r="DG901" s="856"/>
      <c r="DH901" s="856"/>
      <c r="DI901" s="856"/>
      <c r="DJ901" s="856"/>
      <c r="DK901" s="856"/>
      <c r="DL901" s="856"/>
      <c r="DM901" s="152"/>
      <c r="DN901" s="152"/>
      <c r="DO901" s="152"/>
      <c r="DP901" s="152"/>
      <c r="DQ901" s="152"/>
    </row>
    <row r="902" spans="1:121" s="35" customFormat="1" x14ac:dyDescent="0.2">
      <c r="A902" s="34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565"/>
      <c r="R902" s="1097"/>
      <c r="U902" s="39"/>
      <c r="CU902" s="875"/>
      <c r="CV902" s="875"/>
      <c r="CW902" s="875"/>
      <c r="CX902" s="856"/>
      <c r="CY902" s="856"/>
      <c r="CZ902" s="856"/>
      <c r="DA902" s="126"/>
      <c r="DB902" s="126"/>
      <c r="DC902" s="126"/>
      <c r="DD902" s="126"/>
      <c r="DE902" s="856"/>
      <c r="DF902" s="856"/>
      <c r="DG902" s="856"/>
      <c r="DH902" s="856"/>
      <c r="DI902" s="856"/>
      <c r="DJ902" s="856"/>
      <c r="DK902" s="856"/>
      <c r="DL902" s="856"/>
      <c r="DM902" s="152"/>
      <c r="DN902" s="152"/>
      <c r="DO902" s="152"/>
      <c r="DP902" s="152"/>
      <c r="DQ902" s="152"/>
    </row>
    <row r="903" spans="1:121" s="35" customFormat="1" x14ac:dyDescent="0.2">
      <c r="A903" s="34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565"/>
      <c r="R903" s="1097"/>
      <c r="U903" s="39"/>
      <c r="CU903" s="875"/>
      <c r="CV903" s="875"/>
      <c r="CW903" s="875"/>
      <c r="CX903" s="856"/>
      <c r="CY903" s="856"/>
      <c r="CZ903" s="856"/>
      <c r="DA903" s="126"/>
      <c r="DB903" s="126"/>
      <c r="DC903" s="126"/>
      <c r="DD903" s="126"/>
      <c r="DE903" s="856"/>
      <c r="DF903" s="856"/>
      <c r="DG903" s="856"/>
      <c r="DH903" s="856"/>
      <c r="DI903" s="856"/>
      <c r="DJ903" s="856"/>
      <c r="DK903" s="856"/>
      <c r="DL903" s="856"/>
      <c r="DM903" s="152"/>
      <c r="DN903" s="152"/>
      <c r="DO903" s="152"/>
      <c r="DP903" s="152"/>
      <c r="DQ903" s="152"/>
    </row>
    <row r="904" spans="1:121" s="35" customFormat="1" x14ac:dyDescent="0.2">
      <c r="A904" s="34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565"/>
      <c r="R904" s="1097"/>
      <c r="U904" s="39"/>
      <c r="CU904" s="875"/>
      <c r="CV904" s="875"/>
      <c r="CW904" s="875"/>
      <c r="CX904" s="856"/>
      <c r="CY904" s="856"/>
      <c r="CZ904" s="856"/>
      <c r="DA904" s="126"/>
      <c r="DB904" s="126"/>
      <c r="DC904" s="126"/>
      <c r="DD904" s="126"/>
      <c r="DE904" s="856"/>
      <c r="DF904" s="856"/>
      <c r="DG904" s="856"/>
      <c r="DH904" s="856"/>
      <c r="DI904" s="856"/>
      <c r="DJ904" s="856"/>
      <c r="DK904" s="856"/>
      <c r="DL904" s="856"/>
      <c r="DM904" s="152"/>
      <c r="DN904" s="152"/>
      <c r="DO904" s="152"/>
      <c r="DP904" s="152"/>
      <c r="DQ904" s="152"/>
    </row>
    <row r="905" spans="1:121" s="35" customFormat="1" x14ac:dyDescent="0.2">
      <c r="A905" s="34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565"/>
      <c r="R905" s="1097"/>
      <c r="U905" s="39"/>
      <c r="CU905" s="875"/>
      <c r="CV905" s="875"/>
      <c r="CW905" s="875"/>
      <c r="CX905" s="856"/>
      <c r="CY905" s="856"/>
      <c r="CZ905" s="856"/>
      <c r="DA905" s="126"/>
      <c r="DB905" s="126"/>
      <c r="DC905" s="126"/>
      <c r="DD905" s="126"/>
      <c r="DE905" s="856"/>
      <c r="DF905" s="856"/>
      <c r="DG905" s="856"/>
      <c r="DH905" s="856"/>
      <c r="DI905" s="856"/>
      <c r="DJ905" s="856"/>
      <c r="DK905" s="856"/>
      <c r="DL905" s="856"/>
      <c r="DM905" s="152"/>
      <c r="DN905" s="152"/>
      <c r="DO905" s="152"/>
      <c r="DP905" s="152"/>
      <c r="DQ905" s="152"/>
    </row>
    <row r="906" spans="1:121" s="35" customFormat="1" x14ac:dyDescent="0.2">
      <c r="A906" s="34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565"/>
      <c r="R906" s="1097"/>
      <c r="U906" s="39"/>
      <c r="CU906" s="875"/>
      <c r="CV906" s="875"/>
      <c r="CW906" s="875"/>
      <c r="CX906" s="856"/>
      <c r="CY906" s="856"/>
      <c r="CZ906" s="856"/>
      <c r="DA906" s="126"/>
      <c r="DB906" s="126"/>
      <c r="DC906" s="126"/>
      <c r="DD906" s="126"/>
      <c r="DE906" s="856"/>
      <c r="DF906" s="856"/>
      <c r="DG906" s="856"/>
      <c r="DH906" s="856"/>
      <c r="DI906" s="856"/>
      <c r="DJ906" s="856"/>
      <c r="DK906" s="856"/>
      <c r="DL906" s="856"/>
      <c r="DM906" s="152"/>
      <c r="DN906" s="152"/>
      <c r="DO906" s="152"/>
      <c r="DP906" s="152"/>
      <c r="DQ906" s="152"/>
    </row>
    <row r="907" spans="1:121" s="35" customFormat="1" x14ac:dyDescent="0.2">
      <c r="A907" s="34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565"/>
      <c r="R907" s="1097"/>
      <c r="U907" s="39"/>
      <c r="CU907" s="875"/>
      <c r="CV907" s="875"/>
      <c r="CW907" s="875"/>
      <c r="CX907" s="856"/>
      <c r="CY907" s="856"/>
      <c r="CZ907" s="856"/>
      <c r="DA907" s="126"/>
      <c r="DB907" s="126"/>
      <c r="DC907" s="126"/>
      <c r="DD907" s="126"/>
      <c r="DE907" s="856"/>
      <c r="DF907" s="856"/>
      <c r="DG907" s="856"/>
      <c r="DH907" s="856"/>
      <c r="DI907" s="856"/>
      <c r="DJ907" s="856"/>
      <c r="DK907" s="856"/>
      <c r="DL907" s="856"/>
      <c r="DM907" s="152"/>
      <c r="DN907" s="152"/>
      <c r="DO907" s="152"/>
      <c r="DP907" s="152"/>
      <c r="DQ907" s="152"/>
    </row>
    <row r="908" spans="1:121" s="35" customFormat="1" x14ac:dyDescent="0.2">
      <c r="A908" s="34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565"/>
      <c r="R908" s="1097"/>
      <c r="U908" s="39"/>
      <c r="CU908" s="875"/>
      <c r="CV908" s="875"/>
      <c r="CW908" s="875"/>
      <c r="CX908" s="856"/>
      <c r="CY908" s="856"/>
      <c r="CZ908" s="856"/>
      <c r="DA908" s="126"/>
      <c r="DB908" s="126"/>
      <c r="DC908" s="126"/>
      <c r="DD908" s="126"/>
      <c r="DE908" s="856"/>
      <c r="DF908" s="856"/>
      <c r="DG908" s="856"/>
      <c r="DH908" s="856"/>
      <c r="DI908" s="856"/>
      <c r="DJ908" s="856"/>
      <c r="DK908" s="856"/>
      <c r="DL908" s="856"/>
      <c r="DM908" s="152"/>
      <c r="DN908" s="152"/>
      <c r="DO908" s="152"/>
      <c r="DP908" s="152"/>
      <c r="DQ908" s="152"/>
    </row>
    <row r="909" spans="1:121" s="35" customFormat="1" x14ac:dyDescent="0.2">
      <c r="A909" s="34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565"/>
      <c r="R909" s="1097"/>
      <c r="U909" s="39"/>
      <c r="CU909" s="875"/>
      <c r="CV909" s="875"/>
      <c r="CW909" s="875"/>
      <c r="CX909" s="856"/>
      <c r="CY909" s="856"/>
      <c r="CZ909" s="856"/>
      <c r="DA909" s="126"/>
      <c r="DB909" s="126"/>
      <c r="DC909" s="126"/>
      <c r="DD909" s="126"/>
      <c r="DE909" s="856"/>
      <c r="DF909" s="856"/>
      <c r="DG909" s="856"/>
      <c r="DH909" s="856"/>
      <c r="DI909" s="856"/>
      <c r="DJ909" s="856"/>
      <c r="DK909" s="856"/>
      <c r="DL909" s="856"/>
      <c r="DM909" s="152"/>
      <c r="DN909" s="152"/>
      <c r="DO909" s="152"/>
      <c r="DP909" s="152"/>
      <c r="DQ909" s="152"/>
    </row>
    <row r="910" spans="1:121" s="35" customFormat="1" x14ac:dyDescent="0.2">
      <c r="A910" s="34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565"/>
      <c r="R910" s="1097"/>
      <c r="U910" s="39"/>
      <c r="CU910" s="875"/>
      <c r="CV910" s="875"/>
      <c r="CW910" s="875"/>
      <c r="CX910" s="856"/>
      <c r="CY910" s="856"/>
      <c r="CZ910" s="856"/>
      <c r="DA910" s="126"/>
      <c r="DB910" s="126"/>
      <c r="DC910" s="126"/>
      <c r="DD910" s="126"/>
      <c r="DE910" s="856"/>
      <c r="DF910" s="856"/>
      <c r="DG910" s="856"/>
      <c r="DH910" s="856"/>
      <c r="DI910" s="856"/>
      <c r="DJ910" s="856"/>
      <c r="DK910" s="856"/>
      <c r="DL910" s="856"/>
      <c r="DM910" s="152"/>
      <c r="DN910" s="152"/>
      <c r="DO910" s="152"/>
      <c r="DP910" s="152"/>
      <c r="DQ910" s="152"/>
    </row>
    <row r="911" spans="1:121" s="35" customFormat="1" x14ac:dyDescent="0.2">
      <c r="A911" s="34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565"/>
      <c r="R911" s="1097"/>
      <c r="U911" s="39"/>
      <c r="CU911" s="875"/>
      <c r="CV911" s="875"/>
      <c r="CW911" s="875"/>
      <c r="CX911" s="856"/>
      <c r="CY911" s="856"/>
      <c r="CZ911" s="856"/>
      <c r="DA911" s="126"/>
      <c r="DB911" s="126"/>
      <c r="DC911" s="126"/>
      <c r="DD911" s="126"/>
      <c r="DE911" s="856"/>
      <c r="DF911" s="856"/>
      <c r="DG911" s="856"/>
      <c r="DH911" s="856"/>
      <c r="DI911" s="856"/>
      <c r="DJ911" s="856"/>
      <c r="DK911" s="856"/>
      <c r="DL911" s="856"/>
      <c r="DM911" s="152"/>
      <c r="DN911" s="152"/>
      <c r="DO911" s="152"/>
      <c r="DP911" s="152"/>
      <c r="DQ911" s="152"/>
    </row>
    <row r="912" spans="1:121" s="35" customFormat="1" x14ac:dyDescent="0.2">
      <c r="A912" s="34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565"/>
      <c r="R912" s="1097"/>
      <c r="U912" s="39"/>
      <c r="CU912" s="875"/>
      <c r="CV912" s="875"/>
      <c r="CW912" s="875"/>
      <c r="CX912" s="856"/>
      <c r="CY912" s="856"/>
      <c r="CZ912" s="856"/>
      <c r="DA912" s="126"/>
      <c r="DB912" s="126"/>
      <c r="DC912" s="126"/>
      <c r="DD912" s="126"/>
      <c r="DE912" s="856"/>
      <c r="DF912" s="856"/>
      <c r="DG912" s="856"/>
      <c r="DH912" s="856"/>
      <c r="DI912" s="856"/>
      <c r="DJ912" s="856"/>
      <c r="DK912" s="856"/>
      <c r="DL912" s="856"/>
      <c r="DM912" s="152"/>
      <c r="DN912" s="152"/>
      <c r="DO912" s="152"/>
      <c r="DP912" s="152"/>
      <c r="DQ912" s="152"/>
    </row>
    <row r="913" spans="1:121" s="35" customFormat="1" x14ac:dyDescent="0.2">
      <c r="A913" s="34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565"/>
      <c r="R913" s="1097"/>
      <c r="U913" s="39"/>
      <c r="CU913" s="875"/>
      <c r="CV913" s="875"/>
      <c r="CW913" s="875"/>
      <c r="CX913" s="856"/>
      <c r="CY913" s="856"/>
      <c r="CZ913" s="856"/>
      <c r="DA913" s="126"/>
      <c r="DB913" s="126"/>
      <c r="DC913" s="126"/>
      <c r="DD913" s="126"/>
      <c r="DE913" s="856"/>
      <c r="DF913" s="856"/>
      <c r="DG913" s="856"/>
      <c r="DH913" s="856"/>
      <c r="DI913" s="856"/>
      <c r="DJ913" s="856"/>
      <c r="DK913" s="856"/>
      <c r="DL913" s="856"/>
      <c r="DM913" s="152"/>
      <c r="DN913" s="152"/>
      <c r="DO913" s="152"/>
      <c r="DP913" s="152"/>
      <c r="DQ913" s="152"/>
    </row>
    <row r="914" spans="1:121" s="35" customFormat="1" x14ac:dyDescent="0.2">
      <c r="A914" s="34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565"/>
      <c r="R914" s="1097"/>
      <c r="U914" s="39"/>
      <c r="CU914" s="875"/>
      <c r="CV914" s="875"/>
      <c r="CW914" s="875"/>
      <c r="CX914" s="856"/>
      <c r="CY914" s="856"/>
      <c r="CZ914" s="856"/>
      <c r="DA914" s="126"/>
      <c r="DB914" s="126"/>
      <c r="DC914" s="126"/>
      <c r="DD914" s="126"/>
      <c r="DE914" s="856"/>
      <c r="DF914" s="856"/>
      <c r="DG914" s="856"/>
      <c r="DH914" s="856"/>
      <c r="DI914" s="856"/>
      <c r="DJ914" s="856"/>
      <c r="DK914" s="856"/>
      <c r="DL914" s="856"/>
      <c r="DM914" s="152"/>
      <c r="DN914" s="152"/>
      <c r="DO914" s="152"/>
      <c r="DP914" s="152"/>
      <c r="DQ914" s="152"/>
    </row>
    <row r="915" spans="1:121" s="35" customFormat="1" x14ac:dyDescent="0.2">
      <c r="A915" s="34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565"/>
      <c r="R915" s="1097"/>
      <c r="U915" s="39"/>
      <c r="CU915" s="875"/>
      <c r="CV915" s="875"/>
      <c r="CW915" s="875"/>
      <c r="CX915" s="856"/>
      <c r="CY915" s="856"/>
      <c r="CZ915" s="856"/>
      <c r="DA915" s="126"/>
      <c r="DB915" s="126"/>
      <c r="DC915" s="126"/>
      <c r="DD915" s="126"/>
      <c r="DE915" s="856"/>
      <c r="DF915" s="856"/>
      <c r="DG915" s="856"/>
      <c r="DH915" s="856"/>
      <c r="DI915" s="856"/>
      <c r="DJ915" s="856"/>
      <c r="DK915" s="856"/>
      <c r="DL915" s="856"/>
      <c r="DM915" s="152"/>
      <c r="DN915" s="152"/>
      <c r="DO915" s="152"/>
      <c r="DP915" s="152"/>
      <c r="DQ915" s="152"/>
    </row>
    <row r="916" spans="1:121" s="35" customFormat="1" x14ac:dyDescent="0.2">
      <c r="A916" s="34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565"/>
      <c r="R916" s="1097"/>
      <c r="U916" s="39"/>
      <c r="CU916" s="875"/>
      <c r="CV916" s="875"/>
      <c r="CW916" s="875"/>
      <c r="CX916" s="856"/>
      <c r="CY916" s="856"/>
      <c r="CZ916" s="856"/>
      <c r="DA916" s="126"/>
      <c r="DB916" s="126"/>
      <c r="DC916" s="126"/>
      <c r="DD916" s="126"/>
      <c r="DE916" s="856"/>
      <c r="DF916" s="856"/>
      <c r="DG916" s="856"/>
      <c r="DH916" s="856"/>
      <c r="DI916" s="856"/>
      <c r="DJ916" s="856"/>
      <c r="DK916" s="856"/>
      <c r="DL916" s="856"/>
      <c r="DM916" s="152"/>
      <c r="DN916" s="152"/>
      <c r="DO916" s="152"/>
      <c r="DP916" s="152"/>
      <c r="DQ916" s="152"/>
    </row>
    <row r="917" spans="1:121" s="35" customFormat="1" x14ac:dyDescent="0.2">
      <c r="A917" s="34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565"/>
      <c r="R917" s="1097"/>
      <c r="U917" s="39"/>
      <c r="CU917" s="875"/>
      <c r="CV917" s="875"/>
      <c r="CW917" s="875"/>
      <c r="CX917" s="856"/>
      <c r="CY917" s="856"/>
      <c r="CZ917" s="856"/>
      <c r="DA917" s="126"/>
      <c r="DB917" s="126"/>
      <c r="DC917" s="126"/>
      <c r="DD917" s="126"/>
      <c r="DE917" s="856"/>
      <c r="DF917" s="856"/>
      <c r="DG917" s="856"/>
      <c r="DH917" s="856"/>
      <c r="DI917" s="856"/>
      <c r="DJ917" s="856"/>
      <c r="DK917" s="856"/>
      <c r="DL917" s="856"/>
      <c r="DM917" s="152"/>
      <c r="DN917" s="152"/>
      <c r="DO917" s="152"/>
      <c r="DP917" s="152"/>
      <c r="DQ917" s="152"/>
    </row>
    <row r="918" spans="1:121" s="35" customFormat="1" x14ac:dyDescent="0.2">
      <c r="A918" s="34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565"/>
      <c r="R918" s="1097"/>
      <c r="U918" s="39"/>
      <c r="CU918" s="875"/>
      <c r="CV918" s="875"/>
      <c r="CW918" s="875"/>
      <c r="CX918" s="856"/>
      <c r="CY918" s="856"/>
      <c r="CZ918" s="856"/>
      <c r="DA918" s="126"/>
      <c r="DB918" s="126"/>
      <c r="DC918" s="126"/>
      <c r="DD918" s="126"/>
      <c r="DE918" s="856"/>
      <c r="DF918" s="856"/>
      <c r="DG918" s="856"/>
      <c r="DH918" s="856"/>
      <c r="DI918" s="856"/>
      <c r="DJ918" s="856"/>
      <c r="DK918" s="856"/>
      <c r="DL918" s="856"/>
      <c r="DM918" s="152"/>
      <c r="DN918" s="152"/>
      <c r="DO918" s="152"/>
      <c r="DP918" s="152"/>
      <c r="DQ918" s="152"/>
    </row>
    <row r="919" spans="1:121" s="35" customFormat="1" x14ac:dyDescent="0.2">
      <c r="A919" s="34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565"/>
      <c r="R919" s="1097"/>
      <c r="U919" s="39"/>
      <c r="CU919" s="875"/>
      <c r="CV919" s="875"/>
      <c r="CW919" s="875"/>
      <c r="CX919" s="856"/>
      <c r="CY919" s="856"/>
      <c r="CZ919" s="856"/>
      <c r="DA919" s="126"/>
      <c r="DB919" s="126"/>
      <c r="DC919" s="126"/>
      <c r="DD919" s="126"/>
      <c r="DE919" s="856"/>
      <c r="DF919" s="856"/>
      <c r="DG919" s="856"/>
      <c r="DH919" s="856"/>
      <c r="DI919" s="856"/>
      <c r="DJ919" s="856"/>
      <c r="DK919" s="856"/>
      <c r="DL919" s="856"/>
      <c r="DM919" s="152"/>
      <c r="DN919" s="152"/>
      <c r="DO919" s="152"/>
      <c r="DP919" s="152"/>
      <c r="DQ919" s="152"/>
    </row>
    <row r="920" spans="1:121" s="35" customFormat="1" x14ac:dyDescent="0.2">
      <c r="A920" s="34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565"/>
      <c r="R920" s="1097"/>
      <c r="U920" s="39"/>
      <c r="CU920" s="875"/>
      <c r="CV920" s="875"/>
      <c r="CW920" s="875"/>
      <c r="CX920" s="856"/>
      <c r="CY920" s="856"/>
      <c r="CZ920" s="856"/>
      <c r="DA920" s="126"/>
      <c r="DB920" s="126"/>
      <c r="DC920" s="126"/>
      <c r="DD920" s="126"/>
      <c r="DE920" s="856"/>
      <c r="DF920" s="856"/>
      <c r="DG920" s="856"/>
      <c r="DH920" s="856"/>
      <c r="DI920" s="856"/>
      <c r="DJ920" s="856"/>
      <c r="DK920" s="856"/>
      <c r="DL920" s="856"/>
      <c r="DM920" s="152"/>
      <c r="DN920" s="152"/>
      <c r="DO920" s="152"/>
      <c r="DP920" s="152"/>
      <c r="DQ920" s="152"/>
    </row>
    <row r="921" spans="1:121" s="35" customFormat="1" x14ac:dyDescent="0.2">
      <c r="A921" s="34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565"/>
      <c r="R921" s="1097"/>
      <c r="U921" s="39"/>
      <c r="CU921" s="875"/>
      <c r="CV921" s="875"/>
      <c r="CW921" s="875"/>
      <c r="CX921" s="856"/>
      <c r="CY921" s="856"/>
      <c r="CZ921" s="856"/>
      <c r="DA921" s="126"/>
      <c r="DB921" s="126"/>
      <c r="DC921" s="126"/>
      <c r="DD921" s="126"/>
      <c r="DE921" s="856"/>
      <c r="DF921" s="856"/>
      <c r="DG921" s="856"/>
      <c r="DH921" s="856"/>
      <c r="DI921" s="856"/>
      <c r="DJ921" s="856"/>
      <c r="DK921" s="856"/>
      <c r="DL921" s="856"/>
      <c r="DM921" s="152"/>
      <c r="DN921" s="152"/>
      <c r="DO921" s="152"/>
      <c r="DP921" s="152"/>
      <c r="DQ921" s="152"/>
    </row>
    <row r="922" spans="1:121" s="35" customFormat="1" x14ac:dyDescent="0.2">
      <c r="A922" s="34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565"/>
      <c r="R922" s="1097"/>
      <c r="U922" s="39"/>
      <c r="CU922" s="875"/>
      <c r="CV922" s="875"/>
      <c r="CW922" s="875"/>
      <c r="CX922" s="856"/>
      <c r="CY922" s="856"/>
      <c r="CZ922" s="856"/>
      <c r="DA922" s="126"/>
      <c r="DB922" s="126"/>
      <c r="DC922" s="126"/>
      <c r="DD922" s="126"/>
      <c r="DE922" s="856"/>
      <c r="DF922" s="856"/>
      <c r="DG922" s="856"/>
      <c r="DH922" s="856"/>
      <c r="DI922" s="856"/>
      <c r="DJ922" s="856"/>
      <c r="DK922" s="856"/>
      <c r="DL922" s="856"/>
      <c r="DM922" s="152"/>
      <c r="DN922" s="152"/>
      <c r="DO922" s="152"/>
      <c r="DP922" s="152"/>
      <c r="DQ922" s="152"/>
    </row>
    <row r="923" spans="1:121" s="35" customFormat="1" x14ac:dyDescent="0.2">
      <c r="A923" s="34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565"/>
      <c r="R923" s="1097"/>
      <c r="U923" s="39"/>
      <c r="CU923" s="875"/>
      <c r="CV923" s="875"/>
      <c r="CW923" s="875"/>
      <c r="CX923" s="856"/>
      <c r="CY923" s="856"/>
      <c r="CZ923" s="856"/>
      <c r="DA923" s="126"/>
      <c r="DB923" s="126"/>
      <c r="DC923" s="126"/>
      <c r="DD923" s="126"/>
      <c r="DE923" s="856"/>
      <c r="DF923" s="856"/>
      <c r="DG923" s="856"/>
      <c r="DH923" s="856"/>
      <c r="DI923" s="856"/>
      <c r="DJ923" s="856"/>
      <c r="DK923" s="856"/>
      <c r="DL923" s="856"/>
      <c r="DM923" s="152"/>
      <c r="DN923" s="152"/>
      <c r="DO923" s="152"/>
      <c r="DP923" s="152"/>
      <c r="DQ923" s="152"/>
    </row>
    <row r="924" spans="1:121" s="35" customFormat="1" x14ac:dyDescent="0.2">
      <c r="A924" s="34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565"/>
      <c r="R924" s="1097"/>
      <c r="U924" s="39"/>
      <c r="CU924" s="875"/>
      <c r="CV924" s="875"/>
      <c r="CW924" s="875"/>
      <c r="CX924" s="856"/>
      <c r="CY924" s="856"/>
      <c r="CZ924" s="856"/>
      <c r="DA924" s="126"/>
      <c r="DB924" s="126"/>
      <c r="DC924" s="126"/>
      <c r="DD924" s="126"/>
      <c r="DE924" s="856"/>
      <c r="DF924" s="856"/>
      <c r="DG924" s="856"/>
      <c r="DH924" s="856"/>
      <c r="DI924" s="856"/>
      <c r="DJ924" s="856"/>
      <c r="DK924" s="856"/>
      <c r="DL924" s="856"/>
      <c r="DM924" s="152"/>
      <c r="DN924" s="152"/>
      <c r="DO924" s="152"/>
      <c r="DP924" s="152"/>
      <c r="DQ924" s="152"/>
    </row>
    <row r="925" spans="1:121" s="35" customFormat="1" x14ac:dyDescent="0.2">
      <c r="A925" s="34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565"/>
      <c r="R925" s="1097"/>
      <c r="U925" s="39"/>
      <c r="CU925" s="875"/>
      <c r="CV925" s="875"/>
      <c r="CW925" s="875"/>
      <c r="CX925" s="856"/>
      <c r="CY925" s="856"/>
      <c r="CZ925" s="856"/>
      <c r="DA925" s="126"/>
      <c r="DB925" s="126"/>
      <c r="DC925" s="126"/>
      <c r="DD925" s="126"/>
      <c r="DE925" s="856"/>
      <c r="DF925" s="856"/>
      <c r="DG925" s="856"/>
      <c r="DH925" s="856"/>
      <c r="DI925" s="856"/>
      <c r="DJ925" s="856"/>
      <c r="DK925" s="856"/>
      <c r="DL925" s="856"/>
      <c r="DM925" s="152"/>
      <c r="DN925" s="152"/>
      <c r="DO925" s="152"/>
      <c r="DP925" s="152"/>
      <c r="DQ925" s="152"/>
    </row>
    <row r="926" spans="1:121" s="35" customFormat="1" x14ac:dyDescent="0.2">
      <c r="A926" s="34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565"/>
      <c r="R926" s="1097"/>
      <c r="U926" s="39"/>
      <c r="CU926" s="875"/>
      <c r="CV926" s="875"/>
      <c r="CW926" s="875"/>
      <c r="CX926" s="856"/>
      <c r="CY926" s="856"/>
      <c r="CZ926" s="856"/>
      <c r="DA926" s="126"/>
      <c r="DB926" s="126"/>
      <c r="DC926" s="126"/>
      <c r="DD926" s="126"/>
      <c r="DE926" s="856"/>
      <c r="DF926" s="856"/>
      <c r="DG926" s="856"/>
      <c r="DH926" s="856"/>
      <c r="DI926" s="856"/>
      <c r="DJ926" s="856"/>
      <c r="DK926" s="856"/>
      <c r="DL926" s="856"/>
      <c r="DM926" s="152"/>
      <c r="DN926" s="152"/>
      <c r="DO926" s="152"/>
      <c r="DP926" s="152"/>
      <c r="DQ926" s="152"/>
    </row>
    <row r="927" spans="1:121" s="35" customFormat="1" x14ac:dyDescent="0.2">
      <c r="A927" s="34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565"/>
      <c r="R927" s="1097"/>
      <c r="U927" s="39"/>
      <c r="CU927" s="875"/>
      <c r="CV927" s="875"/>
      <c r="CW927" s="875"/>
      <c r="CX927" s="856"/>
      <c r="CY927" s="856"/>
      <c r="CZ927" s="856"/>
      <c r="DA927" s="126"/>
      <c r="DB927" s="126"/>
      <c r="DC927" s="126"/>
      <c r="DD927" s="126"/>
      <c r="DE927" s="856"/>
      <c r="DF927" s="856"/>
      <c r="DG927" s="856"/>
      <c r="DH927" s="856"/>
      <c r="DI927" s="856"/>
      <c r="DJ927" s="856"/>
      <c r="DK927" s="856"/>
      <c r="DL927" s="856"/>
      <c r="DM927" s="152"/>
      <c r="DN927" s="152"/>
      <c r="DO927" s="152"/>
      <c r="DP927" s="152"/>
      <c r="DQ927" s="152"/>
    </row>
    <row r="928" spans="1:121" s="35" customFormat="1" x14ac:dyDescent="0.2">
      <c r="A928" s="34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565"/>
      <c r="R928" s="1097"/>
      <c r="U928" s="39"/>
      <c r="CU928" s="875"/>
      <c r="CV928" s="875"/>
      <c r="CW928" s="875"/>
      <c r="CX928" s="856"/>
      <c r="CY928" s="856"/>
      <c r="CZ928" s="856"/>
      <c r="DA928" s="126"/>
      <c r="DB928" s="126"/>
      <c r="DC928" s="126"/>
      <c r="DD928" s="126"/>
      <c r="DE928" s="856"/>
      <c r="DF928" s="856"/>
      <c r="DG928" s="856"/>
      <c r="DH928" s="856"/>
      <c r="DI928" s="856"/>
      <c r="DJ928" s="856"/>
      <c r="DK928" s="856"/>
      <c r="DL928" s="856"/>
      <c r="DM928" s="152"/>
      <c r="DN928" s="152"/>
      <c r="DO928" s="152"/>
      <c r="DP928" s="152"/>
      <c r="DQ928" s="152"/>
    </row>
    <row r="929" spans="1:121" s="35" customFormat="1" x14ac:dyDescent="0.2">
      <c r="A929" s="34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565"/>
      <c r="R929" s="1097"/>
      <c r="U929" s="39"/>
      <c r="CU929" s="875"/>
      <c r="CV929" s="875"/>
      <c r="CW929" s="875"/>
      <c r="CX929" s="856"/>
      <c r="CY929" s="856"/>
      <c r="CZ929" s="856"/>
      <c r="DA929" s="126"/>
      <c r="DB929" s="126"/>
      <c r="DC929" s="126"/>
      <c r="DD929" s="126"/>
      <c r="DE929" s="856"/>
      <c r="DF929" s="856"/>
      <c r="DG929" s="856"/>
      <c r="DH929" s="856"/>
      <c r="DI929" s="856"/>
      <c r="DJ929" s="856"/>
      <c r="DK929" s="856"/>
      <c r="DL929" s="856"/>
      <c r="DM929" s="152"/>
      <c r="DN929" s="152"/>
      <c r="DO929" s="152"/>
      <c r="DP929" s="152"/>
      <c r="DQ929" s="152"/>
    </row>
    <row r="930" spans="1:121" s="35" customFormat="1" x14ac:dyDescent="0.2">
      <c r="A930" s="34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565"/>
      <c r="R930" s="1097"/>
      <c r="U930" s="39"/>
      <c r="CU930" s="875"/>
      <c r="CV930" s="875"/>
      <c r="CW930" s="875"/>
      <c r="CX930" s="856"/>
      <c r="CY930" s="856"/>
      <c r="CZ930" s="856"/>
      <c r="DA930" s="126"/>
      <c r="DB930" s="126"/>
      <c r="DC930" s="126"/>
      <c r="DD930" s="126"/>
      <c r="DE930" s="856"/>
      <c r="DF930" s="856"/>
      <c r="DG930" s="856"/>
      <c r="DH930" s="856"/>
      <c r="DI930" s="856"/>
      <c r="DJ930" s="856"/>
      <c r="DK930" s="856"/>
      <c r="DL930" s="856"/>
      <c r="DM930" s="152"/>
      <c r="DN930" s="152"/>
      <c r="DO930" s="152"/>
      <c r="DP930" s="152"/>
      <c r="DQ930" s="152"/>
    </row>
    <row r="931" spans="1:121" s="35" customFormat="1" x14ac:dyDescent="0.2">
      <c r="A931" s="34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565"/>
      <c r="R931" s="1097"/>
      <c r="U931" s="39"/>
      <c r="CU931" s="875"/>
      <c r="CV931" s="875"/>
      <c r="CW931" s="875"/>
      <c r="CX931" s="856"/>
      <c r="CY931" s="856"/>
      <c r="CZ931" s="856"/>
      <c r="DA931" s="126"/>
      <c r="DB931" s="126"/>
      <c r="DC931" s="126"/>
      <c r="DD931" s="126"/>
      <c r="DE931" s="856"/>
      <c r="DF931" s="856"/>
      <c r="DG931" s="856"/>
      <c r="DH931" s="856"/>
      <c r="DI931" s="856"/>
      <c r="DJ931" s="856"/>
      <c r="DK931" s="856"/>
      <c r="DL931" s="856"/>
      <c r="DM931" s="152"/>
      <c r="DN931" s="152"/>
      <c r="DO931" s="152"/>
      <c r="DP931" s="152"/>
      <c r="DQ931" s="152"/>
    </row>
    <row r="932" spans="1:121" s="35" customFormat="1" x14ac:dyDescent="0.2">
      <c r="A932" s="34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565"/>
      <c r="R932" s="1097"/>
      <c r="U932" s="39"/>
      <c r="CU932" s="875"/>
      <c r="CV932" s="875"/>
      <c r="CW932" s="875"/>
      <c r="CX932" s="856"/>
      <c r="CY932" s="856"/>
      <c r="CZ932" s="856"/>
      <c r="DA932" s="126"/>
      <c r="DB932" s="126"/>
      <c r="DC932" s="126"/>
      <c r="DD932" s="126"/>
      <c r="DE932" s="856"/>
      <c r="DF932" s="856"/>
      <c r="DG932" s="856"/>
      <c r="DH932" s="856"/>
      <c r="DI932" s="856"/>
      <c r="DJ932" s="856"/>
      <c r="DK932" s="856"/>
      <c r="DL932" s="856"/>
      <c r="DM932" s="152"/>
      <c r="DN932" s="152"/>
      <c r="DO932" s="152"/>
      <c r="DP932" s="152"/>
      <c r="DQ932" s="152"/>
    </row>
    <row r="933" spans="1:121" s="35" customFormat="1" x14ac:dyDescent="0.2">
      <c r="A933" s="34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565"/>
      <c r="R933" s="1097"/>
      <c r="U933" s="39"/>
      <c r="CU933" s="875"/>
      <c r="CV933" s="875"/>
      <c r="CW933" s="875"/>
      <c r="CX933" s="856"/>
      <c r="CY933" s="856"/>
      <c r="CZ933" s="856"/>
      <c r="DA933" s="126"/>
      <c r="DB933" s="126"/>
      <c r="DC933" s="126"/>
      <c r="DD933" s="126"/>
      <c r="DE933" s="856"/>
      <c r="DF933" s="856"/>
      <c r="DG933" s="856"/>
      <c r="DH933" s="856"/>
      <c r="DI933" s="856"/>
      <c r="DJ933" s="856"/>
      <c r="DK933" s="856"/>
      <c r="DL933" s="856"/>
      <c r="DM933" s="152"/>
      <c r="DN933" s="152"/>
      <c r="DO933" s="152"/>
      <c r="DP933" s="152"/>
      <c r="DQ933" s="152"/>
    </row>
    <row r="934" spans="1:121" s="35" customFormat="1" x14ac:dyDescent="0.2">
      <c r="A934" s="34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565"/>
      <c r="R934" s="1097"/>
      <c r="U934" s="39"/>
      <c r="CU934" s="875"/>
      <c r="CV934" s="875"/>
      <c r="CW934" s="875"/>
      <c r="CX934" s="856"/>
      <c r="CY934" s="856"/>
      <c r="CZ934" s="856"/>
      <c r="DA934" s="126"/>
      <c r="DB934" s="126"/>
      <c r="DC934" s="126"/>
      <c r="DD934" s="126"/>
      <c r="DE934" s="856"/>
      <c r="DF934" s="856"/>
      <c r="DG934" s="856"/>
      <c r="DH934" s="856"/>
      <c r="DI934" s="856"/>
      <c r="DJ934" s="856"/>
      <c r="DK934" s="856"/>
      <c r="DL934" s="856"/>
      <c r="DM934" s="152"/>
      <c r="DN934" s="152"/>
      <c r="DO934" s="152"/>
      <c r="DP934" s="152"/>
      <c r="DQ934" s="152"/>
    </row>
    <row r="935" spans="1:121" s="35" customFormat="1" x14ac:dyDescent="0.2">
      <c r="A935" s="34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565"/>
      <c r="R935" s="1097"/>
      <c r="U935" s="39"/>
      <c r="CU935" s="875"/>
      <c r="CV935" s="875"/>
      <c r="CW935" s="875"/>
      <c r="CX935" s="856"/>
      <c r="CY935" s="856"/>
      <c r="CZ935" s="856"/>
      <c r="DA935" s="126"/>
      <c r="DB935" s="126"/>
      <c r="DC935" s="126"/>
      <c r="DD935" s="126"/>
      <c r="DE935" s="856"/>
      <c r="DF935" s="856"/>
      <c r="DG935" s="856"/>
      <c r="DH935" s="856"/>
      <c r="DI935" s="856"/>
      <c r="DJ935" s="856"/>
      <c r="DK935" s="856"/>
      <c r="DL935" s="856"/>
      <c r="DM935" s="152"/>
      <c r="DN935" s="152"/>
      <c r="DO935" s="152"/>
      <c r="DP935" s="152"/>
      <c r="DQ935" s="152"/>
    </row>
    <row r="936" spans="1:121" s="35" customFormat="1" x14ac:dyDescent="0.2">
      <c r="A936" s="34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565"/>
      <c r="R936" s="1097"/>
      <c r="U936" s="39"/>
      <c r="CU936" s="875"/>
      <c r="CV936" s="875"/>
      <c r="CW936" s="875"/>
      <c r="CX936" s="856"/>
      <c r="CY936" s="856"/>
      <c r="CZ936" s="856"/>
      <c r="DA936" s="126"/>
      <c r="DB936" s="126"/>
      <c r="DC936" s="126"/>
      <c r="DD936" s="126"/>
      <c r="DE936" s="856"/>
      <c r="DF936" s="856"/>
      <c r="DG936" s="856"/>
      <c r="DH936" s="856"/>
      <c r="DI936" s="856"/>
      <c r="DJ936" s="856"/>
      <c r="DK936" s="856"/>
      <c r="DL936" s="856"/>
      <c r="DM936" s="152"/>
      <c r="DN936" s="152"/>
      <c r="DO936" s="152"/>
      <c r="DP936" s="152"/>
      <c r="DQ936" s="152"/>
    </row>
    <row r="937" spans="1:121" s="35" customFormat="1" x14ac:dyDescent="0.2">
      <c r="A937" s="34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565"/>
      <c r="R937" s="1097"/>
      <c r="U937" s="39"/>
      <c r="CU937" s="875"/>
      <c r="CV937" s="875"/>
      <c r="CW937" s="875"/>
      <c r="CX937" s="856"/>
      <c r="CY937" s="856"/>
      <c r="CZ937" s="856"/>
      <c r="DA937" s="126"/>
      <c r="DB937" s="126"/>
      <c r="DC937" s="126"/>
      <c r="DD937" s="126"/>
      <c r="DE937" s="856"/>
      <c r="DF937" s="856"/>
      <c r="DG937" s="856"/>
      <c r="DH937" s="856"/>
      <c r="DI937" s="856"/>
      <c r="DJ937" s="856"/>
      <c r="DK937" s="856"/>
      <c r="DL937" s="856"/>
      <c r="DM937" s="152"/>
      <c r="DN937" s="152"/>
      <c r="DO937" s="152"/>
      <c r="DP937" s="152"/>
      <c r="DQ937" s="152"/>
    </row>
    <row r="938" spans="1:121" s="35" customFormat="1" x14ac:dyDescent="0.2">
      <c r="A938" s="34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565"/>
      <c r="R938" s="1097"/>
      <c r="U938" s="39"/>
      <c r="CU938" s="875"/>
      <c r="CV938" s="875"/>
      <c r="CW938" s="875"/>
      <c r="CX938" s="856"/>
      <c r="CY938" s="856"/>
      <c r="CZ938" s="856"/>
      <c r="DA938" s="126"/>
      <c r="DB938" s="126"/>
      <c r="DC938" s="126"/>
      <c r="DD938" s="126"/>
      <c r="DE938" s="856"/>
      <c r="DF938" s="856"/>
      <c r="DG938" s="856"/>
      <c r="DH938" s="856"/>
      <c r="DI938" s="856"/>
      <c r="DJ938" s="856"/>
      <c r="DK938" s="856"/>
      <c r="DL938" s="856"/>
      <c r="DM938" s="152"/>
      <c r="DN938" s="152"/>
      <c r="DO938" s="152"/>
      <c r="DP938" s="152"/>
      <c r="DQ938" s="152"/>
    </row>
    <row r="939" spans="1:121" s="35" customFormat="1" x14ac:dyDescent="0.2">
      <c r="A939" s="34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565"/>
      <c r="R939" s="1097"/>
      <c r="U939" s="39"/>
      <c r="CU939" s="875"/>
      <c r="CV939" s="875"/>
      <c r="CW939" s="875"/>
      <c r="CX939" s="856"/>
      <c r="CY939" s="856"/>
      <c r="CZ939" s="856"/>
      <c r="DA939" s="126"/>
      <c r="DB939" s="126"/>
      <c r="DC939" s="126"/>
      <c r="DD939" s="126"/>
      <c r="DE939" s="856"/>
      <c r="DF939" s="856"/>
      <c r="DG939" s="856"/>
      <c r="DH939" s="856"/>
      <c r="DI939" s="856"/>
      <c r="DJ939" s="856"/>
      <c r="DK939" s="856"/>
      <c r="DL939" s="856"/>
      <c r="DM939" s="152"/>
      <c r="DN939" s="152"/>
      <c r="DO939" s="152"/>
      <c r="DP939" s="152"/>
      <c r="DQ939" s="152"/>
    </row>
    <row r="940" spans="1:121" s="35" customFormat="1" x14ac:dyDescent="0.2">
      <c r="A940" s="34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565"/>
      <c r="R940" s="1097"/>
      <c r="U940" s="39"/>
      <c r="CU940" s="875"/>
      <c r="CV940" s="875"/>
      <c r="CW940" s="875"/>
      <c r="CX940" s="856"/>
      <c r="CY940" s="856"/>
      <c r="CZ940" s="856"/>
      <c r="DA940" s="126"/>
      <c r="DB940" s="126"/>
      <c r="DC940" s="126"/>
      <c r="DD940" s="126"/>
      <c r="DE940" s="856"/>
      <c r="DF940" s="856"/>
      <c r="DG940" s="856"/>
      <c r="DH940" s="856"/>
      <c r="DI940" s="856"/>
      <c r="DJ940" s="856"/>
      <c r="DK940" s="856"/>
      <c r="DL940" s="856"/>
      <c r="DM940" s="152"/>
      <c r="DN940" s="152"/>
      <c r="DO940" s="152"/>
      <c r="DP940" s="152"/>
      <c r="DQ940" s="152"/>
    </row>
    <row r="941" spans="1:121" s="35" customFormat="1" x14ac:dyDescent="0.2">
      <c r="A941" s="34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565"/>
      <c r="R941" s="1097"/>
      <c r="U941" s="39"/>
      <c r="CU941" s="875"/>
      <c r="CV941" s="875"/>
      <c r="CW941" s="875"/>
      <c r="CX941" s="856"/>
      <c r="CY941" s="856"/>
      <c r="CZ941" s="856"/>
      <c r="DA941" s="126"/>
      <c r="DB941" s="126"/>
      <c r="DC941" s="126"/>
      <c r="DD941" s="126"/>
      <c r="DE941" s="856"/>
      <c r="DF941" s="856"/>
      <c r="DG941" s="856"/>
      <c r="DH941" s="856"/>
      <c r="DI941" s="856"/>
      <c r="DJ941" s="856"/>
      <c r="DK941" s="856"/>
      <c r="DL941" s="856"/>
      <c r="DM941" s="152"/>
      <c r="DN941" s="152"/>
      <c r="DO941" s="152"/>
      <c r="DP941" s="152"/>
      <c r="DQ941" s="152"/>
    </row>
    <row r="942" spans="1:121" s="35" customFormat="1" x14ac:dyDescent="0.2">
      <c r="A942" s="34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565"/>
      <c r="R942" s="1097"/>
      <c r="U942" s="39"/>
      <c r="CU942" s="875"/>
      <c r="CV942" s="875"/>
      <c r="CW942" s="875"/>
      <c r="CX942" s="856"/>
      <c r="CY942" s="856"/>
      <c r="CZ942" s="856"/>
      <c r="DA942" s="126"/>
      <c r="DB942" s="126"/>
      <c r="DC942" s="126"/>
      <c r="DD942" s="126"/>
      <c r="DE942" s="856"/>
      <c r="DF942" s="856"/>
      <c r="DG942" s="856"/>
      <c r="DH942" s="856"/>
      <c r="DI942" s="856"/>
      <c r="DJ942" s="856"/>
      <c r="DK942" s="856"/>
      <c r="DL942" s="856"/>
      <c r="DM942" s="152"/>
      <c r="DN942" s="152"/>
      <c r="DO942" s="152"/>
      <c r="DP942" s="152"/>
      <c r="DQ942" s="152"/>
    </row>
    <row r="943" spans="1:121" s="35" customFormat="1" x14ac:dyDescent="0.2">
      <c r="A943" s="34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565"/>
      <c r="R943" s="1097"/>
      <c r="U943" s="39"/>
      <c r="CU943" s="875"/>
      <c r="CV943" s="875"/>
      <c r="CW943" s="875"/>
      <c r="CX943" s="856"/>
      <c r="CY943" s="856"/>
      <c r="CZ943" s="856"/>
      <c r="DA943" s="126"/>
      <c r="DB943" s="126"/>
      <c r="DC943" s="126"/>
      <c r="DD943" s="126"/>
      <c r="DE943" s="856"/>
      <c r="DF943" s="856"/>
      <c r="DG943" s="856"/>
      <c r="DH943" s="856"/>
      <c r="DI943" s="856"/>
      <c r="DJ943" s="856"/>
      <c r="DK943" s="856"/>
      <c r="DL943" s="856"/>
      <c r="DM943" s="152"/>
      <c r="DN943" s="152"/>
      <c r="DO943" s="152"/>
      <c r="DP943" s="152"/>
      <c r="DQ943" s="152"/>
    </row>
    <row r="944" spans="1:121" s="35" customFormat="1" x14ac:dyDescent="0.2">
      <c r="A944" s="34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565"/>
      <c r="R944" s="1097"/>
      <c r="U944" s="39"/>
      <c r="CU944" s="875"/>
      <c r="CV944" s="875"/>
      <c r="CW944" s="875"/>
      <c r="CX944" s="856"/>
      <c r="CY944" s="856"/>
      <c r="CZ944" s="856"/>
      <c r="DA944" s="126"/>
      <c r="DB944" s="126"/>
      <c r="DC944" s="126"/>
      <c r="DD944" s="126"/>
      <c r="DE944" s="856"/>
      <c r="DF944" s="856"/>
      <c r="DG944" s="856"/>
      <c r="DH944" s="856"/>
      <c r="DI944" s="856"/>
      <c r="DJ944" s="856"/>
      <c r="DK944" s="856"/>
      <c r="DL944" s="856"/>
      <c r="DM944" s="152"/>
      <c r="DN944" s="152"/>
      <c r="DO944" s="152"/>
      <c r="DP944" s="152"/>
      <c r="DQ944" s="152"/>
    </row>
    <row r="945" spans="1:121" s="35" customFormat="1" x14ac:dyDescent="0.2">
      <c r="A945" s="34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565"/>
      <c r="R945" s="1097"/>
      <c r="U945" s="39"/>
      <c r="CU945" s="875"/>
      <c r="CV945" s="875"/>
      <c r="CW945" s="875"/>
      <c r="CX945" s="856"/>
      <c r="CY945" s="856"/>
      <c r="CZ945" s="856"/>
      <c r="DA945" s="126"/>
      <c r="DB945" s="126"/>
      <c r="DC945" s="126"/>
      <c r="DD945" s="126"/>
      <c r="DE945" s="856"/>
      <c r="DF945" s="856"/>
      <c r="DG945" s="856"/>
      <c r="DH945" s="856"/>
      <c r="DI945" s="856"/>
      <c r="DJ945" s="856"/>
      <c r="DK945" s="856"/>
      <c r="DL945" s="856"/>
      <c r="DM945" s="152"/>
      <c r="DN945" s="152"/>
      <c r="DO945" s="152"/>
      <c r="DP945" s="152"/>
      <c r="DQ945" s="152"/>
    </row>
    <row r="946" spans="1:121" s="35" customFormat="1" x14ac:dyDescent="0.2">
      <c r="A946" s="34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565"/>
      <c r="R946" s="1097"/>
      <c r="U946" s="39"/>
      <c r="CU946" s="875"/>
      <c r="CV946" s="875"/>
      <c r="CW946" s="875"/>
      <c r="CX946" s="856"/>
      <c r="CY946" s="856"/>
      <c r="CZ946" s="856"/>
      <c r="DA946" s="126"/>
      <c r="DB946" s="126"/>
      <c r="DC946" s="126"/>
      <c r="DD946" s="126"/>
      <c r="DE946" s="856"/>
      <c r="DF946" s="856"/>
      <c r="DG946" s="856"/>
      <c r="DH946" s="856"/>
      <c r="DI946" s="856"/>
      <c r="DJ946" s="856"/>
      <c r="DK946" s="856"/>
      <c r="DL946" s="856"/>
      <c r="DM946" s="152"/>
      <c r="DN946" s="152"/>
      <c r="DO946" s="152"/>
      <c r="DP946" s="152"/>
      <c r="DQ946" s="152"/>
    </row>
    <row r="947" spans="1:121" s="35" customFormat="1" x14ac:dyDescent="0.2">
      <c r="A947" s="34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565"/>
      <c r="R947" s="1097"/>
      <c r="U947" s="39"/>
      <c r="CU947" s="875"/>
      <c r="CV947" s="875"/>
      <c r="CW947" s="875"/>
      <c r="CX947" s="856"/>
      <c r="CY947" s="856"/>
      <c r="CZ947" s="856"/>
      <c r="DA947" s="126"/>
      <c r="DB947" s="126"/>
      <c r="DC947" s="126"/>
      <c r="DD947" s="126"/>
      <c r="DE947" s="856"/>
      <c r="DF947" s="856"/>
      <c r="DG947" s="856"/>
      <c r="DH947" s="856"/>
      <c r="DI947" s="856"/>
      <c r="DJ947" s="856"/>
      <c r="DK947" s="856"/>
      <c r="DL947" s="856"/>
      <c r="DM947" s="152"/>
      <c r="DN947" s="152"/>
      <c r="DO947" s="152"/>
      <c r="DP947" s="152"/>
      <c r="DQ947" s="152"/>
    </row>
    <row r="948" spans="1:121" s="35" customFormat="1" x14ac:dyDescent="0.2">
      <c r="A948" s="34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565"/>
      <c r="R948" s="1097"/>
      <c r="U948" s="39"/>
      <c r="CU948" s="875"/>
      <c r="CV948" s="875"/>
      <c r="CW948" s="875"/>
      <c r="CX948" s="856"/>
      <c r="CY948" s="856"/>
      <c r="CZ948" s="856"/>
      <c r="DA948" s="126"/>
      <c r="DB948" s="126"/>
      <c r="DC948" s="126"/>
      <c r="DD948" s="126"/>
      <c r="DE948" s="856"/>
      <c r="DF948" s="856"/>
      <c r="DG948" s="856"/>
      <c r="DH948" s="856"/>
      <c r="DI948" s="856"/>
      <c r="DJ948" s="856"/>
      <c r="DK948" s="856"/>
      <c r="DL948" s="856"/>
      <c r="DM948" s="152"/>
      <c r="DN948" s="152"/>
      <c r="DO948" s="152"/>
      <c r="DP948" s="152"/>
      <c r="DQ948" s="152"/>
    </row>
    <row r="949" spans="1:121" s="35" customFormat="1" x14ac:dyDescent="0.2">
      <c r="A949" s="34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565"/>
      <c r="R949" s="1097"/>
      <c r="U949" s="39"/>
      <c r="CU949" s="875"/>
      <c r="CV949" s="875"/>
      <c r="CW949" s="875"/>
      <c r="CX949" s="856"/>
      <c r="CY949" s="856"/>
      <c r="CZ949" s="856"/>
      <c r="DA949" s="126"/>
      <c r="DB949" s="126"/>
      <c r="DC949" s="126"/>
      <c r="DD949" s="126"/>
      <c r="DE949" s="856"/>
      <c r="DF949" s="856"/>
      <c r="DG949" s="856"/>
      <c r="DH949" s="856"/>
      <c r="DI949" s="856"/>
      <c r="DJ949" s="856"/>
      <c r="DK949" s="856"/>
      <c r="DL949" s="856"/>
      <c r="DM949" s="152"/>
      <c r="DN949" s="152"/>
      <c r="DO949" s="152"/>
      <c r="DP949" s="152"/>
      <c r="DQ949" s="152"/>
    </row>
    <row r="950" spans="1:121" s="35" customFormat="1" x14ac:dyDescent="0.2">
      <c r="A950" s="34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565"/>
      <c r="R950" s="1097"/>
      <c r="U950" s="39"/>
      <c r="CU950" s="875"/>
      <c r="CV950" s="875"/>
      <c r="CW950" s="875"/>
      <c r="CX950" s="856"/>
      <c r="CY950" s="856"/>
      <c r="CZ950" s="856"/>
      <c r="DA950" s="126"/>
      <c r="DB950" s="126"/>
      <c r="DC950" s="126"/>
      <c r="DD950" s="126"/>
      <c r="DE950" s="856"/>
      <c r="DF950" s="856"/>
      <c r="DG950" s="856"/>
      <c r="DH950" s="856"/>
      <c r="DI950" s="856"/>
      <c r="DJ950" s="856"/>
      <c r="DK950" s="856"/>
      <c r="DL950" s="856"/>
      <c r="DM950" s="152"/>
      <c r="DN950" s="152"/>
      <c r="DO950" s="152"/>
      <c r="DP950" s="152"/>
      <c r="DQ950" s="152"/>
    </row>
    <row r="951" spans="1:121" s="35" customFormat="1" x14ac:dyDescent="0.2">
      <c r="A951" s="34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565"/>
      <c r="R951" s="1097"/>
      <c r="U951" s="39"/>
      <c r="CU951" s="875"/>
      <c r="CV951" s="875"/>
      <c r="CW951" s="875"/>
      <c r="CX951" s="856"/>
      <c r="CY951" s="856"/>
      <c r="CZ951" s="856"/>
      <c r="DA951" s="126"/>
      <c r="DB951" s="126"/>
      <c r="DC951" s="126"/>
      <c r="DD951" s="126"/>
      <c r="DE951" s="856"/>
      <c r="DF951" s="856"/>
      <c r="DG951" s="856"/>
      <c r="DH951" s="856"/>
      <c r="DI951" s="856"/>
      <c r="DJ951" s="856"/>
      <c r="DK951" s="856"/>
      <c r="DL951" s="856"/>
      <c r="DM951" s="152"/>
      <c r="DN951" s="152"/>
      <c r="DO951" s="152"/>
      <c r="DP951" s="152"/>
      <c r="DQ951" s="152"/>
    </row>
    <row r="952" spans="1:121" s="35" customFormat="1" x14ac:dyDescent="0.2">
      <c r="A952" s="34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565"/>
      <c r="R952" s="1097"/>
      <c r="U952" s="39"/>
      <c r="CU952" s="875"/>
      <c r="CV952" s="875"/>
      <c r="CW952" s="875"/>
      <c r="CX952" s="856"/>
      <c r="CY952" s="856"/>
      <c r="CZ952" s="856"/>
      <c r="DA952" s="126"/>
      <c r="DB952" s="126"/>
      <c r="DC952" s="126"/>
      <c r="DD952" s="126"/>
      <c r="DE952" s="856"/>
      <c r="DF952" s="856"/>
      <c r="DG952" s="856"/>
      <c r="DH952" s="856"/>
      <c r="DI952" s="856"/>
      <c r="DJ952" s="856"/>
      <c r="DK952" s="856"/>
      <c r="DL952" s="856"/>
      <c r="DM952" s="152"/>
      <c r="DN952" s="152"/>
      <c r="DO952" s="152"/>
      <c r="DP952" s="152"/>
      <c r="DQ952" s="152"/>
    </row>
    <row r="953" spans="1:121" s="35" customFormat="1" x14ac:dyDescent="0.2">
      <c r="A953" s="34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565"/>
      <c r="R953" s="1097"/>
      <c r="U953" s="39"/>
      <c r="CU953" s="875"/>
      <c r="CV953" s="875"/>
      <c r="CW953" s="875"/>
      <c r="CX953" s="856"/>
      <c r="CY953" s="856"/>
      <c r="CZ953" s="856"/>
      <c r="DA953" s="126"/>
      <c r="DB953" s="126"/>
      <c r="DC953" s="126"/>
      <c r="DD953" s="126"/>
      <c r="DE953" s="856"/>
      <c r="DF953" s="856"/>
      <c r="DG953" s="856"/>
      <c r="DH953" s="856"/>
      <c r="DI953" s="856"/>
      <c r="DJ953" s="856"/>
      <c r="DK953" s="856"/>
      <c r="DL953" s="856"/>
      <c r="DM953" s="152"/>
      <c r="DN953" s="152"/>
      <c r="DO953" s="152"/>
      <c r="DP953" s="152"/>
      <c r="DQ953" s="152"/>
    </row>
    <row r="954" spans="1:121" s="35" customFormat="1" x14ac:dyDescent="0.2">
      <c r="A954" s="34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565"/>
      <c r="R954" s="1097"/>
      <c r="U954" s="39"/>
      <c r="CU954" s="875"/>
      <c r="CV954" s="875"/>
      <c r="CW954" s="875"/>
      <c r="CX954" s="856"/>
      <c r="CY954" s="856"/>
      <c r="CZ954" s="856"/>
      <c r="DA954" s="126"/>
      <c r="DB954" s="126"/>
      <c r="DC954" s="126"/>
      <c r="DD954" s="126"/>
      <c r="DE954" s="856"/>
      <c r="DF954" s="856"/>
      <c r="DG954" s="856"/>
      <c r="DH954" s="856"/>
      <c r="DI954" s="856"/>
      <c r="DJ954" s="856"/>
      <c r="DK954" s="856"/>
      <c r="DL954" s="856"/>
      <c r="DM954" s="152"/>
      <c r="DN954" s="152"/>
      <c r="DO954" s="152"/>
      <c r="DP954" s="152"/>
      <c r="DQ954" s="152"/>
    </row>
    <row r="955" spans="1:121" s="35" customFormat="1" x14ac:dyDescent="0.2">
      <c r="A955" s="34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565"/>
      <c r="R955" s="1097"/>
      <c r="U955" s="39"/>
      <c r="CU955" s="875"/>
      <c r="CV955" s="875"/>
      <c r="CW955" s="875"/>
      <c r="CX955" s="856"/>
      <c r="CY955" s="856"/>
      <c r="CZ955" s="856"/>
      <c r="DA955" s="126"/>
      <c r="DB955" s="126"/>
      <c r="DC955" s="126"/>
      <c r="DD955" s="126"/>
      <c r="DE955" s="856"/>
      <c r="DF955" s="856"/>
      <c r="DG955" s="856"/>
      <c r="DH955" s="856"/>
      <c r="DI955" s="856"/>
      <c r="DJ955" s="856"/>
      <c r="DK955" s="856"/>
      <c r="DL955" s="856"/>
      <c r="DM955" s="152"/>
      <c r="DN955" s="152"/>
      <c r="DO955" s="152"/>
      <c r="DP955" s="152"/>
      <c r="DQ955" s="152"/>
    </row>
    <row r="956" spans="1:121" s="35" customFormat="1" x14ac:dyDescent="0.2">
      <c r="A956" s="34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565"/>
      <c r="R956" s="1097"/>
      <c r="U956" s="39"/>
      <c r="CU956" s="875"/>
      <c r="CV956" s="875"/>
      <c r="CW956" s="875"/>
      <c r="CX956" s="856"/>
      <c r="CY956" s="856"/>
      <c r="CZ956" s="856"/>
      <c r="DA956" s="126"/>
      <c r="DB956" s="126"/>
      <c r="DC956" s="126"/>
      <c r="DD956" s="126"/>
      <c r="DE956" s="856"/>
      <c r="DF956" s="856"/>
      <c r="DG956" s="856"/>
      <c r="DH956" s="856"/>
      <c r="DI956" s="856"/>
      <c r="DJ956" s="856"/>
      <c r="DK956" s="856"/>
      <c r="DL956" s="856"/>
      <c r="DM956" s="152"/>
      <c r="DN956" s="152"/>
      <c r="DO956" s="152"/>
      <c r="DP956" s="152"/>
      <c r="DQ956" s="152"/>
    </row>
    <row r="957" spans="1:121" s="35" customFormat="1" x14ac:dyDescent="0.2">
      <c r="A957" s="34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565"/>
      <c r="R957" s="1097"/>
      <c r="U957" s="39"/>
      <c r="CU957" s="875"/>
      <c r="CV957" s="875"/>
      <c r="CW957" s="875"/>
      <c r="CX957" s="856"/>
      <c r="CY957" s="856"/>
      <c r="CZ957" s="856"/>
      <c r="DA957" s="126"/>
      <c r="DB957" s="126"/>
      <c r="DC957" s="126"/>
      <c r="DD957" s="126"/>
      <c r="DE957" s="856"/>
      <c r="DF957" s="856"/>
      <c r="DG957" s="856"/>
      <c r="DH957" s="856"/>
      <c r="DI957" s="856"/>
      <c r="DJ957" s="856"/>
      <c r="DK957" s="856"/>
      <c r="DL957" s="856"/>
      <c r="DM957" s="152"/>
      <c r="DN957" s="152"/>
      <c r="DO957" s="152"/>
      <c r="DP957" s="152"/>
      <c r="DQ957" s="152"/>
    </row>
    <row r="958" spans="1:121" s="35" customFormat="1" x14ac:dyDescent="0.2">
      <c r="A958" s="34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565"/>
      <c r="R958" s="1097"/>
      <c r="U958" s="39"/>
      <c r="CU958" s="875"/>
      <c r="CV958" s="875"/>
      <c r="CW958" s="875"/>
      <c r="CX958" s="856"/>
      <c r="CY958" s="856"/>
      <c r="CZ958" s="856"/>
      <c r="DA958" s="126"/>
      <c r="DB958" s="126"/>
      <c r="DC958" s="126"/>
      <c r="DD958" s="126"/>
      <c r="DE958" s="856"/>
      <c r="DF958" s="856"/>
      <c r="DG958" s="856"/>
      <c r="DH958" s="856"/>
      <c r="DI958" s="856"/>
      <c r="DJ958" s="856"/>
      <c r="DK958" s="856"/>
      <c r="DL958" s="856"/>
      <c r="DM958" s="152"/>
      <c r="DN958" s="152"/>
      <c r="DO958" s="152"/>
      <c r="DP958" s="152"/>
      <c r="DQ958" s="152"/>
    </row>
    <row r="959" spans="1:121" s="35" customFormat="1" x14ac:dyDescent="0.2">
      <c r="A959" s="34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565"/>
      <c r="R959" s="1097"/>
      <c r="U959" s="39"/>
      <c r="CU959" s="875"/>
      <c r="CV959" s="875"/>
      <c r="CW959" s="875"/>
      <c r="CX959" s="856"/>
      <c r="CY959" s="856"/>
      <c r="CZ959" s="856"/>
      <c r="DA959" s="126"/>
      <c r="DB959" s="126"/>
      <c r="DC959" s="126"/>
      <c r="DD959" s="126"/>
      <c r="DE959" s="856"/>
      <c r="DF959" s="856"/>
      <c r="DG959" s="856"/>
      <c r="DH959" s="856"/>
      <c r="DI959" s="856"/>
      <c r="DJ959" s="856"/>
      <c r="DK959" s="856"/>
      <c r="DL959" s="856"/>
      <c r="DM959" s="152"/>
      <c r="DN959" s="152"/>
      <c r="DO959" s="152"/>
      <c r="DP959" s="152"/>
      <c r="DQ959" s="152"/>
    </row>
    <row r="960" spans="1:121" s="35" customFormat="1" x14ac:dyDescent="0.2">
      <c r="A960" s="34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565"/>
      <c r="R960" s="1097"/>
      <c r="U960" s="39"/>
      <c r="CU960" s="875"/>
      <c r="CV960" s="875"/>
      <c r="CW960" s="875"/>
      <c r="CX960" s="856"/>
      <c r="CY960" s="856"/>
      <c r="CZ960" s="856"/>
      <c r="DA960" s="126"/>
      <c r="DB960" s="126"/>
      <c r="DC960" s="126"/>
      <c r="DD960" s="126"/>
      <c r="DE960" s="856"/>
      <c r="DF960" s="856"/>
      <c r="DG960" s="856"/>
      <c r="DH960" s="856"/>
      <c r="DI960" s="856"/>
      <c r="DJ960" s="856"/>
      <c r="DK960" s="856"/>
      <c r="DL960" s="856"/>
      <c r="DM960" s="152"/>
      <c r="DN960" s="152"/>
      <c r="DO960" s="152"/>
      <c r="DP960" s="152"/>
      <c r="DQ960" s="152"/>
    </row>
    <row r="961" spans="1:121" s="35" customFormat="1" x14ac:dyDescent="0.2">
      <c r="A961" s="34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565"/>
      <c r="R961" s="1097"/>
      <c r="U961" s="39"/>
      <c r="CU961" s="875"/>
      <c r="CV961" s="875"/>
      <c r="CW961" s="875"/>
      <c r="CX961" s="856"/>
      <c r="CY961" s="856"/>
      <c r="CZ961" s="856"/>
      <c r="DA961" s="126"/>
      <c r="DB961" s="126"/>
      <c r="DC961" s="126"/>
      <c r="DD961" s="126"/>
      <c r="DE961" s="856"/>
      <c r="DF961" s="856"/>
      <c r="DG961" s="856"/>
      <c r="DH961" s="856"/>
      <c r="DI961" s="856"/>
      <c r="DJ961" s="856"/>
      <c r="DK961" s="856"/>
      <c r="DL961" s="856"/>
      <c r="DM961" s="152"/>
      <c r="DN961" s="152"/>
      <c r="DO961" s="152"/>
      <c r="DP961" s="152"/>
      <c r="DQ961" s="152"/>
    </row>
    <row r="962" spans="1:121" s="35" customFormat="1" x14ac:dyDescent="0.2">
      <c r="A962" s="34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565"/>
      <c r="R962" s="1097"/>
      <c r="U962" s="39"/>
      <c r="CU962" s="875"/>
      <c r="CV962" s="875"/>
      <c r="CW962" s="875"/>
      <c r="CX962" s="856"/>
      <c r="CY962" s="856"/>
      <c r="CZ962" s="856"/>
      <c r="DA962" s="126"/>
      <c r="DB962" s="126"/>
      <c r="DC962" s="126"/>
      <c r="DD962" s="126"/>
      <c r="DE962" s="856"/>
      <c r="DF962" s="856"/>
      <c r="DG962" s="856"/>
      <c r="DH962" s="856"/>
      <c r="DI962" s="856"/>
      <c r="DJ962" s="856"/>
      <c r="DK962" s="856"/>
      <c r="DL962" s="856"/>
      <c r="DM962" s="152"/>
      <c r="DN962" s="152"/>
      <c r="DO962" s="152"/>
      <c r="DP962" s="152"/>
      <c r="DQ962" s="152"/>
    </row>
    <row r="963" spans="1:121" s="35" customFormat="1" x14ac:dyDescent="0.2">
      <c r="A963" s="34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565"/>
      <c r="R963" s="1097"/>
      <c r="U963" s="39"/>
      <c r="CU963" s="875"/>
      <c r="CV963" s="875"/>
      <c r="CW963" s="875"/>
      <c r="CX963" s="856"/>
      <c r="CY963" s="856"/>
      <c r="CZ963" s="856"/>
      <c r="DA963" s="126"/>
      <c r="DB963" s="126"/>
      <c r="DC963" s="126"/>
      <c r="DD963" s="126"/>
      <c r="DE963" s="856"/>
      <c r="DF963" s="856"/>
      <c r="DG963" s="856"/>
      <c r="DH963" s="856"/>
      <c r="DI963" s="856"/>
      <c r="DJ963" s="856"/>
      <c r="DK963" s="856"/>
      <c r="DL963" s="856"/>
      <c r="DM963" s="152"/>
      <c r="DN963" s="152"/>
      <c r="DO963" s="152"/>
      <c r="DP963" s="152"/>
      <c r="DQ963" s="152"/>
    </row>
    <row r="964" spans="1:121" s="35" customFormat="1" x14ac:dyDescent="0.2">
      <c r="A964" s="34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565"/>
      <c r="R964" s="1097"/>
      <c r="U964" s="39"/>
      <c r="CU964" s="875"/>
      <c r="CV964" s="875"/>
      <c r="CW964" s="875"/>
      <c r="CX964" s="856"/>
      <c r="CY964" s="856"/>
      <c r="CZ964" s="856"/>
      <c r="DA964" s="126"/>
      <c r="DB964" s="126"/>
      <c r="DC964" s="126"/>
      <c r="DD964" s="126"/>
      <c r="DE964" s="856"/>
      <c r="DF964" s="856"/>
      <c r="DG964" s="856"/>
      <c r="DH964" s="856"/>
      <c r="DI964" s="856"/>
      <c r="DJ964" s="856"/>
      <c r="DK964" s="856"/>
      <c r="DL964" s="856"/>
      <c r="DM964" s="152"/>
      <c r="DN964" s="152"/>
      <c r="DO964" s="152"/>
      <c r="DP964" s="152"/>
      <c r="DQ964" s="152"/>
    </row>
    <row r="965" spans="1:121" s="35" customFormat="1" x14ac:dyDescent="0.2">
      <c r="A965" s="34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565"/>
      <c r="R965" s="1097"/>
      <c r="U965" s="39"/>
      <c r="CU965" s="875"/>
      <c r="CV965" s="875"/>
      <c r="CW965" s="875"/>
      <c r="CX965" s="856"/>
      <c r="CY965" s="856"/>
      <c r="CZ965" s="856"/>
      <c r="DA965" s="126"/>
      <c r="DB965" s="126"/>
      <c r="DC965" s="126"/>
      <c r="DD965" s="126"/>
      <c r="DE965" s="856"/>
      <c r="DF965" s="856"/>
      <c r="DG965" s="856"/>
      <c r="DH965" s="856"/>
      <c r="DI965" s="856"/>
      <c r="DJ965" s="856"/>
      <c r="DK965" s="856"/>
      <c r="DL965" s="856"/>
      <c r="DM965" s="152"/>
      <c r="DN965" s="152"/>
      <c r="DO965" s="152"/>
      <c r="DP965" s="152"/>
      <c r="DQ965" s="152"/>
    </row>
    <row r="966" spans="1:121" s="35" customFormat="1" x14ac:dyDescent="0.2">
      <c r="A966" s="34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565"/>
      <c r="R966" s="1097"/>
      <c r="U966" s="39"/>
      <c r="CU966" s="875"/>
      <c r="CV966" s="875"/>
      <c r="CW966" s="875"/>
      <c r="CX966" s="856"/>
      <c r="CY966" s="856"/>
      <c r="CZ966" s="856"/>
      <c r="DA966" s="126"/>
      <c r="DB966" s="126"/>
      <c r="DC966" s="126"/>
      <c r="DD966" s="126"/>
      <c r="DE966" s="856"/>
      <c r="DF966" s="856"/>
      <c r="DG966" s="856"/>
      <c r="DH966" s="856"/>
      <c r="DI966" s="856"/>
      <c r="DJ966" s="856"/>
      <c r="DK966" s="856"/>
      <c r="DL966" s="856"/>
      <c r="DM966" s="152"/>
      <c r="DN966" s="152"/>
      <c r="DO966" s="152"/>
      <c r="DP966" s="152"/>
      <c r="DQ966" s="152"/>
    </row>
    <row r="967" spans="1:121" s="35" customFormat="1" x14ac:dyDescent="0.2">
      <c r="A967" s="34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565"/>
      <c r="R967" s="1097"/>
      <c r="U967" s="39"/>
      <c r="CU967" s="875"/>
      <c r="CV967" s="875"/>
      <c r="CW967" s="875"/>
      <c r="CX967" s="856"/>
      <c r="CY967" s="856"/>
      <c r="CZ967" s="856"/>
      <c r="DA967" s="126"/>
      <c r="DB967" s="126"/>
      <c r="DC967" s="126"/>
      <c r="DD967" s="126"/>
      <c r="DE967" s="856"/>
      <c r="DF967" s="856"/>
      <c r="DG967" s="856"/>
      <c r="DH967" s="856"/>
      <c r="DI967" s="856"/>
      <c r="DJ967" s="856"/>
      <c r="DK967" s="856"/>
      <c r="DL967" s="856"/>
      <c r="DM967" s="152"/>
      <c r="DN967" s="152"/>
      <c r="DO967" s="152"/>
      <c r="DP967" s="152"/>
      <c r="DQ967" s="152"/>
    </row>
    <row r="968" spans="1:121" s="35" customFormat="1" x14ac:dyDescent="0.2">
      <c r="A968" s="34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565"/>
      <c r="R968" s="1097"/>
      <c r="U968" s="39"/>
      <c r="CU968" s="875"/>
      <c r="CV968" s="875"/>
      <c r="CW968" s="875"/>
      <c r="CX968" s="856"/>
      <c r="CY968" s="856"/>
      <c r="CZ968" s="856"/>
      <c r="DA968" s="126"/>
      <c r="DB968" s="126"/>
      <c r="DC968" s="126"/>
      <c r="DD968" s="126"/>
      <c r="DE968" s="856"/>
      <c r="DF968" s="856"/>
      <c r="DG968" s="856"/>
      <c r="DH968" s="856"/>
      <c r="DI968" s="856"/>
      <c r="DJ968" s="856"/>
      <c r="DK968" s="856"/>
      <c r="DL968" s="856"/>
      <c r="DM968" s="152"/>
      <c r="DN968" s="152"/>
      <c r="DO968" s="152"/>
      <c r="DP968" s="152"/>
      <c r="DQ968" s="152"/>
    </row>
    <row r="969" spans="1:121" s="35" customFormat="1" x14ac:dyDescent="0.2">
      <c r="A969" s="34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565"/>
      <c r="R969" s="1097"/>
      <c r="U969" s="39"/>
      <c r="CU969" s="875"/>
      <c r="CV969" s="875"/>
      <c r="CW969" s="875"/>
      <c r="CX969" s="856"/>
      <c r="CY969" s="856"/>
      <c r="CZ969" s="856"/>
      <c r="DA969" s="126"/>
      <c r="DB969" s="126"/>
      <c r="DC969" s="126"/>
      <c r="DD969" s="126"/>
      <c r="DE969" s="856"/>
      <c r="DF969" s="856"/>
      <c r="DG969" s="856"/>
      <c r="DH969" s="856"/>
      <c r="DI969" s="856"/>
      <c r="DJ969" s="856"/>
      <c r="DK969" s="856"/>
      <c r="DL969" s="856"/>
      <c r="DM969" s="152"/>
      <c r="DN969" s="152"/>
      <c r="DO969" s="152"/>
      <c r="DP969" s="152"/>
      <c r="DQ969" s="152"/>
    </row>
    <row r="970" spans="1:121" s="35" customFormat="1" x14ac:dyDescent="0.2">
      <c r="A970" s="34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565"/>
      <c r="R970" s="1097"/>
      <c r="U970" s="39"/>
      <c r="CU970" s="875"/>
      <c r="CV970" s="875"/>
      <c r="CW970" s="875"/>
      <c r="CX970" s="856"/>
      <c r="CY970" s="856"/>
      <c r="CZ970" s="856"/>
      <c r="DA970" s="126"/>
      <c r="DB970" s="126"/>
      <c r="DC970" s="126"/>
      <c r="DD970" s="126"/>
      <c r="DE970" s="856"/>
      <c r="DF970" s="856"/>
      <c r="DG970" s="856"/>
      <c r="DH970" s="856"/>
      <c r="DI970" s="856"/>
      <c r="DJ970" s="856"/>
      <c r="DK970" s="856"/>
      <c r="DL970" s="856"/>
      <c r="DM970" s="152"/>
      <c r="DN970" s="152"/>
      <c r="DO970" s="152"/>
      <c r="DP970" s="152"/>
      <c r="DQ970" s="152"/>
    </row>
    <row r="971" spans="1:121" s="35" customFormat="1" x14ac:dyDescent="0.2">
      <c r="A971" s="34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565"/>
      <c r="R971" s="1097"/>
      <c r="U971" s="39"/>
      <c r="CU971" s="875"/>
      <c r="CV971" s="875"/>
      <c r="CW971" s="875"/>
      <c r="CX971" s="856"/>
      <c r="CY971" s="856"/>
      <c r="CZ971" s="856"/>
      <c r="DA971" s="126"/>
      <c r="DB971" s="126"/>
      <c r="DC971" s="126"/>
      <c r="DD971" s="126"/>
      <c r="DE971" s="856"/>
      <c r="DF971" s="856"/>
      <c r="DG971" s="856"/>
      <c r="DH971" s="856"/>
      <c r="DI971" s="856"/>
      <c r="DJ971" s="856"/>
      <c r="DK971" s="856"/>
      <c r="DL971" s="856"/>
      <c r="DM971" s="152"/>
      <c r="DN971" s="152"/>
      <c r="DO971" s="152"/>
      <c r="DP971" s="152"/>
      <c r="DQ971" s="152"/>
    </row>
    <row r="972" spans="1:121" s="35" customFormat="1" x14ac:dyDescent="0.2">
      <c r="A972" s="34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565"/>
      <c r="R972" s="1097"/>
      <c r="U972" s="39"/>
      <c r="CU972" s="875"/>
      <c r="CV972" s="875"/>
      <c r="CW972" s="875"/>
      <c r="CX972" s="856"/>
      <c r="CY972" s="856"/>
      <c r="CZ972" s="856"/>
      <c r="DA972" s="126"/>
      <c r="DB972" s="126"/>
      <c r="DC972" s="126"/>
      <c r="DD972" s="126"/>
      <c r="DE972" s="856"/>
      <c r="DF972" s="856"/>
      <c r="DG972" s="856"/>
      <c r="DH972" s="856"/>
      <c r="DI972" s="856"/>
      <c r="DJ972" s="856"/>
      <c r="DK972" s="856"/>
      <c r="DL972" s="856"/>
      <c r="DM972" s="152"/>
      <c r="DN972" s="152"/>
      <c r="DO972" s="152"/>
      <c r="DP972" s="152"/>
      <c r="DQ972" s="152"/>
    </row>
    <row r="973" spans="1:121" s="35" customFormat="1" x14ac:dyDescent="0.2">
      <c r="A973" s="34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565"/>
      <c r="R973" s="1097"/>
      <c r="U973" s="39"/>
      <c r="CU973" s="875"/>
      <c r="CV973" s="875"/>
      <c r="CW973" s="875"/>
      <c r="CX973" s="856"/>
      <c r="CY973" s="856"/>
      <c r="CZ973" s="856"/>
      <c r="DA973" s="126"/>
      <c r="DB973" s="126"/>
      <c r="DC973" s="126"/>
      <c r="DD973" s="126"/>
      <c r="DE973" s="856"/>
      <c r="DF973" s="856"/>
      <c r="DG973" s="856"/>
      <c r="DH973" s="856"/>
      <c r="DI973" s="856"/>
      <c r="DJ973" s="856"/>
      <c r="DK973" s="856"/>
      <c r="DL973" s="856"/>
      <c r="DM973" s="152"/>
      <c r="DN973" s="152"/>
      <c r="DO973" s="152"/>
      <c r="DP973" s="152"/>
      <c r="DQ973" s="152"/>
    </row>
    <row r="974" spans="1:121" s="35" customFormat="1" x14ac:dyDescent="0.2">
      <c r="A974" s="34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565"/>
      <c r="R974" s="1097"/>
      <c r="U974" s="39"/>
      <c r="CU974" s="875"/>
      <c r="CV974" s="875"/>
      <c r="CW974" s="875"/>
      <c r="CX974" s="856"/>
      <c r="CY974" s="856"/>
      <c r="CZ974" s="856"/>
      <c r="DA974" s="126"/>
      <c r="DB974" s="126"/>
      <c r="DC974" s="126"/>
      <c r="DD974" s="126"/>
      <c r="DE974" s="856"/>
      <c r="DF974" s="856"/>
      <c r="DG974" s="856"/>
      <c r="DH974" s="856"/>
      <c r="DI974" s="856"/>
      <c r="DJ974" s="856"/>
      <c r="DK974" s="856"/>
      <c r="DL974" s="856"/>
      <c r="DM974" s="152"/>
      <c r="DN974" s="152"/>
      <c r="DO974" s="152"/>
      <c r="DP974" s="152"/>
      <c r="DQ974" s="152"/>
    </row>
    <row r="975" spans="1:121" s="35" customFormat="1" x14ac:dyDescent="0.2">
      <c r="A975" s="34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565"/>
      <c r="R975" s="1097"/>
      <c r="U975" s="39"/>
      <c r="CU975" s="875"/>
      <c r="CV975" s="875"/>
      <c r="CW975" s="875"/>
      <c r="CX975" s="856"/>
      <c r="CY975" s="856"/>
      <c r="CZ975" s="856"/>
      <c r="DA975" s="126"/>
      <c r="DB975" s="126"/>
      <c r="DC975" s="126"/>
      <c r="DD975" s="126"/>
      <c r="DE975" s="856"/>
      <c r="DF975" s="856"/>
      <c r="DG975" s="856"/>
      <c r="DH975" s="856"/>
      <c r="DI975" s="856"/>
      <c r="DJ975" s="856"/>
      <c r="DK975" s="856"/>
      <c r="DL975" s="856"/>
      <c r="DM975" s="152"/>
      <c r="DN975" s="152"/>
      <c r="DO975" s="152"/>
      <c r="DP975" s="152"/>
      <c r="DQ975" s="152"/>
    </row>
    <row r="976" spans="1:121" s="35" customFormat="1" x14ac:dyDescent="0.2">
      <c r="A976" s="34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565"/>
      <c r="R976" s="1097"/>
      <c r="U976" s="39"/>
      <c r="CU976" s="875"/>
      <c r="CV976" s="875"/>
      <c r="CW976" s="875"/>
      <c r="CX976" s="856"/>
      <c r="CY976" s="856"/>
      <c r="CZ976" s="856"/>
      <c r="DA976" s="126"/>
      <c r="DB976" s="126"/>
      <c r="DC976" s="126"/>
      <c r="DD976" s="126"/>
      <c r="DE976" s="856"/>
      <c r="DF976" s="856"/>
      <c r="DG976" s="856"/>
      <c r="DH976" s="856"/>
      <c r="DI976" s="856"/>
      <c r="DJ976" s="856"/>
      <c r="DK976" s="856"/>
      <c r="DL976" s="856"/>
      <c r="DM976" s="152"/>
      <c r="DN976" s="152"/>
      <c r="DO976" s="152"/>
      <c r="DP976" s="152"/>
      <c r="DQ976" s="152"/>
    </row>
    <row r="977" spans="1:121" s="35" customFormat="1" x14ac:dyDescent="0.2">
      <c r="A977" s="34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565"/>
      <c r="R977" s="1097"/>
      <c r="U977" s="39"/>
      <c r="CU977" s="875"/>
      <c r="CV977" s="875"/>
      <c r="CW977" s="875"/>
      <c r="CX977" s="856"/>
      <c r="CY977" s="856"/>
      <c r="CZ977" s="856"/>
      <c r="DA977" s="126"/>
      <c r="DB977" s="126"/>
      <c r="DC977" s="126"/>
      <c r="DD977" s="126"/>
      <c r="DE977" s="856"/>
      <c r="DF977" s="856"/>
      <c r="DG977" s="856"/>
      <c r="DH977" s="856"/>
      <c r="DI977" s="856"/>
      <c r="DJ977" s="856"/>
      <c r="DK977" s="856"/>
      <c r="DL977" s="856"/>
      <c r="DM977" s="152"/>
      <c r="DN977" s="152"/>
      <c r="DO977" s="152"/>
      <c r="DP977" s="152"/>
      <c r="DQ977" s="152"/>
    </row>
    <row r="978" spans="1:121" s="35" customFormat="1" x14ac:dyDescent="0.2">
      <c r="A978" s="34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565"/>
      <c r="R978" s="1097"/>
      <c r="U978" s="39"/>
      <c r="CU978" s="875"/>
      <c r="CV978" s="875"/>
      <c r="CW978" s="875"/>
      <c r="CX978" s="856"/>
      <c r="CY978" s="856"/>
      <c r="CZ978" s="856"/>
      <c r="DA978" s="126"/>
      <c r="DB978" s="126"/>
      <c r="DC978" s="126"/>
      <c r="DD978" s="126"/>
      <c r="DE978" s="856"/>
      <c r="DF978" s="856"/>
      <c r="DG978" s="856"/>
      <c r="DH978" s="856"/>
      <c r="DI978" s="856"/>
      <c r="DJ978" s="856"/>
      <c r="DK978" s="856"/>
      <c r="DL978" s="856"/>
      <c r="DM978" s="152"/>
      <c r="DN978" s="152"/>
      <c r="DO978" s="152"/>
      <c r="DP978" s="152"/>
      <c r="DQ978" s="152"/>
    </row>
    <row r="979" spans="1:121" s="35" customFormat="1" x14ac:dyDescent="0.2">
      <c r="A979" s="34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565"/>
      <c r="R979" s="1097"/>
      <c r="U979" s="39"/>
      <c r="CU979" s="875"/>
      <c r="CV979" s="875"/>
      <c r="CW979" s="875"/>
      <c r="CX979" s="856"/>
      <c r="CY979" s="856"/>
      <c r="CZ979" s="856"/>
      <c r="DA979" s="126"/>
      <c r="DB979" s="126"/>
      <c r="DC979" s="126"/>
      <c r="DD979" s="126"/>
      <c r="DE979" s="856"/>
      <c r="DF979" s="856"/>
      <c r="DG979" s="856"/>
      <c r="DH979" s="856"/>
      <c r="DI979" s="856"/>
      <c r="DJ979" s="856"/>
      <c r="DK979" s="856"/>
      <c r="DL979" s="856"/>
      <c r="DM979" s="152"/>
      <c r="DN979" s="152"/>
      <c r="DO979" s="152"/>
      <c r="DP979" s="152"/>
      <c r="DQ979" s="152"/>
    </row>
    <row r="980" spans="1:121" s="35" customFormat="1" x14ac:dyDescent="0.2">
      <c r="A980" s="34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565"/>
      <c r="R980" s="1097"/>
      <c r="U980" s="39"/>
      <c r="CU980" s="875"/>
      <c r="CV980" s="875"/>
      <c r="CW980" s="875"/>
      <c r="CX980" s="856"/>
      <c r="CY980" s="856"/>
      <c r="CZ980" s="856"/>
      <c r="DA980" s="126"/>
      <c r="DB980" s="126"/>
      <c r="DC980" s="126"/>
      <c r="DD980" s="126"/>
      <c r="DE980" s="856"/>
      <c r="DF980" s="856"/>
      <c r="DG980" s="856"/>
      <c r="DH980" s="856"/>
      <c r="DI980" s="856"/>
      <c r="DJ980" s="856"/>
      <c r="DK980" s="856"/>
      <c r="DL980" s="856"/>
      <c r="DM980" s="152"/>
      <c r="DN980" s="152"/>
      <c r="DO980" s="152"/>
      <c r="DP980" s="152"/>
      <c r="DQ980" s="152"/>
    </row>
    <row r="981" spans="1:121" s="35" customFormat="1" x14ac:dyDescent="0.2">
      <c r="A981" s="34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565"/>
      <c r="R981" s="1097"/>
      <c r="U981" s="39"/>
      <c r="CU981" s="875"/>
      <c r="CV981" s="875"/>
      <c r="CW981" s="875"/>
      <c r="CX981" s="856"/>
      <c r="CY981" s="856"/>
      <c r="CZ981" s="856"/>
      <c r="DA981" s="126"/>
      <c r="DB981" s="126"/>
      <c r="DC981" s="126"/>
      <c r="DD981" s="126"/>
      <c r="DE981" s="856"/>
      <c r="DF981" s="856"/>
      <c r="DG981" s="856"/>
      <c r="DH981" s="856"/>
      <c r="DI981" s="856"/>
      <c r="DJ981" s="856"/>
      <c r="DK981" s="856"/>
      <c r="DL981" s="856"/>
      <c r="DM981" s="152"/>
      <c r="DN981" s="152"/>
      <c r="DO981" s="152"/>
      <c r="DP981" s="152"/>
      <c r="DQ981" s="152"/>
    </row>
    <row r="982" spans="1:121" s="35" customFormat="1" x14ac:dyDescent="0.2">
      <c r="A982" s="34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565"/>
      <c r="R982" s="1097"/>
      <c r="U982" s="39"/>
      <c r="CU982" s="875"/>
      <c r="CV982" s="875"/>
      <c r="CW982" s="875"/>
      <c r="CX982" s="856"/>
      <c r="CY982" s="856"/>
      <c r="CZ982" s="856"/>
      <c r="DA982" s="126"/>
      <c r="DB982" s="126"/>
      <c r="DC982" s="126"/>
      <c r="DD982" s="126"/>
      <c r="DE982" s="856"/>
      <c r="DF982" s="856"/>
      <c r="DG982" s="856"/>
      <c r="DH982" s="856"/>
      <c r="DI982" s="856"/>
      <c r="DJ982" s="856"/>
      <c r="DK982" s="856"/>
      <c r="DL982" s="856"/>
      <c r="DM982" s="152"/>
      <c r="DN982" s="152"/>
      <c r="DO982" s="152"/>
      <c r="DP982" s="152"/>
      <c r="DQ982" s="152"/>
    </row>
    <row r="983" spans="1:121" s="35" customFormat="1" x14ac:dyDescent="0.2">
      <c r="A983" s="34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565"/>
      <c r="R983" s="1097"/>
      <c r="U983" s="39"/>
      <c r="CU983" s="875"/>
      <c r="CV983" s="875"/>
      <c r="CW983" s="875"/>
      <c r="CX983" s="856"/>
      <c r="CY983" s="856"/>
      <c r="CZ983" s="856"/>
      <c r="DA983" s="126"/>
      <c r="DB983" s="126"/>
      <c r="DC983" s="126"/>
      <c r="DD983" s="126"/>
      <c r="DE983" s="856"/>
      <c r="DF983" s="856"/>
      <c r="DG983" s="856"/>
      <c r="DH983" s="856"/>
      <c r="DI983" s="856"/>
      <c r="DJ983" s="856"/>
      <c r="DK983" s="856"/>
      <c r="DL983" s="856"/>
      <c r="DM983" s="152"/>
      <c r="DN983" s="152"/>
      <c r="DO983" s="152"/>
      <c r="DP983" s="152"/>
      <c r="DQ983" s="152"/>
    </row>
    <row r="984" spans="1:121" s="35" customFormat="1" x14ac:dyDescent="0.2">
      <c r="A984" s="34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565"/>
      <c r="R984" s="1097"/>
      <c r="U984" s="39"/>
      <c r="CU984" s="875"/>
      <c r="CV984" s="875"/>
      <c r="CW984" s="875"/>
      <c r="CX984" s="856"/>
      <c r="CY984" s="856"/>
      <c r="CZ984" s="856"/>
      <c r="DA984" s="126"/>
      <c r="DB984" s="126"/>
      <c r="DC984" s="126"/>
      <c r="DD984" s="126"/>
      <c r="DE984" s="856"/>
      <c r="DF984" s="856"/>
      <c r="DG984" s="856"/>
      <c r="DH984" s="856"/>
      <c r="DI984" s="856"/>
      <c r="DJ984" s="856"/>
      <c r="DK984" s="856"/>
      <c r="DL984" s="856"/>
      <c r="DM984" s="152"/>
      <c r="DN984" s="152"/>
      <c r="DO984" s="152"/>
      <c r="DP984" s="152"/>
      <c r="DQ984" s="152"/>
    </row>
    <row r="985" spans="1:121" s="35" customFormat="1" x14ac:dyDescent="0.2">
      <c r="A985" s="34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565"/>
      <c r="R985" s="1097"/>
      <c r="U985" s="39"/>
      <c r="CU985" s="875"/>
      <c r="CV985" s="875"/>
      <c r="CW985" s="875"/>
      <c r="CX985" s="856"/>
      <c r="CY985" s="856"/>
      <c r="CZ985" s="856"/>
      <c r="DA985" s="126"/>
      <c r="DB985" s="126"/>
      <c r="DC985" s="126"/>
      <c r="DD985" s="126"/>
      <c r="DE985" s="856"/>
      <c r="DF985" s="856"/>
      <c r="DG985" s="856"/>
      <c r="DH985" s="856"/>
      <c r="DI985" s="856"/>
      <c r="DJ985" s="856"/>
      <c r="DK985" s="856"/>
      <c r="DL985" s="856"/>
      <c r="DM985" s="152"/>
      <c r="DN985" s="152"/>
      <c r="DO985" s="152"/>
      <c r="DP985" s="152"/>
      <c r="DQ985" s="152"/>
    </row>
    <row r="986" spans="1:121" s="35" customFormat="1" x14ac:dyDescent="0.2">
      <c r="A986" s="34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565"/>
      <c r="R986" s="1097"/>
      <c r="U986" s="39"/>
      <c r="CU986" s="875"/>
      <c r="CV986" s="875"/>
      <c r="CW986" s="875"/>
      <c r="CX986" s="856"/>
      <c r="CY986" s="856"/>
      <c r="CZ986" s="856"/>
      <c r="DA986" s="126"/>
      <c r="DB986" s="126"/>
      <c r="DC986" s="126"/>
      <c r="DD986" s="126"/>
      <c r="DE986" s="856"/>
      <c r="DF986" s="856"/>
      <c r="DG986" s="856"/>
      <c r="DH986" s="856"/>
      <c r="DI986" s="856"/>
      <c r="DJ986" s="856"/>
      <c r="DK986" s="856"/>
      <c r="DL986" s="856"/>
      <c r="DM986" s="152"/>
      <c r="DN986" s="152"/>
      <c r="DO986" s="152"/>
      <c r="DP986" s="152"/>
      <c r="DQ986" s="152"/>
    </row>
    <row r="987" spans="1:121" s="35" customFormat="1" x14ac:dyDescent="0.2">
      <c r="A987" s="34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565"/>
      <c r="R987" s="1097"/>
      <c r="U987" s="39"/>
      <c r="CU987" s="875"/>
      <c r="CV987" s="875"/>
      <c r="CW987" s="875"/>
      <c r="CX987" s="856"/>
      <c r="CY987" s="856"/>
      <c r="CZ987" s="856"/>
      <c r="DA987" s="126"/>
      <c r="DB987" s="126"/>
      <c r="DC987" s="126"/>
      <c r="DD987" s="126"/>
      <c r="DE987" s="856"/>
      <c r="DF987" s="856"/>
      <c r="DG987" s="856"/>
      <c r="DH987" s="856"/>
      <c r="DI987" s="856"/>
      <c r="DJ987" s="856"/>
      <c r="DK987" s="856"/>
      <c r="DL987" s="856"/>
      <c r="DM987" s="152"/>
      <c r="DN987" s="152"/>
      <c r="DO987" s="152"/>
      <c r="DP987" s="152"/>
      <c r="DQ987" s="152"/>
    </row>
    <row r="988" spans="1:121" s="35" customFormat="1" x14ac:dyDescent="0.2">
      <c r="A988" s="34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565"/>
      <c r="R988" s="1097"/>
      <c r="U988" s="39"/>
      <c r="CU988" s="875"/>
      <c r="CV988" s="875"/>
      <c r="CW988" s="875"/>
      <c r="CX988" s="856"/>
      <c r="CY988" s="856"/>
      <c r="CZ988" s="856"/>
      <c r="DA988" s="126"/>
      <c r="DB988" s="126"/>
      <c r="DC988" s="126"/>
      <c r="DD988" s="126"/>
      <c r="DE988" s="856"/>
      <c r="DF988" s="856"/>
      <c r="DG988" s="856"/>
      <c r="DH988" s="856"/>
      <c r="DI988" s="856"/>
      <c r="DJ988" s="856"/>
      <c r="DK988" s="856"/>
      <c r="DL988" s="856"/>
      <c r="DM988" s="152"/>
      <c r="DN988" s="152"/>
      <c r="DO988" s="152"/>
      <c r="DP988" s="152"/>
      <c r="DQ988" s="152"/>
    </row>
    <row r="989" spans="1:121" s="35" customFormat="1" x14ac:dyDescent="0.2">
      <c r="A989" s="34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565"/>
      <c r="R989" s="1097"/>
      <c r="U989" s="39"/>
      <c r="CU989" s="875"/>
      <c r="CV989" s="875"/>
      <c r="CW989" s="875"/>
      <c r="CX989" s="856"/>
      <c r="CY989" s="856"/>
      <c r="CZ989" s="856"/>
      <c r="DA989" s="126"/>
      <c r="DB989" s="126"/>
      <c r="DC989" s="126"/>
      <c r="DD989" s="126"/>
      <c r="DE989" s="856"/>
      <c r="DF989" s="856"/>
      <c r="DG989" s="856"/>
      <c r="DH989" s="856"/>
      <c r="DI989" s="856"/>
      <c r="DJ989" s="856"/>
      <c r="DK989" s="856"/>
      <c r="DL989" s="856"/>
      <c r="DM989" s="152"/>
      <c r="DN989" s="152"/>
      <c r="DO989" s="152"/>
      <c r="DP989" s="152"/>
      <c r="DQ989" s="152"/>
    </row>
    <row r="990" spans="1:121" s="35" customFormat="1" x14ac:dyDescent="0.2">
      <c r="A990" s="34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565"/>
      <c r="R990" s="1097"/>
      <c r="U990" s="39"/>
      <c r="CU990" s="875"/>
      <c r="CV990" s="875"/>
      <c r="CW990" s="875"/>
      <c r="CX990" s="856"/>
      <c r="CY990" s="856"/>
      <c r="CZ990" s="856"/>
      <c r="DA990" s="126"/>
      <c r="DB990" s="126"/>
      <c r="DC990" s="126"/>
      <c r="DD990" s="126"/>
      <c r="DE990" s="856"/>
      <c r="DF990" s="856"/>
      <c r="DG990" s="856"/>
      <c r="DH990" s="856"/>
      <c r="DI990" s="856"/>
      <c r="DJ990" s="856"/>
      <c r="DK990" s="856"/>
      <c r="DL990" s="856"/>
      <c r="DM990" s="152"/>
      <c r="DN990" s="152"/>
      <c r="DO990" s="152"/>
      <c r="DP990" s="152"/>
      <c r="DQ990" s="152"/>
    </row>
    <row r="991" spans="1:121" s="35" customFormat="1" x14ac:dyDescent="0.2">
      <c r="A991" s="34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565"/>
      <c r="R991" s="1097"/>
      <c r="U991" s="39"/>
      <c r="CU991" s="875"/>
      <c r="CV991" s="875"/>
      <c r="CW991" s="875"/>
      <c r="CX991" s="856"/>
      <c r="CY991" s="856"/>
      <c r="CZ991" s="856"/>
      <c r="DA991" s="126"/>
      <c r="DB991" s="126"/>
      <c r="DC991" s="126"/>
      <c r="DD991" s="126"/>
      <c r="DE991" s="856"/>
      <c r="DF991" s="856"/>
      <c r="DG991" s="856"/>
      <c r="DH991" s="856"/>
      <c r="DI991" s="856"/>
      <c r="DJ991" s="856"/>
      <c r="DK991" s="856"/>
      <c r="DL991" s="856"/>
      <c r="DM991" s="152"/>
      <c r="DN991" s="152"/>
      <c r="DO991" s="152"/>
      <c r="DP991" s="152"/>
      <c r="DQ991" s="152"/>
    </row>
    <row r="992" spans="1:121" s="35" customFormat="1" x14ac:dyDescent="0.2">
      <c r="A992" s="34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565"/>
      <c r="R992" s="1097"/>
      <c r="U992" s="39"/>
      <c r="CU992" s="875"/>
      <c r="CV992" s="875"/>
      <c r="CW992" s="875"/>
      <c r="CX992" s="856"/>
      <c r="CY992" s="856"/>
      <c r="CZ992" s="856"/>
      <c r="DA992" s="126"/>
      <c r="DB992" s="126"/>
      <c r="DC992" s="126"/>
      <c r="DD992" s="126"/>
      <c r="DE992" s="856"/>
      <c r="DF992" s="856"/>
      <c r="DG992" s="856"/>
      <c r="DH992" s="856"/>
      <c r="DI992" s="856"/>
      <c r="DJ992" s="856"/>
      <c r="DK992" s="856"/>
      <c r="DL992" s="856"/>
      <c r="DM992" s="152"/>
      <c r="DN992" s="152"/>
      <c r="DO992" s="152"/>
      <c r="DP992" s="152"/>
      <c r="DQ992" s="152"/>
    </row>
    <row r="993" spans="1:121" s="35" customFormat="1" x14ac:dyDescent="0.2">
      <c r="A993" s="34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565"/>
      <c r="R993" s="1097"/>
      <c r="U993" s="39"/>
      <c r="CU993" s="875"/>
      <c r="CV993" s="875"/>
      <c r="CW993" s="875"/>
      <c r="CX993" s="856"/>
      <c r="CY993" s="856"/>
      <c r="CZ993" s="856"/>
      <c r="DA993" s="126"/>
      <c r="DB993" s="126"/>
      <c r="DC993" s="126"/>
      <c r="DD993" s="126"/>
      <c r="DE993" s="856"/>
      <c r="DF993" s="856"/>
      <c r="DG993" s="856"/>
      <c r="DH993" s="856"/>
      <c r="DI993" s="856"/>
      <c r="DJ993" s="856"/>
      <c r="DK993" s="856"/>
      <c r="DL993" s="856"/>
      <c r="DM993" s="152"/>
      <c r="DN993" s="152"/>
      <c r="DO993" s="152"/>
      <c r="DP993" s="152"/>
      <c r="DQ993" s="152"/>
    </row>
    <row r="994" spans="1:121" s="35" customFormat="1" x14ac:dyDescent="0.2">
      <c r="A994" s="34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565"/>
      <c r="R994" s="1097"/>
      <c r="U994" s="39"/>
      <c r="CU994" s="875"/>
      <c r="CV994" s="875"/>
      <c r="CW994" s="875"/>
      <c r="CX994" s="856"/>
      <c r="CY994" s="856"/>
      <c r="CZ994" s="856"/>
      <c r="DA994" s="126"/>
      <c r="DB994" s="126"/>
      <c r="DC994" s="126"/>
      <c r="DD994" s="126"/>
      <c r="DE994" s="856"/>
      <c r="DF994" s="856"/>
      <c r="DG994" s="856"/>
      <c r="DH994" s="856"/>
      <c r="DI994" s="856"/>
      <c r="DJ994" s="856"/>
      <c r="DK994" s="856"/>
      <c r="DL994" s="856"/>
      <c r="DM994" s="152"/>
      <c r="DN994" s="152"/>
      <c r="DO994" s="152"/>
      <c r="DP994" s="152"/>
      <c r="DQ994" s="152"/>
    </row>
    <row r="995" spans="1:121" s="35" customFormat="1" x14ac:dyDescent="0.2">
      <c r="A995" s="34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N995" s="148"/>
      <c r="O995" s="148"/>
      <c r="P995" s="148"/>
      <c r="Q995" s="1565"/>
      <c r="R995" s="1097"/>
      <c r="U995" s="39"/>
      <c r="CU995" s="875"/>
      <c r="CV995" s="875"/>
      <c r="CW995" s="875"/>
      <c r="CX995" s="856"/>
      <c r="CY995" s="856"/>
      <c r="CZ995" s="856"/>
      <c r="DA995" s="126"/>
      <c r="DB995" s="126"/>
      <c r="DC995" s="126"/>
      <c r="DD995" s="126"/>
      <c r="DE995" s="856"/>
      <c r="DF995" s="856"/>
      <c r="DG995" s="856"/>
      <c r="DH995" s="856"/>
      <c r="DI995" s="856"/>
      <c r="DJ995" s="856"/>
      <c r="DK995" s="856"/>
      <c r="DL995" s="856"/>
      <c r="DM995" s="152"/>
      <c r="DN995" s="152"/>
      <c r="DO995" s="152"/>
      <c r="DP995" s="152"/>
      <c r="DQ995" s="152"/>
    </row>
    <row r="996" spans="1:121" s="35" customFormat="1" x14ac:dyDescent="0.2">
      <c r="A996" s="34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565"/>
      <c r="R996" s="1097"/>
      <c r="U996" s="39"/>
      <c r="CU996" s="875"/>
      <c r="CV996" s="875"/>
      <c r="CW996" s="875"/>
      <c r="CX996" s="856"/>
      <c r="CY996" s="856"/>
      <c r="CZ996" s="856"/>
      <c r="DA996" s="126"/>
      <c r="DB996" s="126"/>
      <c r="DC996" s="126"/>
      <c r="DD996" s="126"/>
      <c r="DE996" s="856"/>
      <c r="DF996" s="856"/>
      <c r="DG996" s="856"/>
      <c r="DH996" s="856"/>
      <c r="DI996" s="856"/>
      <c r="DJ996" s="856"/>
      <c r="DK996" s="856"/>
      <c r="DL996" s="856"/>
      <c r="DM996" s="152"/>
      <c r="DN996" s="152"/>
      <c r="DO996" s="152"/>
      <c r="DP996" s="152"/>
      <c r="DQ996" s="152"/>
    </row>
    <row r="997" spans="1:121" s="35" customFormat="1" x14ac:dyDescent="0.2">
      <c r="A997" s="34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565"/>
      <c r="R997" s="1097"/>
      <c r="U997" s="39"/>
      <c r="CU997" s="875"/>
      <c r="CV997" s="875"/>
      <c r="CW997" s="875"/>
      <c r="CX997" s="856"/>
      <c r="CY997" s="856"/>
      <c r="CZ997" s="856"/>
      <c r="DA997" s="126"/>
      <c r="DB997" s="126"/>
      <c r="DC997" s="126"/>
      <c r="DD997" s="126"/>
      <c r="DE997" s="856"/>
      <c r="DF997" s="856"/>
      <c r="DG997" s="856"/>
      <c r="DH997" s="856"/>
      <c r="DI997" s="856"/>
      <c r="DJ997" s="856"/>
      <c r="DK997" s="856"/>
      <c r="DL997" s="856"/>
      <c r="DM997" s="152"/>
      <c r="DN997" s="152"/>
      <c r="DO997" s="152"/>
      <c r="DP997" s="152"/>
      <c r="DQ997" s="152"/>
    </row>
    <row r="998" spans="1:121" s="35" customFormat="1" x14ac:dyDescent="0.2">
      <c r="A998" s="34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565"/>
      <c r="R998" s="1097"/>
      <c r="U998" s="39"/>
      <c r="CU998" s="875"/>
      <c r="CV998" s="875"/>
      <c r="CW998" s="875"/>
      <c r="CX998" s="856"/>
      <c r="CY998" s="856"/>
      <c r="CZ998" s="856"/>
      <c r="DA998" s="126"/>
      <c r="DB998" s="126"/>
      <c r="DC998" s="126"/>
      <c r="DD998" s="126"/>
      <c r="DE998" s="856"/>
      <c r="DF998" s="856"/>
      <c r="DG998" s="856"/>
      <c r="DH998" s="856"/>
      <c r="DI998" s="856"/>
      <c r="DJ998" s="856"/>
      <c r="DK998" s="856"/>
      <c r="DL998" s="856"/>
      <c r="DM998" s="152"/>
      <c r="DN998" s="152"/>
      <c r="DO998" s="152"/>
      <c r="DP998" s="152"/>
      <c r="DQ998" s="152"/>
    </row>
    <row r="999" spans="1:121" s="35" customFormat="1" x14ac:dyDescent="0.2">
      <c r="A999" s="34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565"/>
      <c r="R999" s="1097"/>
      <c r="U999" s="39"/>
      <c r="CU999" s="875"/>
      <c r="CV999" s="875"/>
      <c r="CW999" s="875"/>
      <c r="CX999" s="856"/>
      <c r="CY999" s="856"/>
      <c r="CZ999" s="856"/>
      <c r="DA999" s="126"/>
      <c r="DB999" s="126"/>
      <c r="DC999" s="126"/>
      <c r="DD999" s="126"/>
      <c r="DE999" s="856"/>
      <c r="DF999" s="856"/>
      <c r="DG999" s="856"/>
      <c r="DH999" s="856"/>
      <c r="DI999" s="856"/>
      <c r="DJ999" s="856"/>
      <c r="DK999" s="856"/>
      <c r="DL999" s="856"/>
      <c r="DM999" s="152"/>
      <c r="DN999" s="152"/>
      <c r="DO999" s="152"/>
      <c r="DP999" s="152"/>
      <c r="DQ999" s="152"/>
    </row>
    <row r="1000" spans="1:121" s="35" customFormat="1" x14ac:dyDescent="0.2">
      <c r="A1000" s="34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565"/>
      <c r="R1000" s="1097"/>
      <c r="U1000" s="39"/>
      <c r="CU1000" s="875"/>
      <c r="CV1000" s="875"/>
      <c r="CW1000" s="875"/>
      <c r="CX1000" s="856"/>
      <c r="CY1000" s="856"/>
      <c r="CZ1000" s="856"/>
      <c r="DA1000" s="126"/>
      <c r="DB1000" s="126"/>
      <c r="DC1000" s="126"/>
      <c r="DD1000" s="126"/>
      <c r="DE1000" s="856"/>
      <c r="DF1000" s="856"/>
      <c r="DG1000" s="856"/>
      <c r="DH1000" s="856"/>
      <c r="DI1000" s="856"/>
      <c r="DJ1000" s="856"/>
      <c r="DK1000" s="856"/>
      <c r="DL1000" s="856"/>
      <c r="DM1000" s="152"/>
      <c r="DN1000" s="152"/>
      <c r="DO1000" s="152"/>
      <c r="DP1000" s="152"/>
      <c r="DQ1000" s="152"/>
    </row>
    <row r="1001" spans="1:121" s="35" customFormat="1" x14ac:dyDescent="0.2">
      <c r="A1001" s="34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N1001" s="148"/>
      <c r="O1001" s="148"/>
      <c r="P1001" s="148"/>
      <c r="Q1001" s="1565"/>
      <c r="R1001" s="1097"/>
      <c r="U1001" s="39"/>
      <c r="CU1001" s="875"/>
      <c r="CV1001" s="875"/>
      <c r="CW1001" s="875"/>
      <c r="CX1001" s="856"/>
      <c r="CY1001" s="856"/>
      <c r="CZ1001" s="856"/>
      <c r="DA1001" s="126"/>
      <c r="DB1001" s="126"/>
      <c r="DC1001" s="126"/>
      <c r="DD1001" s="126"/>
      <c r="DE1001" s="856"/>
      <c r="DF1001" s="856"/>
      <c r="DG1001" s="856"/>
      <c r="DH1001" s="856"/>
      <c r="DI1001" s="856"/>
      <c r="DJ1001" s="856"/>
      <c r="DK1001" s="856"/>
      <c r="DL1001" s="856"/>
      <c r="DM1001" s="152"/>
      <c r="DN1001" s="152"/>
      <c r="DO1001" s="152"/>
      <c r="DP1001" s="152"/>
      <c r="DQ1001" s="152"/>
    </row>
    <row r="1002" spans="1:121" s="35" customFormat="1" x14ac:dyDescent="0.2">
      <c r="A1002" s="34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N1002" s="148"/>
      <c r="O1002" s="148"/>
      <c r="P1002" s="148"/>
      <c r="Q1002" s="1565"/>
      <c r="R1002" s="1097"/>
      <c r="U1002" s="39"/>
      <c r="CU1002" s="875"/>
      <c r="CV1002" s="875"/>
      <c r="CW1002" s="875"/>
      <c r="CX1002" s="856"/>
      <c r="CY1002" s="856"/>
      <c r="CZ1002" s="856"/>
      <c r="DA1002" s="126"/>
      <c r="DB1002" s="126"/>
      <c r="DC1002" s="126"/>
      <c r="DD1002" s="126"/>
      <c r="DE1002" s="856"/>
      <c r="DF1002" s="856"/>
      <c r="DG1002" s="856"/>
      <c r="DH1002" s="856"/>
      <c r="DI1002" s="856"/>
      <c r="DJ1002" s="856"/>
      <c r="DK1002" s="856"/>
      <c r="DL1002" s="856"/>
      <c r="DM1002" s="152"/>
      <c r="DN1002" s="152"/>
      <c r="DO1002" s="152"/>
      <c r="DP1002" s="152"/>
      <c r="DQ1002" s="152"/>
    </row>
    <row r="1003" spans="1:121" s="35" customFormat="1" x14ac:dyDescent="0.2">
      <c r="A1003" s="34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  <c r="N1003" s="148"/>
      <c r="O1003" s="148"/>
      <c r="P1003" s="148"/>
      <c r="Q1003" s="1565"/>
      <c r="R1003" s="1097"/>
      <c r="U1003" s="39"/>
      <c r="CU1003" s="875"/>
      <c r="CV1003" s="875"/>
      <c r="CW1003" s="875"/>
      <c r="CX1003" s="856"/>
      <c r="CY1003" s="856"/>
      <c r="CZ1003" s="856"/>
      <c r="DA1003" s="126"/>
      <c r="DB1003" s="126"/>
      <c r="DC1003" s="126"/>
      <c r="DD1003" s="126"/>
      <c r="DE1003" s="856"/>
      <c r="DF1003" s="856"/>
      <c r="DG1003" s="856"/>
      <c r="DH1003" s="856"/>
      <c r="DI1003" s="856"/>
      <c r="DJ1003" s="856"/>
      <c r="DK1003" s="856"/>
      <c r="DL1003" s="856"/>
      <c r="DM1003" s="152"/>
      <c r="DN1003" s="152"/>
      <c r="DO1003" s="152"/>
      <c r="DP1003" s="152"/>
      <c r="DQ1003" s="152"/>
    </row>
    <row r="1004" spans="1:121" s="35" customFormat="1" x14ac:dyDescent="0.2">
      <c r="A1004" s="34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  <c r="N1004" s="148"/>
      <c r="O1004" s="148"/>
      <c r="P1004" s="148"/>
      <c r="Q1004" s="1565"/>
      <c r="R1004" s="1097"/>
      <c r="U1004" s="39"/>
      <c r="CU1004" s="875"/>
      <c r="CV1004" s="875"/>
      <c r="CW1004" s="875"/>
      <c r="CX1004" s="856"/>
      <c r="CY1004" s="856"/>
      <c r="CZ1004" s="856"/>
      <c r="DA1004" s="126"/>
      <c r="DB1004" s="126"/>
      <c r="DC1004" s="126"/>
      <c r="DD1004" s="126"/>
      <c r="DE1004" s="856"/>
      <c r="DF1004" s="856"/>
      <c r="DG1004" s="856"/>
      <c r="DH1004" s="856"/>
      <c r="DI1004" s="856"/>
      <c r="DJ1004" s="856"/>
      <c r="DK1004" s="856"/>
      <c r="DL1004" s="856"/>
      <c r="DM1004" s="152"/>
      <c r="DN1004" s="152"/>
      <c r="DO1004" s="152"/>
      <c r="DP1004" s="152"/>
      <c r="DQ1004" s="152"/>
    </row>
    <row r="1005" spans="1:121" s="35" customFormat="1" x14ac:dyDescent="0.2">
      <c r="A1005" s="34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  <c r="N1005" s="148"/>
      <c r="O1005" s="148"/>
      <c r="P1005" s="148"/>
      <c r="Q1005" s="1565"/>
      <c r="R1005" s="1097"/>
      <c r="U1005" s="39"/>
      <c r="CU1005" s="875"/>
      <c r="CV1005" s="875"/>
      <c r="CW1005" s="875"/>
      <c r="CX1005" s="856"/>
      <c r="CY1005" s="856"/>
      <c r="CZ1005" s="856"/>
      <c r="DA1005" s="126"/>
      <c r="DB1005" s="126"/>
      <c r="DC1005" s="126"/>
      <c r="DD1005" s="126"/>
      <c r="DE1005" s="856"/>
      <c r="DF1005" s="856"/>
      <c r="DG1005" s="856"/>
      <c r="DH1005" s="856"/>
      <c r="DI1005" s="856"/>
      <c r="DJ1005" s="856"/>
      <c r="DK1005" s="856"/>
      <c r="DL1005" s="856"/>
      <c r="DM1005" s="152"/>
      <c r="DN1005" s="152"/>
      <c r="DO1005" s="152"/>
      <c r="DP1005" s="152"/>
      <c r="DQ1005" s="152"/>
    </row>
    <row r="1006" spans="1:121" s="35" customFormat="1" x14ac:dyDescent="0.2">
      <c r="A1006" s="34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N1006" s="148"/>
      <c r="O1006" s="148"/>
      <c r="P1006" s="148"/>
      <c r="Q1006" s="1565"/>
      <c r="R1006" s="1097"/>
      <c r="U1006" s="39"/>
      <c r="CU1006" s="875"/>
      <c r="CV1006" s="875"/>
      <c r="CW1006" s="875"/>
      <c r="CX1006" s="856"/>
      <c r="CY1006" s="856"/>
      <c r="CZ1006" s="856"/>
      <c r="DA1006" s="126"/>
      <c r="DB1006" s="126"/>
      <c r="DC1006" s="126"/>
      <c r="DD1006" s="126"/>
      <c r="DE1006" s="856"/>
      <c r="DF1006" s="856"/>
      <c r="DG1006" s="856"/>
      <c r="DH1006" s="856"/>
      <c r="DI1006" s="856"/>
      <c r="DJ1006" s="856"/>
      <c r="DK1006" s="856"/>
      <c r="DL1006" s="856"/>
      <c r="DM1006" s="152"/>
      <c r="DN1006" s="152"/>
      <c r="DO1006" s="152"/>
      <c r="DP1006" s="152"/>
      <c r="DQ1006" s="152"/>
    </row>
    <row r="1007" spans="1:121" s="35" customFormat="1" x14ac:dyDescent="0.2">
      <c r="A1007" s="34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N1007" s="148"/>
      <c r="O1007" s="148"/>
      <c r="P1007" s="148"/>
      <c r="Q1007" s="1565"/>
      <c r="R1007" s="1097"/>
      <c r="U1007" s="39"/>
      <c r="CU1007" s="875"/>
      <c r="CV1007" s="875"/>
      <c r="CW1007" s="875"/>
      <c r="CX1007" s="856"/>
      <c r="CY1007" s="856"/>
      <c r="CZ1007" s="856"/>
      <c r="DA1007" s="126"/>
      <c r="DB1007" s="126"/>
      <c r="DC1007" s="126"/>
      <c r="DD1007" s="126"/>
      <c r="DE1007" s="856"/>
      <c r="DF1007" s="856"/>
      <c r="DG1007" s="856"/>
      <c r="DH1007" s="856"/>
      <c r="DI1007" s="856"/>
      <c r="DJ1007" s="856"/>
      <c r="DK1007" s="856"/>
      <c r="DL1007" s="856"/>
      <c r="DM1007" s="152"/>
      <c r="DN1007" s="152"/>
      <c r="DO1007" s="152"/>
      <c r="DP1007" s="152"/>
      <c r="DQ1007" s="152"/>
    </row>
    <row r="1008" spans="1:121" s="35" customFormat="1" x14ac:dyDescent="0.2">
      <c r="A1008" s="34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  <c r="N1008" s="148"/>
      <c r="O1008" s="148"/>
      <c r="P1008" s="148"/>
      <c r="Q1008" s="1565"/>
      <c r="R1008" s="1097"/>
      <c r="U1008" s="39"/>
      <c r="CU1008" s="875"/>
      <c r="CV1008" s="875"/>
      <c r="CW1008" s="875"/>
      <c r="CX1008" s="856"/>
      <c r="CY1008" s="856"/>
      <c r="CZ1008" s="856"/>
      <c r="DA1008" s="126"/>
      <c r="DB1008" s="126"/>
      <c r="DC1008" s="126"/>
      <c r="DD1008" s="126"/>
      <c r="DE1008" s="856"/>
      <c r="DF1008" s="856"/>
      <c r="DG1008" s="856"/>
      <c r="DH1008" s="856"/>
      <c r="DI1008" s="856"/>
      <c r="DJ1008" s="856"/>
      <c r="DK1008" s="856"/>
      <c r="DL1008" s="856"/>
      <c r="DM1008" s="152"/>
      <c r="DN1008" s="152"/>
      <c r="DO1008" s="152"/>
      <c r="DP1008" s="152"/>
      <c r="DQ1008" s="152"/>
    </row>
    <row r="1009" spans="1:121" s="35" customFormat="1" x14ac:dyDescent="0.2">
      <c r="A1009" s="34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  <c r="N1009" s="148"/>
      <c r="O1009" s="148"/>
      <c r="P1009" s="148"/>
      <c r="Q1009" s="1565"/>
      <c r="R1009" s="1097"/>
      <c r="U1009" s="39"/>
      <c r="CU1009" s="875"/>
      <c r="CV1009" s="875"/>
      <c r="CW1009" s="875"/>
      <c r="CX1009" s="856"/>
      <c r="CY1009" s="856"/>
      <c r="CZ1009" s="856"/>
      <c r="DA1009" s="126"/>
      <c r="DB1009" s="126"/>
      <c r="DC1009" s="126"/>
      <c r="DD1009" s="126"/>
      <c r="DE1009" s="856"/>
      <c r="DF1009" s="856"/>
      <c r="DG1009" s="856"/>
      <c r="DH1009" s="856"/>
      <c r="DI1009" s="856"/>
      <c r="DJ1009" s="856"/>
      <c r="DK1009" s="856"/>
      <c r="DL1009" s="856"/>
      <c r="DM1009" s="152"/>
      <c r="DN1009" s="152"/>
      <c r="DO1009" s="152"/>
      <c r="DP1009" s="152"/>
      <c r="DQ1009" s="152"/>
    </row>
    <row r="1010" spans="1:121" s="35" customFormat="1" x14ac:dyDescent="0.2">
      <c r="A1010" s="34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  <c r="N1010" s="148"/>
      <c r="O1010" s="148"/>
      <c r="P1010" s="148"/>
      <c r="Q1010" s="1565"/>
      <c r="R1010" s="1097"/>
      <c r="U1010" s="39"/>
      <c r="CU1010" s="875"/>
      <c r="CV1010" s="875"/>
      <c r="CW1010" s="875"/>
      <c r="CX1010" s="856"/>
      <c r="CY1010" s="856"/>
      <c r="CZ1010" s="856"/>
      <c r="DA1010" s="126"/>
      <c r="DB1010" s="126"/>
      <c r="DC1010" s="126"/>
      <c r="DD1010" s="126"/>
      <c r="DE1010" s="856"/>
      <c r="DF1010" s="856"/>
      <c r="DG1010" s="856"/>
      <c r="DH1010" s="856"/>
      <c r="DI1010" s="856"/>
      <c r="DJ1010" s="856"/>
      <c r="DK1010" s="856"/>
      <c r="DL1010" s="856"/>
      <c r="DM1010" s="152"/>
      <c r="DN1010" s="152"/>
      <c r="DO1010" s="152"/>
      <c r="DP1010" s="152"/>
      <c r="DQ1010" s="152"/>
    </row>
    <row r="1011" spans="1:121" s="35" customFormat="1" x14ac:dyDescent="0.2">
      <c r="A1011" s="34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  <c r="N1011" s="148"/>
      <c r="O1011" s="148"/>
      <c r="P1011" s="148"/>
      <c r="Q1011" s="1565"/>
      <c r="R1011" s="1097"/>
      <c r="U1011" s="39"/>
      <c r="CU1011" s="875"/>
      <c r="CV1011" s="875"/>
      <c r="CW1011" s="875"/>
      <c r="CX1011" s="856"/>
      <c r="CY1011" s="856"/>
      <c r="CZ1011" s="856"/>
      <c r="DA1011" s="126"/>
      <c r="DB1011" s="126"/>
      <c r="DC1011" s="126"/>
      <c r="DD1011" s="126"/>
      <c r="DE1011" s="856"/>
      <c r="DF1011" s="856"/>
      <c r="DG1011" s="856"/>
      <c r="DH1011" s="856"/>
      <c r="DI1011" s="856"/>
      <c r="DJ1011" s="856"/>
      <c r="DK1011" s="856"/>
      <c r="DL1011" s="856"/>
      <c r="DM1011" s="152"/>
      <c r="DN1011" s="152"/>
      <c r="DO1011" s="152"/>
      <c r="DP1011" s="152"/>
      <c r="DQ1011" s="152"/>
    </row>
    <row r="1012" spans="1:121" s="35" customFormat="1" x14ac:dyDescent="0.2">
      <c r="A1012" s="34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N1012" s="148"/>
      <c r="O1012" s="148"/>
      <c r="P1012" s="148"/>
      <c r="Q1012" s="1565"/>
      <c r="R1012" s="1097"/>
      <c r="U1012" s="39"/>
      <c r="CU1012" s="875"/>
      <c r="CV1012" s="875"/>
      <c r="CW1012" s="875"/>
      <c r="CX1012" s="856"/>
      <c r="CY1012" s="856"/>
      <c r="CZ1012" s="856"/>
      <c r="DA1012" s="126"/>
      <c r="DB1012" s="126"/>
      <c r="DC1012" s="126"/>
      <c r="DD1012" s="126"/>
      <c r="DE1012" s="856"/>
      <c r="DF1012" s="856"/>
      <c r="DG1012" s="856"/>
      <c r="DH1012" s="856"/>
      <c r="DI1012" s="856"/>
      <c r="DJ1012" s="856"/>
      <c r="DK1012" s="856"/>
      <c r="DL1012" s="856"/>
      <c r="DM1012" s="152"/>
      <c r="DN1012" s="152"/>
      <c r="DO1012" s="152"/>
      <c r="DP1012" s="152"/>
      <c r="DQ1012" s="152"/>
    </row>
    <row r="1013" spans="1:121" s="35" customFormat="1" x14ac:dyDescent="0.2">
      <c r="A1013" s="34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  <c r="N1013" s="148"/>
      <c r="O1013" s="148"/>
      <c r="P1013" s="148"/>
      <c r="Q1013" s="1565"/>
      <c r="R1013" s="1097"/>
      <c r="U1013" s="39"/>
      <c r="CU1013" s="875"/>
      <c r="CV1013" s="875"/>
      <c r="CW1013" s="875"/>
      <c r="CX1013" s="856"/>
      <c r="CY1013" s="856"/>
      <c r="CZ1013" s="856"/>
      <c r="DA1013" s="126"/>
      <c r="DB1013" s="126"/>
      <c r="DC1013" s="126"/>
      <c r="DD1013" s="126"/>
      <c r="DE1013" s="856"/>
      <c r="DF1013" s="856"/>
      <c r="DG1013" s="856"/>
      <c r="DH1013" s="856"/>
      <c r="DI1013" s="856"/>
      <c r="DJ1013" s="856"/>
      <c r="DK1013" s="856"/>
      <c r="DL1013" s="856"/>
      <c r="DM1013" s="152"/>
      <c r="DN1013" s="152"/>
      <c r="DO1013" s="152"/>
      <c r="DP1013" s="152"/>
      <c r="DQ1013" s="152"/>
    </row>
    <row r="1014" spans="1:121" s="35" customFormat="1" x14ac:dyDescent="0.2">
      <c r="A1014" s="34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  <c r="N1014" s="148"/>
      <c r="O1014" s="148"/>
      <c r="P1014" s="148"/>
      <c r="Q1014" s="1565"/>
      <c r="R1014" s="1097"/>
      <c r="U1014" s="39"/>
      <c r="CU1014" s="875"/>
      <c r="CV1014" s="875"/>
      <c r="CW1014" s="875"/>
      <c r="CX1014" s="856"/>
      <c r="CY1014" s="856"/>
      <c r="CZ1014" s="856"/>
      <c r="DA1014" s="126"/>
      <c r="DB1014" s="126"/>
      <c r="DC1014" s="126"/>
      <c r="DD1014" s="126"/>
      <c r="DE1014" s="856"/>
      <c r="DF1014" s="856"/>
      <c r="DG1014" s="856"/>
      <c r="DH1014" s="856"/>
      <c r="DI1014" s="856"/>
      <c r="DJ1014" s="856"/>
      <c r="DK1014" s="856"/>
      <c r="DL1014" s="856"/>
      <c r="DM1014" s="152"/>
      <c r="DN1014" s="152"/>
      <c r="DO1014" s="152"/>
      <c r="DP1014" s="152"/>
      <c r="DQ1014" s="152"/>
    </row>
    <row r="1015" spans="1:121" s="35" customFormat="1" x14ac:dyDescent="0.2">
      <c r="A1015" s="34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  <c r="N1015" s="148"/>
      <c r="O1015" s="148"/>
      <c r="P1015" s="148"/>
      <c r="Q1015" s="1565"/>
      <c r="R1015" s="1097"/>
      <c r="U1015" s="39"/>
      <c r="CU1015" s="875"/>
      <c r="CV1015" s="875"/>
      <c r="CW1015" s="875"/>
      <c r="CX1015" s="856"/>
      <c r="CY1015" s="856"/>
      <c r="CZ1015" s="856"/>
      <c r="DA1015" s="126"/>
      <c r="DB1015" s="126"/>
      <c r="DC1015" s="126"/>
      <c r="DD1015" s="126"/>
      <c r="DE1015" s="856"/>
      <c r="DF1015" s="856"/>
      <c r="DG1015" s="856"/>
      <c r="DH1015" s="856"/>
      <c r="DI1015" s="856"/>
      <c r="DJ1015" s="856"/>
      <c r="DK1015" s="856"/>
      <c r="DL1015" s="856"/>
      <c r="DM1015" s="152"/>
      <c r="DN1015" s="152"/>
      <c r="DO1015" s="152"/>
      <c r="DP1015" s="152"/>
      <c r="DQ1015" s="152"/>
    </row>
    <row r="1016" spans="1:121" s="35" customFormat="1" x14ac:dyDescent="0.2">
      <c r="A1016" s="34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  <c r="N1016" s="148"/>
      <c r="O1016" s="148"/>
      <c r="P1016" s="148"/>
      <c r="Q1016" s="1565"/>
      <c r="R1016" s="1097"/>
      <c r="U1016" s="39"/>
      <c r="CU1016" s="875"/>
      <c r="CV1016" s="875"/>
      <c r="CW1016" s="875"/>
      <c r="CX1016" s="856"/>
      <c r="CY1016" s="856"/>
      <c r="CZ1016" s="856"/>
      <c r="DA1016" s="126"/>
      <c r="DB1016" s="126"/>
      <c r="DC1016" s="126"/>
      <c r="DD1016" s="126"/>
      <c r="DE1016" s="856"/>
      <c r="DF1016" s="856"/>
      <c r="DG1016" s="856"/>
      <c r="DH1016" s="856"/>
      <c r="DI1016" s="856"/>
      <c r="DJ1016" s="856"/>
      <c r="DK1016" s="856"/>
      <c r="DL1016" s="856"/>
      <c r="DM1016" s="152"/>
      <c r="DN1016" s="152"/>
      <c r="DO1016" s="152"/>
      <c r="DP1016" s="152"/>
      <c r="DQ1016" s="152"/>
    </row>
    <row r="1017" spans="1:121" s="35" customFormat="1" x14ac:dyDescent="0.2">
      <c r="A1017" s="34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  <c r="N1017" s="148"/>
      <c r="O1017" s="148"/>
      <c r="P1017" s="148"/>
      <c r="Q1017" s="1565"/>
      <c r="R1017" s="1097"/>
      <c r="U1017" s="39"/>
      <c r="CU1017" s="875"/>
      <c r="CV1017" s="875"/>
      <c r="CW1017" s="875"/>
      <c r="CX1017" s="856"/>
      <c r="CY1017" s="856"/>
      <c r="CZ1017" s="856"/>
      <c r="DA1017" s="126"/>
      <c r="DB1017" s="126"/>
      <c r="DC1017" s="126"/>
      <c r="DD1017" s="126"/>
      <c r="DE1017" s="856"/>
      <c r="DF1017" s="856"/>
      <c r="DG1017" s="856"/>
      <c r="DH1017" s="856"/>
      <c r="DI1017" s="856"/>
      <c r="DJ1017" s="856"/>
      <c r="DK1017" s="856"/>
      <c r="DL1017" s="856"/>
      <c r="DM1017" s="152"/>
      <c r="DN1017" s="152"/>
      <c r="DO1017" s="152"/>
      <c r="DP1017" s="152"/>
      <c r="DQ1017" s="152"/>
    </row>
    <row r="1018" spans="1:121" s="35" customFormat="1" x14ac:dyDescent="0.2">
      <c r="A1018" s="34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  <c r="N1018" s="148"/>
      <c r="O1018" s="148"/>
      <c r="P1018" s="148"/>
      <c r="Q1018" s="1565"/>
      <c r="R1018" s="1097"/>
      <c r="U1018" s="39"/>
      <c r="CU1018" s="875"/>
      <c r="CV1018" s="875"/>
      <c r="CW1018" s="875"/>
      <c r="CX1018" s="856"/>
      <c r="CY1018" s="856"/>
      <c r="CZ1018" s="856"/>
      <c r="DA1018" s="126"/>
      <c r="DB1018" s="126"/>
      <c r="DC1018" s="126"/>
      <c r="DD1018" s="126"/>
      <c r="DE1018" s="856"/>
      <c r="DF1018" s="856"/>
      <c r="DG1018" s="856"/>
      <c r="DH1018" s="856"/>
      <c r="DI1018" s="856"/>
      <c r="DJ1018" s="856"/>
      <c r="DK1018" s="856"/>
      <c r="DL1018" s="856"/>
      <c r="DM1018" s="152"/>
      <c r="DN1018" s="152"/>
      <c r="DO1018" s="152"/>
      <c r="DP1018" s="152"/>
      <c r="DQ1018" s="152"/>
    </row>
    <row r="1019" spans="1:121" s="35" customFormat="1" x14ac:dyDescent="0.2">
      <c r="A1019" s="34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  <c r="N1019" s="148"/>
      <c r="O1019" s="148"/>
      <c r="P1019" s="148"/>
      <c r="Q1019" s="1565"/>
      <c r="R1019" s="1097"/>
      <c r="U1019" s="39"/>
      <c r="CU1019" s="875"/>
      <c r="CV1019" s="875"/>
      <c r="CW1019" s="875"/>
      <c r="CX1019" s="856"/>
      <c r="CY1019" s="856"/>
      <c r="CZ1019" s="856"/>
      <c r="DA1019" s="126"/>
      <c r="DB1019" s="126"/>
      <c r="DC1019" s="126"/>
      <c r="DD1019" s="126"/>
      <c r="DE1019" s="856"/>
      <c r="DF1019" s="856"/>
      <c r="DG1019" s="856"/>
      <c r="DH1019" s="856"/>
      <c r="DI1019" s="856"/>
      <c r="DJ1019" s="856"/>
      <c r="DK1019" s="856"/>
      <c r="DL1019" s="856"/>
      <c r="DM1019" s="152"/>
      <c r="DN1019" s="152"/>
      <c r="DO1019" s="152"/>
      <c r="DP1019" s="152"/>
      <c r="DQ1019" s="152"/>
    </row>
    <row r="1020" spans="1:121" s="35" customFormat="1" x14ac:dyDescent="0.2">
      <c r="A1020" s="34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  <c r="N1020" s="148"/>
      <c r="O1020" s="148"/>
      <c r="P1020" s="148"/>
      <c r="Q1020" s="1565"/>
      <c r="R1020" s="1097"/>
      <c r="U1020" s="39"/>
      <c r="CU1020" s="875"/>
      <c r="CV1020" s="875"/>
      <c r="CW1020" s="875"/>
      <c r="CX1020" s="856"/>
      <c r="CY1020" s="856"/>
      <c r="CZ1020" s="856"/>
      <c r="DA1020" s="126"/>
      <c r="DB1020" s="126"/>
      <c r="DC1020" s="126"/>
      <c r="DD1020" s="126"/>
      <c r="DE1020" s="856"/>
      <c r="DF1020" s="856"/>
      <c r="DG1020" s="856"/>
      <c r="DH1020" s="856"/>
      <c r="DI1020" s="856"/>
      <c r="DJ1020" s="856"/>
      <c r="DK1020" s="856"/>
      <c r="DL1020" s="856"/>
      <c r="DM1020" s="152"/>
      <c r="DN1020" s="152"/>
      <c r="DO1020" s="152"/>
      <c r="DP1020" s="152"/>
      <c r="DQ1020" s="152"/>
    </row>
    <row r="1021" spans="1:121" s="35" customFormat="1" x14ac:dyDescent="0.2">
      <c r="A1021" s="34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  <c r="N1021" s="148"/>
      <c r="O1021" s="148"/>
      <c r="P1021" s="148"/>
      <c r="Q1021" s="1565"/>
      <c r="R1021" s="1097"/>
      <c r="U1021" s="39"/>
      <c r="CU1021" s="875"/>
      <c r="CV1021" s="875"/>
      <c r="CW1021" s="875"/>
      <c r="CX1021" s="856"/>
      <c r="CY1021" s="856"/>
      <c r="CZ1021" s="856"/>
      <c r="DA1021" s="126"/>
      <c r="DB1021" s="126"/>
      <c r="DC1021" s="126"/>
      <c r="DD1021" s="126"/>
      <c r="DE1021" s="856"/>
      <c r="DF1021" s="856"/>
      <c r="DG1021" s="856"/>
      <c r="DH1021" s="856"/>
      <c r="DI1021" s="856"/>
      <c r="DJ1021" s="856"/>
      <c r="DK1021" s="856"/>
      <c r="DL1021" s="856"/>
      <c r="DM1021" s="152"/>
      <c r="DN1021" s="152"/>
      <c r="DO1021" s="152"/>
      <c r="DP1021" s="152"/>
      <c r="DQ1021" s="152"/>
    </row>
    <row r="1022" spans="1:121" s="35" customFormat="1" x14ac:dyDescent="0.2">
      <c r="A1022" s="34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  <c r="N1022" s="148"/>
      <c r="O1022" s="148"/>
      <c r="P1022" s="148"/>
      <c r="Q1022" s="1565"/>
      <c r="R1022" s="1097"/>
      <c r="U1022" s="39"/>
      <c r="CU1022" s="875"/>
      <c r="CV1022" s="875"/>
      <c r="CW1022" s="875"/>
      <c r="CX1022" s="856"/>
      <c r="CY1022" s="856"/>
      <c r="CZ1022" s="856"/>
      <c r="DA1022" s="126"/>
      <c r="DB1022" s="126"/>
      <c r="DC1022" s="126"/>
      <c r="DD1022" s="126"/>
      <c r="DE1022" s="856"/>
      <c r="DF1022" s="856"/>
      <c r="DG1022" s="856"/>
      <c r="DH1022" s="856"/>
      <c r="DI1022" s="856"/>
      <c r="DJ1022" s="856"/>
      <c r="DK1022" s="856"/>
      <c r="DL1022" s="856"/>
      <c r="DM1022" s="152"/>
      <c r="DN1022" s="152"/>
      <c r="DO1022" s="152"/>
      <c r="DP1022" s="152"/>
      <c r="DQ1022" s="152"/>
    </row>
    <row r="1023" spans="1:121" s="35" customFormat="1" x14ac:dyDescent="0.2">
      <c r="A1023" s="34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  <c r="N1023" s="148"/>
      <c r="O1023" s="148"/>
      <c r="P1023" s="148"/>
      <c r="Q1023" s="1565"/>
      <c r="R1023" s="1097"/>
      <c r="U1023" s="39"/>
      <c r="CU1023" s="875"/>
      <c r="CV1023" s="875"/>
      <c r="CW1023" s="875"/>
      <c r="CX1023" s="856"/>
      <c r="CY1023" s="856"/>
      <c r="CZ1023" s="856"/>
      <c r="DA1023" s="126"/>
      <c r="DB1023" s="126"/>
      <c r="DC1023" s="126"/>
      <c r="DD1023" s="126"/>
      <c r="DE1023" s="856"/>
      <c r="DF1023" s="856"/>
      <c r="DG1023" s="856"/>
      <c r="DH1023" s="856"/>
      <c r="DI1023" s="856"/>
      <c r="DJ1023" s="856"/>
      <c r="DK1023" s="856"/>
      <c r="DL1023" s="856"/>
      <c r="DM1023" s="152"/>
      <c r="DN1023" s="152"/>
      <c r="DO1023" s="152"/>
      <c r="DP1023" s="152"/>
      <c r="DQ1023" s="152"/>
    </row>
    <row r="1024" spans="1:121" s="35" customFormat="1" x14ac:dyDescent="0.2">
      <c r="A1024" s="34"/>
      <c r="D1024" s="148"/>
      <c r="E1024" s="148"/>
      <c r="F1024" s="148"/>
      <c r="G1024" s="148"/>
      <c r="H1024" s="148"/>
      <c r="I1024" s="148"/>
      <c r="J1024" s="148"/>
      <c r="K1024" s="148"/>
      <c r="L1024" s="148"/>
      <c r="M1024" s="148"/>
      <c r="N1024" s="148"/>
      <c r="O1024" s="148"/>
      <c r="P1024" s="148"/>
      <c r="Q1024" s="1565"/>
      <c r="R1024" s="1097"/>
      <c r="U1024" s="39"/>
      <c r="CU1024" s="875"/>
      <c r="CV1024" s="875"/>
      <c r="CW1024" s="875"/>
      <c r="CX1024" s="856"/>
      <c r="CY1024" s="856"/>
      <c r="CZ1024" s="856"/>
      <c r="DA1024" s="126"/>
      <c r="DB1024" s="126"/>
      <c r="DC1024" s="126"/>
      <c r="DD1024" s="126"/>
      <c r="DE1024" s="856"/>
      <c r="DF1024" s="856"/>
      <c r="DG1024" s="856"/>
      <c r="DH1024" s="856"/>
      <c r="DI1024" s="856"/>
      <c r="DJ1024" s="856"/>
      <c r="DK1024" s="856"/>
      <c r="DL1024" s="856"/>
      <c r="DM1024" s="152"/>
      <c r="DN1024" s="152"/>
      <c r="DO1024" s="152"/>
      <c r="DP1024" s="152"/>
      <c r="DQ1024" s="152"/>
    </row>
    <row r="1025" spans="1:121" s="35" customFormat="1" x14ac:dyDescent="0.2">
      <c r="A1025" s="34"/>
      <c r="D1025" s="148"/>
      <c r="E1025" s="148"/>
      <c r="F1025" s="148"/>
      <c r="G1025" s="148"/>
      <c r="H1025" s="148"/>
      <c r="I1025" s="148"/>
      <c r="J1025" s="148"/>
      <c r="K1025" s="148"/>
      <c r="L1025" s="148"/>
      <c r="M1025" s="148"/>
      <c r="N1025" s="148"/>
      <c r="O1025" s="148"/>
      <c r="P1025" s="148"/>
      <c r="Q1025" s="1565"/>
      <c r="R1025" s="1097"/>
      <c r="U1025" s="39"/>
      <c r="CU1025" s="875"/>
      <c r="CV1025" s="875"/>
      <c r="CW1025" s="875"/>
      <c r="CX1025" s="856"/>
      <c r="CY1025" s="856"/>
      <c r="CZ1025" s="856"/>
      <c r="DA1025" s="126"/>
      <c r="DB1025" s="126"/>
      <c r="DC1025" s="126"/>
      <c r="DD1025" s="126"/>
      <c r="DE1025" s="856"/>
      <c r="DF1025" s="856"/>
      <c r="DG1025" s="856"/>
      <c r="DH1025" s="856"/>
      <c r="DI1025" s="856"/>
      <c r="DJ1025" s="856"/>
      <c r="DK1025" s="856"/>
      <c r="DL1025" s="856"/>
      <c r="DM1025" s="152"/>
      <c r="DN1025" s="152"/>
      <c r="DO1025" s="152"/>
      <c r="DP1025" s="152"/>
      <c r="DQ1025" s="152"/>
    </row>
    <row r="1026" spans="1:121" s="35" customFormat="1" x14ac:dyDescent="0.2">
      <c r="A1026" s="34"/>
      <c r="D1026" s="148"/>
      <c r="E1026" s="148"/>
      <c r="F1026" s="148"/>
      <c r="G1026" s="148"/>
      <c r="H1026" s="148"/>
      <c r="I1026" s="148"/>
      <c r="J1026" s="148"/>
      <c r="K1026" s="148"/>
      <c r="L1026" s="148"/>
      <c r="M1026" s="148"/>
      <c r="N1026" s="148"/>
      <c r="O1026" s="148"/>
      <c r="P1026" s="148"/>
      <c r="Q1026" s="1565"/>
      <c r="R1026" s="1097"/>
      <c r="U1026" s="39"/>
      <c r="CU1026" s="875"/>
      <c r="CV1026" s="875"/>
      <c r="CW1026" s="875"/>
      <c r="CX1026" s="856"/>
      <c r="CY1026" s="856"/>
      <c r="CZ1026" s="856"/>
      <c r="DA1026" s="126"/>
      <c r="DB1026" s="126"/>
      <c r="DC1026" s="126"/>
      <c r="DD1026" s="126"/>
      <c r="DE1026" s="856"/>
      <c r="DF1026" s="856"/>
      <c r="DG1026" s="856"/>
      <c r="DH1026" s="856"/>
      <c r="DI1026" s="856"/>
      <c r="DJ1026" s="856"/>
      <c r="DK1026" s="856"/>
      <c r="DL1026" s="856"/>
      <c r="DM1026" s="152"/>
      <c r="DN1026" s="152"/>
      <c r="DO1026" s="152"/>
      <c r="DP1026" s="152"/>
      <c r="DQ1026" s="152"/>
    </row>
    <row r="1027" spans="1:121" s="35" customFormat="1" x14ac:dyDescent="0.2">
      <c r="A1027" s="34"/>
      <c r="D1027" s="148"/>
      <c r="E1027" s="148"/>
      <c r="F1027" s="148"/>
      <c r="G1027" s="148"/>
      <c r="H1027" s="148"/>
      <c r="I1027" s="148"/>
      <c r="J1027" s="148"/>
      <c r="K1027" s="148"/>
      <c r="L1027" s="148"/>
      <c r="M1027" s="148"/>
      <c r="N1027" s="148"/>
      <c r="O1027" s="148"/>
      <c r="P1027" s="148"/>
      <c r="Q1027" s="1565"/>
      <c r="R1027" s="1097"/>
      <c r="U1027" s="39"/>
      <c r="CU1027" s="875"/>
      <c r="CV1027" s="875"/>
      <c r="CW1027" s="875"/>
      <c r="CX1027" s="856"/>
      <c r="CY1027" s="856"/>
      <c r="CZ1027" s="856"/>
      <c r="DA1027" s="126"/>
      <c r="DB1027" s="126"/>
      <c r="DC1027" s="126"/>
      <c r="DD1027" s="126"/>
      <c r="DE1027" s="856"/>
      <c r="DF1027" s="856"/>
      <c r="DG1027" s="856"/>
      <c r="DH1027" s="856"/>
      <c r="DI1027" s="856"/>
      <c r="DJ1027" s="856"/>
      <c r="DK1027" s="856"/>
      <c r="DL1027" s="856"/>
      <c r="DM1027" s="152"/>
      <c r="DN1027" s="152"/>
      <c r="DO1027" s="152"/>
      <c r="DP1027" s="152"/>
      <c r="DQ1027" s="152"/>
    </row>
    <row r="1028" spans="1:121" s="35" customFormat="1" x14ac:dyDescent="0.2">
      <c r="A1028" s="34"/>
      <c r="D1028" s="148"/>
      <c r="E1028" s="148"/>
      <c r="F1028" s="148"/>
      <c r="G1028" s="148"/>
      <c r="H1028" s="148"/>
      <c r="I1028" s="148"/>
      <c r="J1028" s="148"/>
      <c r="K1028" s="148"/>
      <c r="L1028" s="148"/>
      <c r="M1028" s="148"/>
      <c r="N1028" s="148"/>
      <c r="O1028" s="148"/>
      <c r="P1028" s="148"/>
      <c r="Q1028" s="1565"/>
      <c r="R1028" s="1097"/>
      <c r="U1028" s="39"/>
      <c r="CU1028" s="875"/>
      <c r="CV1028" s="875"/>
      <c r="CW1028" s="875"/>
      <c r="CX1028" s="856"/>
      <c r="CY1028" s="856"/>
      <c r="CZ1028" s="856"/>
      <c r="DA1028" s="126"/>
      <c r="DB1028" s="126"/>
      <c r="DC1028" s="126"/>
      <c r="DD1028" s="126"/>
      <c r="DE1028" s="856"/>
      <c r="DF1028" s="856"/>
      <c r="DG1028" s="856"/>
      <c r="DH1028" s="856"/>
      <c r="DI1028" s="856"/>
      <c r="DJ1028" s="856"/>
      <c r="DK1028" s="856"/>
      <c r="DL1028" s="856"/>
      <c r="DM1028" s="152"/>
      <c r="DN1028" s="152"/>
      <c r="DO1028" s="152"/>
      <c r="DP1028" s="152"/>
      <c r="DQ1028" s="152"/>
    </row>
    <row r="1029" spans="1:121" s="35" customFormat="1" x14ac:dyDescent="0.2">
      <c r="A1029" s="34"/>
      <c r="D1029" s="148"/>
      <c r="E1029" s="148"/>
      <c r="F1029" s="148"/>
      <c r="G1029" s="148"/>
      <c r="H1029" s="148"/>
      <c r="I1029" s="148"/>
      <c r="J1029" s="148"/>
      <c r="K1029" s="148"/>
      <c r="L1029" s="148"/>
      <c r="M1029" s="148"/>
      <c r="N1029" s="148"/>
      <c r="O1029" s="148"/>
      <c r="P1029" s="148"/>
      <c r="Q1029" s="1565"/>
      <c r="R1029" s="1097"/>
      <c r="U1029" s="39"/>
      <c r="CU1029" s="875"/>
      <c r="CV1029" s="875"/>
      <c r="CW1029" s="875"/>
      <c r="CX1029" s="856"/>
      <c r="CY1029" s="856"/>
      <c r="CZ1029" s="856"/>
      <c r="DA1029" s="126"/>
      <c r="DB1029" s="126"/>
      <c r="DC1029" s="126"/>
      <c r="DD1029" s="126"/>
      <c r="DE1029" s="856"/>
      <c r="DF1029" s="856"/>
      <c r="DG1029" s="856"/>
      <c r="DH1029" s="856"/>
      <c r="DI1029" s="856"/>
      <c r="DJ1029" s="856"/>
      <c r="DK1029" s="856"/>
      <c r="DL1029" s="856"/>
      <c r="DM1029" s="152"/>
      <c r="DN1029" s="152"/>
      <c r="DO1029" s="152"/>
      <c r="DP1029" s="152"/>
      <c r="DQ1029" s="152"/>
    </row>
    <row r="1030" spans="1:121" s="35" customFormat="1" x14ac:dyDescent="0.2">
      <c r="A1030" s="34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  <c r="N1030" s="148"/>
      <c r="O1030" s="148"/>
      <c r="P1030" s="148"/>
      <c r="Q1030" s="1565"/>
      <c r="R1030" s="1097"/>
      <c r="U1030" s="39"/>
      <c r="CU1030" s="875"/>
      <c r="CV1030" s="875"/>
      <c r="CW1030" s="875"/>
      <c r="CX1030" s="856"/>
      <c r="CY1030" s="856"/>
      <c r="CZ1030" s="856"/>
      <c r="DA1030" s="126"/>
      <c r="DB1030" s="126"/>
      <c r="DC1030" s="126"/>
      <c r="DD1030" s="126"/>
      <c r="DE1030" s="856"/>
      <c r="DF1030" s="856"/>
      <c r="DG1030" s="856"/>
      <c r="DH1030" s="856"/>
      <c r="DI1030" s="856"/>
      <c r="DJ1030" s="856"/>
      <c r="DK1030" s="856"/>
      <c r="DL1030" s="856"/>
      <c r="DM1030" s="152"/>
      <c r="DN1030" s="152"/>
      <c r="DO1030" s="152"/>
      <c r="DP1030" s="152"/>
      <c r="DQ1030" s="152"/>
    </row>
    <row r="1031" spans="1:121" s="35" customFormat="1" x14ac:dyDescent="0.2">
      <c r="A1031" s="34"/>
      <c r="D1031" s="148"/>
      <c r="E1031" s="148"/>
      <c r="F1031" s="148"/>
      <c r="G1031" s="148"/>
      <c r="H1031" s="148"/>
      <c r="I1031" s="148"/>
      <c r="J1031" s="148"/>
      <c r="K1031" s="148"/>
      <c r="L1031" s="148"/>
      <c r="M1031" s="148"/>
      <c r="N1031" s="148"/>
      <c r="O1031" s="148"/>
      <c r="P1031" s="148"/>
      <c r="Q1031" s="1565"/>
      <c r="R1031" s="1097"/>
      <c r="U1031" s="39"/>
      <c r="CU1031" s="875"/>
      <c r="CV1031" s="875"/>
      <c r="CW1031" s="875"/>
      <c r="CX1031" s="856"/>
      <c r="CY1031" s="856"/>
      <c r="CZ1031" s="856"/>
      <c r="DA1031" s="126"/>
      <c r="DB1031" s="126"/>
      <c r="DC1031" s="126"/>
      <c r="DD1031" s="126"/>
      <c r="DE1031" s="856"/>
      <c r="DF1031" s="856"/>
      <c r="DG1031" s="856"/>
      <c r="DH1031" s="856"/>
      <c r="DI1031" s="856"/>
      <c r="DJ1031" s="856"/>
      <c r="DK1031" s="856"/>
      <c r="DL1031" s="856"/>
      <c r="DM1031" s="152"/>
      <c r="DN1031" s="152"/>
      <c r="DO1031" s="152"/>
      <c r="DP1031" s="152"/>
      <c r="DQ1031" s="152"/>
    </row>
    <row r="1032" spans="1:121" s="35" customFormat="1" x14ac:dyDescent="0.2">
      <c r="A1032" s="34"/>
      <c r="D1032" s="148"/>
      <c r="E1032" s="148"/>
      <c r="F1032" s="148"/>
      <c r="G1032" s="148"/>
      <c r="H1032" s="148"/>
      <c r="I1032" s="148"/>
      <c r="J1032" s="148"/>
      <c r="K1032" s="148"/>
      <c r="L1032" s="148"/>
      <c r="M1032" s="148"/>
      <c r="N1032" s="148"/>
      <c r="O1032" s="148"/>
      <c r="P1032" s="148"/>
      <c r="Q1032" s="1565"/>
      <c r="R1032" s="1097"/>
      <c r="U1032" s="39"/>
      <c r="CU1032" s="875"/>
      <c r="CV1032" s="875"/>
      <c r="CW1032" s="875"/>
      <c r="CX1032" s="856"/>
      <c r="CY1032" s="856"/>
      <c r="CZ1032" s="856"/>
      <c r="DA1032" s="126"/>
      <c r="DB1032" s="126"/>
      <c r="DC1032" s="126"/>
      <c r="DD1032" s="126"/>
      <c r="DE1032" s="856"/>
      <c r="DF1032" s="856"/>
      <c r="DG1032" s="856"/>
      <c r="DH1032" s="856"/>
      <c r="DI1032" s="856"/>
      <c r="DJ1032" s="856"/>
      <c r="DK1032" s="856"/>
      <c r="DL1032" s="856"/>
      <c r="DM1032" s="152"/>
      <c r="DN1032" s="152"/>
      <c r="DO1032" s="152"/>
      <c r="DP1032" s="152"/>
      <c r="DQ1032" s="152"/>
    </row>
    <row r="1033" spans="1:121" s="35" customFormat="1" x14ac:dyDescent="0.2">
      <c r="A1033" s="34"/>
      <c r="D1033" s="148"/>
      <c r="E1033" s="148"/>
      <c r="F1033" s="148"/>
      <c r="G1033" s="148"/>
      <c r="H1033" s="148"/>
      <c r="I1033" s="148"/>
      <c r="J1033" s="148"/>
      <c r="K1033" s="148"/>
      <c r="L1033" s="148"/>
      <c r="M1033" s="148"/>
      <c r="N1033" s="148"/>
      <c r="O1033" s="148"/>
      <c r="P1033" s="148"/>
      <c r="Q1033" s="1565"/>
      <c r="R1033" s="1097"/>
      <c r="U1033" s="39"/>
      <c r="CU1033" s="875"/>
      <c r="CV1033" s="875"/>
      <c r="CW1033" s="875"/>
      <c r="CX1033" s="856"/>
      <c r="CY1033" s="856"/>
      <c r="CZ1033" s="856"/>
      <c r="DA1033" s="126"/>
      <c r="DB1033" s="126"/>
      <c r="DC1033" s="126"/>
      <c r="DD1033" s="126"/>
      <c r="DE1033" s="856"/>
      <c r="DF1033" s="856"/>
      <c r="DG1033" s="856"/>
      <c r="DH1033" s="856"/>
      <c r="DI1033" s="856"/>
      <c r="DJ1033" s="856"/>
      <c r="DK1033" s="856"/>
      <c r="DL1033" s="856"/>
      <c r="DM1033" s="152"/>
      <c r="DN1033" s="152"/>
      <c r="DO1033" s="152"/>
      <c r="DP1033" s="152"/>
      <c r="DQ1033" s="152"/>
    </row>
    <row r="1034" spans="1:121" s="35" customFormat="1" x14ac:dyDescent="0.2">
      <c r="A1034" s="34"/>
      <c r="D1034" s="148"/>
      <c r="E1034" s="148"/>
      <c r="F1034" s="148"/>
      <c r="G1034" s="148"/>
      <c r="H1034" s="148"/>
      <c r="I1034" s="148"/>
      <c r="J1034" s="148"/>
      <c r="K1034" s="148"/>
      <c r="L1034" s="148"/>
      <c r="M1034" s="148"/>
      <c r="N1034" s="148"/>
      <c r="O1034" s="148"/>
      <c r="P1034" s="148"/>
      <c r="Q1034" s="1565"/>
      <c r="R1034" s="1097"/>
      <c r="U1034" s="39"/>
      <c r="CU1034" s="875"/>
      <c r="CV1034" s="875"/>
      <c r="CW1034" s="875"/>
      <c r="CX1034" s="856"/>
      <c r="CY1034" s="856"/>
      <c r="CZ1034" s="856"/>
      <c r="DA1034" s="126"/>
      <c r="DB1034" s="126"/>
      <c r="DC1034" s="126"/>
      <c r="DD1034" s="126"/>
      <c r="DE1034" s="856"/>
      <c r="DF1034" s="856"/>
      <c r="DG1034" s="856"/>
      <c r="DH1034" s="856"/>
      <c r="DI1034" s="856"/>
      <c r="DJ1034" s="856"/>
      <c r="DK1034" s="856"/>
      <c r="DL1034" s="856"/>
      <c r="DM1034" s="152"/>
      <c r="DN1034" s="152"/>
      <c r="DO1034" s="152"/>
      <c r="DP1034" s="152"/>
      <c r="DQ1034" s="152"/>
    </row>
    <row r="1035" spans="1:121" s="35" customFormat="1" x14ac:dyDescent="0.2">
      <c r="A1035" s="34"/>
      <c r="D1035" s="148"/>
      <c r="E1035" s="148"/>
      <c r="F1035" s="148"/>
      <c r="G1035" s="148"/>
      <c r="H1035" s="148"/>
      <c r="I1035" s="148"/>
      <c r="J1035" s="148"/>
      <c r="K1035" s="148"/>
      <c r="L1035" s="148"/>
      <c r="M1035" s="148"/>
      <c r="N1035" s="148"/>
      <c r="O1035" s="148"/>
      <c r="P1035" s="148"/>
      <c r="Q1035" s="1565"/>
      <c r="R1035" s="1097"/>
      <c r="U1035" s="39"/>
      <c r="CU1035" s="875"/>
      <c r="CV1035" s="875"/>
      <c r="CW1035" s="875"/>
      <c r="CX1035" s="856"/>
      <c r="CY1035" s="856"/>
      <c r="CZ1035" s="856"/>
      <c r="DA1035" s="126"/>
      <c r="DB1035" s="126"/>
      <c r="DC1035" s="126"/>
      <c r="DD1035" s="126"/>
      <c r="DE1035" s="856"/>
      <c r="DF1035" s="856"/>
      <c r="DG1035" s="856"/>
      <c r="DH1035" s="856"/>
      <c r="DI1035" s="856"/>
      <c r="DJ1035" s="856"/>
      <c r="DK1035" s="856"/>
      <c r="DL1035" s="856"/>
      <c r="DM1035" s="152"/>
      <c r="DN1035" s="152"/>
      <c r="DO1035" s="152"/>
      <c r="DP1035" s="152"/>
      <c r="DQ1035" s="152"/>
    </row>
    <row r="1036" spans="1:121" s="35" customFormat="1" x14ac:dyDescent="0.2">
      <c r="A1036" s="34"/>
      <c r="D1036" s="148"/>
      <c r="E1036" s="148"/>
      <c r="F1036" s="148"/>
      <c r="G1036" s="148"/>
      <c r="H1036" s="148"/>
      <c r="I1036" s="148"/>
      <c r="J1036" s="148"/>
      <c r="K1036" s="148"/>
      <c r="L1036" s="148"/>
      <c r="M1036" s="148"/>
      <c r="N1036" s="148"/>
      <c r="O1036" s="148"/>
      <c r="P1036" s="148"/>
      <c r="Q1036" s="1565"/>
      <c r="R1036" s="1097"/>
      <c r="U1036" s="39"/>
      <c r="CU1036" s="875"/>
      <c r="CV1036" s="875"/>
      <c r="CW1036" s="875"/>
      <c r="CX1036" s="856"/>
      <c r="CY1036" s="856"/>
      <c r="CZ1036" s="856"/>
      <c r="DA1036" s="126"/>
      <c r="DB1036" s="126"/>
      <c r="DC1036" s="126"/>
      <c r="DD1036" s="126"/>
      <c r="DE1036" s="856"/>
      <c r="DF1036" s="856"/>
      <c r="DG1036" s="856"/>
      <c r="DH1036" s="856"/>
      <c r="DI1036" s="856"/>
      <c r="DJ1036" s="856"/>
      <c r="DK1036" s="856"/>
      <c r="DL1036" s="856"/>
      <c r="DM1036" s="152"/>
      <c r="DN1036" s="152"/>
      <c r="DO1036" s="152"/>
      <c r="DP1036" s="152"/>
      <c r="DQ1036" s="152"/>
    </row>
    <row r="1037" spans="1:121" s="35" customFormat="1" x14ac:dyDescent="0.2">
      <c r="A1037" s="34"/>
      <c r="D1037" s="148"/>
      <c r="E1037" s="148"/>
      <c r="F1037" s="148"/>
      <c r="G1037" s="148"/>
      <c r="H1037" s="148"/>
      <c r="I1037" s="148"/>
      <c r="J1037" s="148"/>
      <c r="K1037" s="148"/>
      <c r="L1037" s="148"/>
      <c r="M1037" s="148"/>
      <c r="N1037" s="148"/>
      <c r="O1037" s="148"/>
      <c r="P1037" s="148"/>
      <c r="Q1037" s="1565"/>
      <c r="R1037" s="1097"/>
      <c r="U1037" s="39"/>
      <c r="CU1037" s="875"/>
      <c r="CV1037" s="875"/>
      <c r="CW1037" s="875"/>
      <c r="CX1037" s="856"/>
      <c r="CY1037" s="856"/>
      <c r="CZ1037" s="856"/>
      <c r="DA1037" s="126"/>
      <c r="DB1037" s="126"/>
      <c r="DC1037" s="126"/>
      <c r="DD1037" s="126"/>
      <c r="DE1037" s="856"/>
      <c r="DF1037" s="856"/>
      <c r="DG1037" s="856"/>
      <c r="DH1037" s="856"/>
      <c r="DI1037" s="856"/>
      <c r="DJ1037" s="856"/>
      <c r="DK1037" s="856"/>
      <c r="DL1037" s="856"/>
      <c r="DM1037" s="152"/>
      <c r="DN1037" s="152"/>
      <c r="DO1037" s="152"/>
      <c r="DP1037" s="152"/>
      <c r="DQ1037" s="152"/>
    </row>
    <row r="1038" spans="1:121" s="35" customFormat="1" x14ac:dyDescent="0.2">
      <c r="A1038" s="34"/>
      <c r="D1038" s="148"/>
      <c r="E1038" s="148"/>
      <c r="F1038" s="148"/>
      <c r="G1038" s="148"/>
      <c r="H1038" s="148"/>
      <c r="I1038" s="148"/>
      <c r="J1038" s="148"/>
      <c r="K1038" s="148"/>
      <c r="L1038" s="148"/>
      <c r="M1038" s="148"/>
      <c r="N1038" s="148"/>
      <c r="O1038" s="148"/>
      <c r="P1038" s="148"/>
      <c r="Q1038" s="1565"/>
      <c r="R1038" s="1097"/>
      <c r="U1038" s="39"/>
      <c r="CU1038" s="875"/>
      <c r="CV1038" s="875"/>
      <c r="CW1038" s="875"/>
      <c r="CX1038" s="856"/>
      <c r="CY1038" s="856"/>
      <c r="CZ1038" s="856"/>
      <c r="DA1038" s="126"/>
      <c r="DB1038" s="126"/>
      <c r="DC1038" s="126"/>
      <c r="DD1038" s="126"/>
      <c r="DE1038" s="856"/>
      <c r="DF1038" s="856"/>
      <c r="DG1038" s="856"/>
      <c r="DH1038" s="856"/>
      <c r="DI1038" s="856"/>
      <c r="DJ1038" s="856"/>
      <c r="DK1038" s="856"/>
      <c r="DL1038" s="856"/>
      <c r="DM1038" s="152"/>
      <c r="DN1038" s="152"/>
      <c r="DO1038" s="152"/>
      <c r="DP1038" s="152"/>
      <c r="DQ1038" s="152"/>
    </row>
    <row r="1039" spans="1:121" s="35" customFormat="1" x14ac:dyDescent="0.2">
      <c r="A1039" s="34"/>
      <c r="D1039" s="148"/>
      <c r="E1039" s="148"/>
      <c r="F1039" s="148"/>
      <c r="G1039" s="148"/>
      <c r="H1039" s="148"/>
      <c r="I1039" s="148"/>
      <c r="J1039" s="148"/>
      <c r="K1039" s="148"/>
      <c r="L1039" s="148"/>
      <c r="M1039" s="148"/>
      <c r="N1039" s="148"/>
      <c r="O1039" s="148"/>
      <c r="P1039" s="148"/>
      <c r="Q1039" s="1565"/>
      <c r="R1039" s="1097"/>
      <c r="U1039" s="39"/>
      <c r="CU1039" s="875"/>
      <c r="CV1039" s="875"/>
      <c r="CW1039" s="875"/>
      <c r="CX1039" s="856"/>
      <c r="CY1039" s="856"/>
      <c r="CZ1039" s="856"/>
      <c r="DA1039" s="126"/>
      <c r="DB1039" s="126"/>
      <c r="DC1039" s="126"/>
      <c r="DD1039" s="126"/>
      <c r="DE1039" s="856"/>
      <c r="DF1039" s="856"/>
      <c r="DG1039" s="856"/>
      <c r="DH1039" s="856"/>
      <c r="DI1039" s="856"/>
      <c r="DJ1039" s="856"/>
      <c r="DK1039" s="856"/>
      <c r="DL1039" s="856"/>
      <c r="DM1039" s="152"/>
      <c r="DN1039" s="152"/>
      <c r="DO1039" s="152"/>
      <c r="DP1039" s="152"/>
      <c r="DQ1039" s="152"/>
    </row>
    <row r="1040" spans="1:121" s="35" customFormat="1" x14ac:dyDescent="0.2">
      <c r="A1040" s="34"/>
      <c r="D1040" s="148"/>
      <c r="E1040" s="148"/>
      <c r="F1040" s="148"/>
      <c r="G1040" s="148"/>
      <c r="H1040" s="148"/>
      <c r="I1040" s="148"/>
      <c r="J1040" s="148"/>
      <c r="K1040" s="148"/>
      <c r="L1040" s="148"/>
      <c r="M1040" s="148"/>
      <c r="N1040" s="148"/>
      <c r="O1040" s="148"/>
      <c r="P1040" s="148"/>
      <c r="Q1040" s="1565"/>
      <c r="R1040" s="1097"/>
      <c r="U1040" s="39"/>
      <c r="CU1040" s="875"/>
      <c r="CV1040" s="875"/>
      <c r="CW1040" s="875"/>
      <c r="CX1040" s="856"/>
      <c r="CY1040" s="856"/>
      <c r="CZ1040" s="856"/>
      <c r="DA1040" s="126"/>
      <c r="DB1040" s="126"/>
      <c r="DC1040" s="126"/>
      <c r="DD1040" s="126"/>
      <c r="DE1040" s="856"/>
      <c r="DF1040" s="856"/>
      <c r="DG1040" s="856"/>
      <c r="DH1040" s="856"/>
      <c r="DI1040" s="856"/>
      <c r="DJ1040" s="856"/>
      <c r="DK1040" s="856"/>
      <c r="DL1040" s="856"/>
      <c r="DM1040" s="152"/>
      <c r="DN1040" s="152"/>
      <c r="DO1040" s="152"/>
      <c r="DP1040" s="152"/>
      <c r="DQ1040" s="152"/>
    </row>
    <row r="1041" spans="1:121" s="35" customFormat="1" x14ac:dyDescent="0.2">
      <c r="A1041" s="34"/>
      <c r="D1041" s="148"/>
      <c r="E1041" s="148"/>
      <c r="F1041" s="148"/>
      <c r="G1041" s="148"/>
      <c r="H1041" s="148"/>
      <c r="I1041" s="148"/>
      <c r="J1041" s="148"/>
      <c r="K1041" s="148"/>
      <c r="L1041" s="148"/>
      <c r="M1041" s="148"/>
      <c r="N1041" s="148"/>
      <c r="O1041" s="148"/>
      <c r="P1041" s="148"/>
      <c r="Q1041" s="1565"/>
      <c r="R1041" s="1097"/>
      <c r="U1041" s="39"/>
      <c r="CU1041" s="875"/>
      <c r="CV1041" s="875"/>
      <c r="CW1041" s="875"/>
      <c r="CX1041" s="856"/>
      <c r="CY1041" s="856"/>
      <c r="CZ1041" s="856"/>
      <c r="DA1041" s="126"/>
      <c r="DB1041" s="126"/>
      <c r="DC1041" s="126"/>
      <c r="DD1041" s="126"/>
      <c r="DE1041" s="856"/>
      <c r="DF1041" s="856"/>
      <c r="DG1041" s="856"/>
      <c r="DH1041" s="856"/>
      <c r="DI1041" s="856"/>
      <c r="DJ1041" s="856"/>
      <c r="DK1041" s="856"/>
      <c r="DL1041" s="856"/>
      <c r="DM1041" s="152"/>
      <c r="DN1041" s="152"/>
      <c r="DO1041" s="152"/>
      <c r="DP1041" s="152"/>
      <c r="DQ1041" s="152"/>
    </row>
    <row r="1042" spans="1:121" s="35" customFormat="1" x14ac:dyDescent="0.2">
      <c r="A1042" s="34"/>
      <c r="D1042" s="148"/>
      <c r="E1042" s="148"/>
      <c r="F1042" s="148"/>
      <c r="G1042" s="148"/>
      <c r="H1042" s="148"/>
      <c r="I1042" s="148"/>
      <c r="J1042" s="148"/>
      <c r="K1042" s="148"/>
      <c r="L1042" s="148"/>
      <c r="M1042" s="148"/>
      <c r="N1042" s="148"/>
      <c r="O1042" s="148"/>
      <c r="P1042" s="148"/>
      <c r="Q1042" s="1565"/>
      <c r="R1042" s="1097"/>
      <c r="U1042" s="39"/>
      <c r="CU1042" s="875"/>
      <c r="CV1042" s="875"/>
      <c r="CW1042" s="875"/>
      <c r="CX1042" s="856"/>
      <c r="CY1042" s="856"/>
      <c r="CZ1042" s="856"/>
      <c r="DA1042" s="126"/>
      <c r="DB1042" s="126"/>
      <c r="DC1042" s="126"/>
      <c r="DD1042" s="126"/>
      <c r="DE1042" s="856"/>
      <c r="DF1042" s="856"/>
      <c r="DG1042" s="856"/>
      <c r="DH1042" s="856"/>
      <c r="DI1042" s="856"/>
      <c r="DJ1042" s="856"/>
      <c r="DK1042" s="856"/>
      <c r="DL1042" s="856"/>
      <c r="DM1042" s="152"/>
      <c r="DN1042" s="152"/>
      <c r="DO1042" s="152"/>
      <c r="DP1042" s="152"/>
      <c r="DQ1042" s="152"/>
    </row>
    <row r="1043" spans="1:121" s="35" customFormat="1" x14ac:dyDescent="0.2">
      <c r="A1043" s="34"/>
      <c r="D1043" s="148"/>
      <c r="E1043" s="148"/>
      <c r="F1043" s="148"/>
      <c r="G1043" s="148"/>
      <c r="H1043" s="148"/>
      <c r="I1043" s="148"/>
      <c r="J1043" s="148"/>
      <c r="K1043" s="148"/>
      <c r="L1043" s="148"/>
      <c r="M1043" s="148"/>
      <c r="N1043" s="148"/>
      <c r="O1043" s="148"/>
      <c r="P1043" s="148"/>
      <c r="Q1043" s="1565"/>
      <c r="R1043" s="1097"/>
      <c r="U1043" s="39"/>
      <c r="CU1043" s="875"/>
      <c r="CV1043" s="875"/>
      <c r="CW1043" s="875"/>
      <c r="CX1043" s="856"/>
      <c r="CY1043" s="856"/>
      <c r="CZ1043" s="856"/>
      <c r="DA1043" s="126"/>
      <c r="DB1043" s="126"/>
      <c r="DC1043" s="126"/>
      <c r="DD1043" s="126"/>
      <c r="DE1043" s="856"/>
      <c r="DF1043" s="856"/>
      <c r="DG1043" s="856"/>
      <c r="DH1043" s="856"/>
      <c r="DI1043" s="856"/>
      <c r="DJ1043" s="856"/>
      <c r="DK1043" s="856"/>
      <c r="DL1043" s="856"/>
      <c r="DM1043" s="152"/>
      <c r="DN1043" s="152"/>
      <c r="DO1043" s="152"/>
      <c r="DP1043" s="152"/>
      <c r="DQ1043" s="152"/>
    </row>
    <row r="1044" spans="1:121" s="35" customFormat="1" x14ac:dyDescent="0.2">
      <c r="A1044" s="34"/>
      <c r="D1044" s="148"/>
      <c r="E1044" s="148"/>
      <c r="F1044" s="148"/>
      <c r="G1044" s="148"/>
      <c r="H1044" s="148"/>
      <c r="I1044" s="148"/>
      <c r="J1044" s="148"/>
      <c r="K1044" s="148"/>
      <c r="L1044" s="148"/>
      <c r="M1044" s="148"/>
      <c r="N1044" s="148"/>
      <c r="O1044" s="148"/>
      <c r="P1044" s="148"/>
      <c r="Q1044" s="1565"/>
      <c r="R1044" s="1097"/>
      <c r="U1044" s="39"/>
      <c r="CU1044" s="875"/>
      <c r="CV1044" s="875"/>
      <c r="CW1044" s="875"/>
      <c r="CX1044" s="856"/>
      <c r="CY1044" s="856"/>
      <c r="CZ1044" s="856"/>
      <c r="DA1044" s="126"/>
      <c r="DB1044" s="126"/>
      <c r="DC1044" s="126"/>
      <c r="DD1044" s="126"/>
      <c r="DE1044" s="856"/>
      <c r="DF1044" s="856"/>
      <c r="DG1044" s="856"/>
      <c r="DH1044" s="856"/>
      <c r="DI1044" s="856"/>
      <c r="DJ1044" s="856"/>
      <c r="DK1044" s="856"/>
      <c r="DL1044" s="856"/>
      <c r="DM1044" s="152"/>
      <c r="DN1044" s="152"/>
      <c r="DO1044" s="152"/>
      <c r="DP1044" s="152"/>
      <c r="DQ1044" s="152"/>
    </row>
    <row r="1045" spans="1:121" s="35" customFormat="1" x14ac:dyDescent="0.2">
      <c r="A1045" s="34"/>
      <c r="D1045" s="148"/>
      <c r="E1045" s="148"/>
      <c r="F1045" s="148"/>
      <c r="G1045" s="148"/>
      <c r="H1045" s="148"/>
      <c r="I1045" s="148"/>
      <c r="J1045" s="148"/>
      <c r="K1045" s="148"/>
      <c r="L1045" s="148"/>
      <c r="M1045" s="148"/>
      <c r="N1045" s="148"/>
      <c r="O1045" s="148"/>
      <c r="P1045" s="148"/>
      <c r="Q1045" s="1565"/>
      <c r="R1045" s="1097"/>
      <c r="U1045" s="39"/>
      <c r="CU1045" s="875"/>
      <c r="CV1045" s="875"/>
      <c r="CW1045" s="875"/>
      <c r="CX1045" s="856"/>
      <c r="CY1045" s="856"/>
      <c r="CZ1045" s="856"/>
      <c r="DA1045" s="126"/>
      <c r="DB1045" s="126"/>
      <c r="DC1045" s="126"/>
      <c r="DD1045" s="126"/>
      <c r="DE1045" s="856"/>
      <c r="DF1045" s="856"/>
      <c r="DG1045" s="856"/>
      <c r="DH1045" s="856"/>
      <c r="DI1045" s="856"/>
      <c r="DJ1045" s="856"/>
      <c r="DK1045" s="856"/>
      <c r="DL1045" s="856"/>
      <c r="DM1045" s="152"/>
      <c r="DN1045" s="152"/>
      <c r="DO1045" s="152"/>
      <c r="DP1045" s="152"/>
      <c r="DQ1045" s="152"/>
    </row>
    <row r="1046" spans="1:121" s="35" customFormat="1" x14ac:dyDescent="0.2">
      <c r="A1046" s="34"/>
      <c r="D1046" s="148"/>
      <c r="E1046" s="148"/>
      <c r="F1046" s="148"/>
      <c r="G1046" s="148"/>
      <c r="H1046" s="148"/>
      <c r="I1046" s="148"/>
      <c r="J1046" s="148"/>
      <c r="K1046" s="148"/>
      <c r="L1046" s="148"/>
      <c r="M1046" s="148"/>
      <c r="N1046" s="148"/>
      <c r="O1046" s="148"/>
      <c r="P1046" s="148"/>
      <c r="Q1046" s="1565"/>
      <c r="R1046" s="1097"/>
      <c r="U1046" s="39"/>
      <c r="CU1046" s="875"/>
      <c r="CV1046" s="875"/>
      <c r="CW1046" s="875"/>
      <c r="CX1046" s="856"/>
      <c r="CY1046" s="856"/>
      <c r="CZ1046" s="856"/>
      <c r="DA1046" s="126"/>
      <c r="DB1046" s="126"/>
      <c r="DC1046" s="126"/>
      <c r="DD1046" s="126"/>
      <c r="DE1046" s="856"/>
      <c r="DF1046" s="856"/>
      <c r="DG1046" s="856"/>
      <c r="DH1046" s="856"/>
      <c r="DI1046" s="856"/>
      <c r="DJ1046" s="856"/>
      <c r="DK1046" s="856"/>
      <c r="DL1046" s="856"/>
      <c r="DM1046" s="152"/>
      <c r="DN1046" s="152"/>
      <c r="DO1046" s="152"/>
      <c r="DP1046" s="152"/>
      <c r="DQ1046" s="152"/>
    </row>
    <row r="1047" spans="1:121" s="35" customFormat="1" x14ac:dyDescent="0.2">
      <c r="A1047" s="34"/>
      <c r="D1047" s="148"/>
      <c r="E1047" s="148"/>
      <c r="F1047" s="148"/>
      <c r="G1047" s="148"/>
      <c r="H1047" s="148"/>
      <c r="I1047" s="148"/>
      <c r="J1047" s="148"/>
      <c r="K1047" s="148"/>
      <c r="L1047" s="148"/>
      <c r="M1047" s="148"/>
      <c r="N1047" s="148"/>
      <c r="O1047" s="148"/>
      <c r="P1047" s="148"/>
      <c r="Q1047" s="1565"/>
      <c r="R1047" s="1097"/>
      <c r="U1047" s="39"/>
      <c r="CU1047" s="875"/>
      <c r="CV1047" s="875"/>
      <c r="CW1047" s="875"/>
      <c r="CX1047" s="856"/>
      <c r="CY1047" s="856"/>
      <c r="CZ1047" s="856"/>
      <c r="DA1047" s="126"/>
      <c r="DB1047" s="126"/>
      <c r="DC1047" s="126"/>
      <c r="DD1047" s="126"/>
      <c r="DE1047" s="856"/>
      <c r="DF1047" s="856"/>
      <c r="DG1047" s="856"/>
      <c r="DH1047" s="856"/>
      <c r="DI1047" s="856"/>
      <c r="DJ1047" s="856"/>
      <c r="DK1047" s="856"/>
      <c r="DL1047" s="856"/>
      <c r="DM1047" s="152"/>
      <c r="DN1047" s="152"/>
      <c r="DO1047" s="152"/>
      <c r="DP1047" s="152"/>
      <c r="DQ1047" s="152"/>
    </row>
    <row r="1048" spans="1:121" s="35" customFormat="1" x14ac:dyDescent="0.2">
      <c r="A1048" s="34"/>
      <c r="D1048" s="148"/>
      <c r="E1048" s="148"/>
      <c r="F1048" s="148"/>
      <c r="G1048" s="148"/>
      <c r="H1048" s="148"/>
      <c r="I1048" s="148"/>
      <c r="J1048" s="148"/>
      <c r="K1048" s="148"/>
      <c r="L1048" s="148"/>
      <c r="M1048" s="148"/>
      <c r="N1048" s="148"/>
      <c r="O1048" s="148"/>
      <c r="P1048" s="148"/>
      <c r="Q1048" s="1565"/>
      <c r="R1048" s="1097"/>
      <c r="U1048" s="39"/>
      <c r="CU1048" s="875"/>
      <c r="CV1048" s="875"/>
      <c r="CW1048" s="875"/>
      <c r="CX1048" s="856"/>
      <c r="CY1048" s="856"/>
      <c r="CZ1048" s="856"/>
      <c r="DA1048" s="126"/>
      <c r="DB1048" s="126"/>
      <c r="DC1048" s="126"/>
      <c r="DD1048" s="126"/>
      <c r="DE1048" s="856"/>
      <c r="DF1048" s="856"/>
      <c r="DG1048" s="856"/>
      <c r="DH1048" s="856"/>
      <c r="DI1048" s="856"/>
      <c r="DJ1048" s="856"/>
      <c r="DK1048" s="856"/>
      <c r="DL1048" s="856"/>
      <c r="DM1048" s="152"/>
      <c r="DN1048" s="152"/>
      <c r="DO1048" s="152"/>
      <c r="DP1048" s="152"/>
      <c r="DQ1048" s="152"/>
    </row>
    <row r="1049" spans="1:121" s="35" customFormat="1" x14ac:dyDescent="0.2">
      <c r="A1049" s="34"/>
      <c r="D1049" s="148"/>
      <c r="E1049" s="148"/>
      <c r="F1049" s="148"/>
      <c r="G1049" s="148"/>
      <c r="H1049" s="148"/>
      <c r="I1049" s="148"/>
      <c r="J1049" s="148"/>
      <c r="K1049" s="148"/>
      <c r="L1049" s="148"/>
      <c r="M1049" s="148"/>
      <c r="N1049" s="148"/>
      <c r="O1049" s="148"/>
      <c r="P1049" s="148"/>
      <c r="Q1049" s="1565"/>
      <c r="R1049" s="1097"/>
      <c r="U1049" s="39"/>
      <c r="CU1049" s="875"/>
      <c r="CV1049" s="875"/>
      <c r="CW1049" s="875"/>
      <c r="CX1049" s="856"/>
      <c r="CY1049" s="856"/>
      <c r="CZ1049" s="856"/>
      <c r="DA1049" s="126"/>
      <c r="DB1049" s="126"/>
      <c r="DC1049" s="126"/>
      <c r="DD1049" s="126"/>
      <c r="DE1049" s="856"/>
      <c r="DF1049" s="856"/>
      <c r="DG1049" s="856"/>
      <c r="DH1049" s="856"/>
      <c r="DI1049" s="856"/>
      <c r="DJ1049" s="856"/>
      <c r="DK1049" s="856"/>
      <c r="DL1049" s="856"/>
      <c r="DM1049" s="152"/>
      <c r="DN1049" s="152"/>
      <c r="DO1049" s="152"/>
      <c r="DP1049" s="152"/>
      <c r="DQ1049" s="152"/>
    </row>
    <row r="1050" spans="1:121" s="35" customFormat="1" x14ac:dyDescent="0.2">
      <c r="A1050" s="34"/>
      <c r="D1050" s="148"/>
      <c r="E1050" s="148"/>
      <c r="F1050" s="148"/>
      <c r="G1050" s="148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1565"/>
      <c r="R1050" s="1097"/>
      <c r="U1050" s="39"/>
      <c r="CU1050" s="875"/>
      <c r="CV1050" s="875"/>
      <c r="CW1050" s="875"/>
      <c r="CX1050" s="856"/>
      <c r="CY1050" s="856"/>
      <c r="CZ1050" s="856"/>
      <c r="DA1050" s="126"/>
      <c r="DB1050" s="126"/>
      <c r="DC1050" s="126"/>
      <c r="DD1050" s="126"/>
      <c r="DE1050" s="856"/>
      <c r="DF1050" s="856"/>
      <c r="DG1050" s="856"/>
      <c r="DH1050" s="856"/>
      <c r="DI1050" s="856"/>
      <c r="DJ1050" s="856"/>
      <c r="DK1050" s="856"/>
      <c r="DL1050" s="856"/>
      <c r="DM1050" s="152"/>
      <c r="DN1050" s="152"/>
      <c r="DO1050" s="152"/>
      <c r="DP1050" s="152"/>
      <c r="DQ1050" s="152"/>
    </row>
    <row r="1051" spans="1:121" s="35" customFormat="1" x14ac:dyDescent="0.2">
      <c r="A1051" s="34"/>
      <c r="D1051" s="148"/>
      <c r="E1051" s="148"/>
      <c r="F1051" s="148"/>
      <c r="G1051" s="148"/>
      <c r="H1051" s="148"/>
      <c r="I1051" s="148"/>
      <c r="J1051" s="148"/>
      <c r="K1051" s="148"/>
      <c r="L1051" s="148"/>
      <c r="M1051" s="148"/>
      <c r="N1051" s="148"/>
      <c r="O1051" s="148"/>
      <c r="P1051" s="148"/>
      <c r="Q1051" s="1565"/>
      <c r="R1051" s="1097"/>
      <c r="U1051" s="39"/>
      <c r="CU1051" s="875"/>
      <c r="CV1051" s="875"/>
      <c r="CW1051" s="875"/>
      <c r="CX1051" s="856"/>
      <c r="CY1051" s="856"/>
      <c r="CZ1051" s="856"/>
      <c r="DA1051" s="126"/>
      <c r="DB1051" s="126"/>
      <c r="DC1051" s="126"/>
      <c r="DD1051" s="126"/>
      <c r="DE1051" s="856"/>
      <c r="DF1051" s="856"/>
      <c r="DG1051" s="856"/>
      <c r="DH1051" s="856"/>
      <c r="DI1051" s="856"/>
      <c r="DJ1051" s="856"/>
      <c r="DK1051" s="856"/>
      <c r="DL1051" s="856"/>
      <c r="DM1051" s="152"/>
      <c r="DN1051" s="152"/>
      <c r="DO1051" s="152"/>
      <c r="DP1051" s="152"/>
      <c r="DQ1051" s="152"/>
    </row>
    <row r="1052" spans="1:121" s="35" customFormat="1" x14ac:dyDescent="0.2">
      <c r="A1052" s="34"/>
      <c r="D1052" s="148"/>
      <c r="E1052" s="148"/>
      <c r="F1052" s="148"/>
      <c r="G1052" s="148"/>
      <c r="H1052" s="148"/>
      <c r="I1052" s="148"/>
      <c r="J1052" s="148"/>
      <c r="K1052" s="148"/>
      <c r="L1052" s="148"/>
      <c r="M1052" s="148"/>
      <c r="N1052" s="148"/>
      <c r="O1052" s="148"/>
      <c r="P1052" s="148"/>
      <c r="Q1052" s="1565"/>
      <c r="R1052" s="1097"/>
      <c r="U1052" s="39"/>
      <c r="CU1052" s="875"/>
      <c r="CV1052" s="875"/>
      <c r="CW1052" s="875"/>
      <c r="CX1052" s="856"/>
      <c r="CY1052" s="856"/>
      <c r="CZ1052" s="856"/>
      <c r="DA1052" s="126"/>
      <c r="DB1052" s="126"/>
      <c r="DC1052" s="126"/>
      <c r="DD1052" s="126"/>
      <c r="DE1052" s="856"/>
      <c r="DF1052" s="856"/>
      <c r="DG1052" s="856"/>
      <c r="DH1052" s="856"/>
      <c r="DI1052" s="856"/>
      <c r="DJ1052" s="856"/>
      <c r="DK1052" s="856"/>
      <c r="DL1052" s="856"/>
      <c r="DM1052" s="152"/>
      <c r="DN1052" s="152"/>
      <c r="DO1052" s="152"/>
      <c r="DP1052" s="152"/>
      <c r="DQ1052" s="152"/>
    </row>
    <row r="1053" spans="1:121" s="35" customFormat="1" x14ac:dyDescent="0.2">
      <c r="A1053" s="34"/>
      <c r="D1053" s="148"/>
      <c r="E1053" s="148"/>
      <c r="F1053" s="148"/>
      <c r="G1053" s="148"/>
      <c r="H1053" s="148"/>
      <c r="I1053" s="148"/>
      <c r="J1053" s="148"/>
      <c r="K1053" s="148"/>
      <c r="L1053" s="148"/>
      <c r="M1053" s="148"/>
      <c r="N1053" s="148"/>
      <c r="O1053" s="148"/>
      <c r="P1053" s="148"/>
      <c r="Q1053" s="1565"/>
      <c r="R1053" s="1097"/>
      <c r="U1053" s="39"/>
      <c r="CU1053" s="875"/>
      <c r="CV1053" s="875"/>
      <c r="CW1053" s="875"/>
      <c r="CX1053" s="856"/>
      <c r="CY1053" s="856"/>
      <c r="CZ1053" s="856"/>
      <c r="DA1053" s="126"/>
      <c r="DB1053" s="126"/>
      <c r="DC1053" s="126"/>
      <c r="DD1053" s="126"/>
      <c r="DE1053" s="856"/>
      <c r="DF1053" s="856"/>
      <c r="DG1053" s="856"/>
      <c r="DH1053" s="856"/>
      <c r="DI1053" s="856"/>
      <c r="DJ1053" s="856"/>
      <c r="DK1053" s="856"/>
      <c r="DL1053" s="856"/>
      <c r="DM1053" s="152"/>
      <c r="DN1053" s="152"/>
      <c r="DO1053" s="152"/>
      <c r="DP1053" s="152"/>
      <c r="DQ1053" s="152"/>
    </row>
    <row r="1054" spans="1:121" s="35" customFormat="1" x14ac:dyDescent="0.2">
      <c r="A1054" s="34"/>
      <c r="D1054" s="148"/>
      <c r="E1054" s="148"/>
      <c r="F1054" s="148"/>
      <c r="G1054" s="148"/>
      <c r="H1054" s="148"/>
      <c r="I1054" s="148"/>
      <c r="J1054" s="148"/>
      <c r="K1054" s="148"/>
      <c r="L1054" s="148"/>
      <c r="M1054" s="148"/>
      <c r="N1054" s="148"/>
      <c r="O1054" s="148"/>
      <c r="P1054" s="148"/>
      <c r="Q1054" s="1565"/>
      <c r="R1054" s="1097"/>
      <c r="U1054" s="39"/>
      <c r="CU1054" s="875"/>
      <c r="CV1054" s="875"/>
      <c r="CW1054" s="875"/>
      <c r="CX1054" s="856"/>
      <c r="CY1054" s="856"/>
      <c r="CZ1054" s="856"/>
      <c r="DA1054" s="126"/>
      <c r="DB1054" s="126"/>
      <c r="DC1054" s="126"/>
      <c r="DD1054" s="126"/>
      <c r="DE1054" s="856"/>
      <c r="DF1054" s="856"/>
      <c r="DG1054" s="856"/>
      <c r="DH1054" s="856"/>
      <c r="DI1054" s="856"/>
      <c r="DJ1054" s="856"/>
      <c r="DK1054" s="856"/>
      <c r="DL1054" s="856"/>
      <c r="DM1054" s="152"/>
      <c r="DN1054" s="152"/>
      <c r="DO1054" s="152"/>
      <c r="DP1054" s="152"/>
      <c r="DQ1054" s="152"/>
    </row>
    <row r="1055" spans="1:121" s="35" customFormat="1" x14ac:dyDescent="0.2">
      <c r="A1055" s="34"/>
      <c r="D1055" s="148"/>
      <c r="E1055" s="148"/>
      <c r="F1055" s="148"/>
      <c r="G1055" s="148"/>
      <c r="H1055" s="148"/>
      <c r="I1055" s="148"/>
      <c r="J1055" s="148"/>
      <c r="K1055" s="148"/>
      <c r="L1055" s="148"/>
      <c r="M1055" s="148"/>
      <c r="N1055" s="148"/>
      <c r="O1055" s="148"/>
      <c r="P1055" s="148"/>
      <c r="Q1055" s="1565"/>
      <c r="R1055" s="1097"/>
      <c r="U1055" s="39"/>
      <c r="CU1055" s="875"/>
      <c r="CV1055" s="875"/>
      <c r="CW1055" s="875"/>
      <c r="CX1055" s="856"/>
      <c r="CY1055" s="856"/>
      <c r="CZ1055" s="856"/>
      <c r="DA1055" s="126"/>
      <c r="DB1055" s="126"/>
      <c r="DC1055" s="126"/>
      <c r="DD1055" s="126"/>
      <c r="DE1055" s="856"/>
      <c r="DF1055" s="856"/>
      <c r="DG1055" s="856"/>
      <c r="DH1055" s="856"/>
      <c r="DI1055" s="856"/>
      <c r="DJ1055" s="856"/>
      <c r="DK1055" s="856"/>
      <c r="DL1055" s="856"/>
      <c r="DM1055" s="152"/>
      <c r="DN1055" s="152"/>
      <c r="DO1055" s="152"/>
      <c r="DP1055" s="152"/>
      <c r="DQ1055" s="152"/>
    </row>
    <row r="1056" spans="1:121" s="35" customFormat="1" x14ac:dyDescent="0.2">
      <c r="A1056" s="34"/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565"/>
      <c r="R1056" s="1097"/>
      <c r="U1056" s="39"/>
      <c r="CU1056" s="875"/>
      <c r="CV1056" s="875"/>
      <c r="CW1056" s="875"/>
      <c r="CX1056" s="856"/>
      <c r="CY1056" s="856"/>
      <c r="CZ1056" s="856"/>
      <c r="DA1056" s="126"/>
      <c r="DB1056" s="126"/>
      <c r="DC1056" s="126"/>
      <c r="DD1056" s="126"/>
      <c r="DE1056" s="856"/>
      <c r="DF1056" s="856"/>
      <c r="DG1056" s="856"/>
      <c r="DH1056" s="856"/>
      <c r="DI1056" s="856"/>
      <c r="DJ1056" s="856"/>
      <c r="DK1056" s="856"/>
      <c r="DL1056" s="856"/>
      <c r="DM1056" s="152"/>
      <c r="DN1056" s="152"/>
      <c r="DO1056" s="152"/>
      <c r="DP1056" s="152"/>
      <c r="DQ1056" s="152"/>
    </row>
    <row r="1057" spans="1:121" s="35" customFormat="1" x14ac:dyDescent="0.2">
      <c r="A1057" s="34"/>
      <c r="D1057" s="148"/>
      <c r="E1057" s="148"/>
      <c r="F1057" s="148"/>
      <c r="G1057" s="148"/>
      <c r="H1057" s="148"/>
      <c r="I1057" s="148"/>
      <c r="J1057" s="148"/>
      <c r="K1057" s="148"/>
      <c r="L1057" s="148"/>
      <c r="M1057" s="148"/>
      <c r="N1057" s="148"/>
      <c r="O1057" s="148"/>
      <c r="P1057" s="148"/>
      <c r="Q1057" s="1565"/>
      <c r="R1057" s="1097"/>
      <c r="U1057" s="39"/>
      <c r="CU1057" s="875"/>
      <c r="CV1057" s="875"/>
      <c r="CW1057" s="875"/>
      <c r="CX1057" s="856"/>
      <c r="CY1057" s="856"/>
      <c r="CZ1057" s="856"/>
      <c r="DA1057" s="126"/>
      <c r="DB1057" s="126"/>
      <c r="DC1057" s="126"/>
      <c r="DD1057" s="126"/>
      <c r="DE1057" s="856"/>
      <c r="DF1057" s="856"/>
      <c r="DG1057" s="856"/>
      <c r="DH1057" s="856"/>
      <c r="DI1057" s="856"/>
      <c r="DJ1057" s="856"/>
      <c r="DK1057" s="856"/>
      <c r="DL1057" s="856"/>
      <c r="DM1057" s="152"/>
      <c r="DN1057" s="152"/>
      <c r="DO1057" s="152"/>
      <c r="DP1057" s="152"/>
      <c r="DQ1057" s="152"/>
    </row>
    <row r="1058" spans="1:121" s="35" customFormat="1" x14ac:dyDescent="0.2">
      <c r="A1058" s="34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  <c r="N1058" s="148"/>
      <c r="O1058" s="148"/>
      <c r="P1058" s="148"/>
      <c r="Q1058" s="1565"/>
      <c r="R1058" s="1097"/>
      <c r="U1058" s="39"/>
      <c r="CU1058" s="875"/>
      <c r="CV1058" s="875"/>
      <c r="CW1058" s="875"/>
      <c r="CX1058" s="856"/>
      <c r="CY1058" s="856"/>
      <c r="CZ1058" s="856"/>
      <c r="DA1058" s="126"/>
      <c r="DB1058" s="126"/>
      <c r="DC1058" s="126"/>
      <c r="DD1058" s="126"/>
      <c r="DE1058" s="856"/>
      <c r="DF1058" s="856"/>
      <c r="DG1058" s="856"/>
      <c r="DH1058" s="856"/>
      <c r="DI1058" s="856"/>
      <c r="DJ1058" s="856"/>
      <c r="DK1058" s="856"/>
      <c r="DL1058" s="856"/>
      <c r="DM1058" s="152"/>
      <c r="DN1058" s="152"/>
      <c r="DO1058" s="152"/>
      <c r="DP1058" s="152"/>
      <c r="DQ1058" s="152"/>
    </row>
    <row r="1059" spans="1:121" s="35" customFormat="1" x14ac:dyDescent="0.2">
      <c r="A1059" s="34"/>
      <c r="D1059" s="148"/>
      <c r="E1059" s="148"/>
      <c r="F1059" s="148"/>
      <c r="G1059" s="148"/>
      <c r="H1059" s="148"/>
      <c r="I1059" s="148"/>
      <c r="J1059" s="148"/>
      <c r="K1059" s="148"/>
      <c r="L1059" s="148"/>
      <c r="M1059" s="148"/>
      <c r="N1059" s="148"/>
      <c r="O1059" s="148"/>
      <c r="P1059" s="148"/>
      <c r="Q1059" s="1565"/>
      <c r="R1059" s="1097"/>
      <c r="U1059" s="39"/>
      <c r="CU1059" s="875"/>
      <c r="CV1059" s="875"/>
      <c r="CW1059" s="875"/>
      <c r="CX1059" s="856"/>
      <c r="CY1059" s="856"/>
      <c r="CZ1059" s="856"/>
      <c r="DA1059" s="126"/>
      <c r="DB1059" s="126"/>
      <c r="DC1059" s="126"/>
      <c r="DD1059" s="126"/>
      <c r="DE1059" s="856"/>
      <c r="DF1059" s="856"/>
      <c r="DG1059" s="856"/>
      <c r="DH1059" s="856"/>
      <c r="DI1059" s="856"/>
      <c r="DJ1059" s="856"/>
      <c r="DK1059" s="856"/>
      <c r="DL1059" s="856"/>
      <c r="DM1059" s="152"/>
      <c r="DN1059" s="152"/>
      <c r="DO1059" s="152"/>
      <c r="DP1059" s="152"/>
      <c r="DQ1059" s="152"/>
    </row>
    <row r="1060" spans="1:121" s="35" customFormat="1" x14ac:dyDescent="0.2">
      <c r="A1060" s="34"/>
      <c r="D1060" s="148"/>
      <c r="E1060" s="148"/>
      <c r="F1060" s="148"/>
      <c r="G1060" s="148"/>
      <c r="H1060" s="148"/>
      <c r="I1060" s="148"/>
      <c r="J1060" s="148"/>
      <c r="K1060" s="148"/>
      <c r="L1060" s="148"/>
      <c r="M1060" s="148"/>
      <c r="N1060" s="148"/>
      <c r="O1060" s="148"/>
      <c r="P1060" s="148"/>
      <c r="Q1060" s="1565"/>
      <c r="R1060" s="1097"/>
      <c r="U1060" s="39"/>
      <c r="CU1060" s="875"/>
      <c r="CV1060" s="875"/>
      <c r="CW1060" s="875"/>
      <c r="CX1060" s="856"/>
      <c r="CY1060" s="856"/>
      <c r="CZ1060" s="856"/>
      <c r="DA1060" s="126"/>
      <c r="DB1060" s="126"/>
      <c r="DC1060" s="126"/>
      <c r="DD1060" s="126"/>
      <c r="DE1060" s="856"/>
      <c r="DF1060" s="856"/>
      <c r="DG1060" s="856"/>
      <c r="DH1060" s="856"/>
      <c r="DI1060" s="856"/>
      <c r="DJ1060" s="856"/>
      <c r="DK1060" s="856"/>
      <c r="DL1060" s="856"/>
      <c r="DM1060" s="152"/>
      <c r="DN1060" s="152"/>
      <c r="DO1060" s="152"/>
      <c r="DP1060" s="152"/>
      <c r="DQ1060" s="152"/>
    </row>
    <row r="1061" spans="1:121" s="35" customFormat="1" x14ac:dyDescent="0.2">
      <c r="A1061" s="34"/>
      <c r="D1061" s="148"/>
      <c r="E1061" s="148"/>
      <c r="F1061" s="148"/>
      <c r="G1061" s="148"/>
      <c r="H1061" s="148"/>
      <c r="I1061" s="148"/>
      <c r="J1061" s="148"/>
      <c r="K1061" s="148"/>
      <c r="L1061" s="148"/>
      <c r="M1061" s="148"/>
      <c r="N1061" s="148"/>
      <c r="O1061" s="148"/>
      <c r="P1061" s="148"/>
      <c r="Q1061" s="1565"/>
      <c r="R1061" s="1097"/>
      <c r="U1061" s="39"/>
      <c r="CU1061" s="875"/>
      <c r="CV1061" s="875"/>
      <c r="CW1061" s="875"/>
      <c r="CX1061" s="856"/>
      <c r="CY1061" s="856"/>
      <c r="CZ1061" s="856"/>
      <c r="DA1061" s="126"/>
      <c r="DB1061" s="126"/>
      <c r="DC1061" s="126"/>
      <c r="DD1061" s="126"/>
      <c r="DE1061" s="856"/>
      <c r="DF1061" s="856"/>
      <c r="DG1061" s="856"/>
      <c r="DH1061" s="856"/>
      <c r="DI1061" s="856"/>
      <c r="DJ1061" s="856"/>
      <c r="DK1061" s="856"/>
      <c r="DL1061" s="856"/>
      <c r="DM1061" s="152"/>
      <c r="DN1061" s="152"/>
      <c r="DO1061" s="152"/>
      <c r="DP1061" s="152"/>
      <c r="DQ1061" s="152"/>
    </row>
    <row r="1062" spans="1:121" s="35" customFormat="1" x14ac:dyDescent="0.2">
      <c r="A1062" s="34"/>
      <c r="D1062" s="148"/>
      <c r="E1062" s="148"/>
      <c r="F1062" s="148"/>
      <c r="G1062" s="148"/>
      <c r="H1062" s="148"/>
      <c r="I1062" s="148"/>
      <c r="J1062" s="148"/>
      <c r="K1062" s="148"/>
      <c r="L1062" s="148"/>
      <c r="M1062" s="148"/>
      <c r="N1062" s="148"/>
      <c r="O1062" s="148"/>
      <c r="P1062" s="148"/>
      <c r="Q1062" s="1565"/>
      <c r="R1062" s="1097"/>
      <c r="U1062" s="39"/>
      <c r="CU1062" s="875"/>
      <c r="CV1062" s="875"/>
      <c r="CW1062" s="875"/>
      <c r="CX1062" s="856"/>
      <c r="CY1062" s="856"/>
      <c r="CZ1062" s="856"/>
      <c r="DA1062" s="126"/>
      <c r="DB1062" s="126"/>
      <c r="DC1062" s="126"/>
      <c r="DD1062" s="126"/>
      <c r="DE1062" s="856"/>
      <c r="DF1062" s="856"/>
      <c r="DG1062" s="856"/>
      <c r="DH1062" s="856"/>
      <c r="DI1062" s="856"/>
      <c r="DJ1062" s="856"/>
      <c r="DK1062" s="856"/>
      <c r="DL1062" s="856"/>
      <c r="DM1062" s="152"/>
      <c r="DN1062" s="152"/>
      <c r="DO1062" s="152"/>
      <c r="DP1062" s="152"/>
      <c r="DQ1062" s="152"/>
    </row>
    <row r="1063" spans="1:121" s="35" customFormat="1" x14ac:dyDescent="0.2">
      <c r="A1063" s="34"/>
      <c r="D1063" s="148"/>
      <c r="E1063" s="148"/>
      <c r="F1063" s="148"/>
      <c r="G1063" s="148"/>
      <c r="H1063" s="148"/>
      <c r="I1063" s="148"/>
      <c r="J1063" s="148"/>
      <c r="K1063" s="148"/>
      <c r="L1063" s="148"/>
      <c r="M1063" s="148"/>
      <c r="N1063" s="148"/>
      <c r="O1063" s="148"/>
      <c r="P1063" s="148"/>
      <c r="Q1063" s="1565"/>
      <c r="R1063" s="1097"/>
      <c r="U1063" s="39"/>
      <c r="CU1063" s="875"/>
      <c r="CV1063" s="875"/>
      <c r="CW1063" s="875"/>
      <c r="CX1063" s="856"/>
      <c r="CY1063" s="856"/>
      <c r="CZ1063" s="856"/>
      <c r="DA1063" s="126"/>
      <c r="DB1063" s="126"/>
      <c r="DC1063" s="126"/>
      <c r="DD1063" s="126"/>
      <c r="DE1063" s="856"/>
      <c r="DF1063" s="856"/>
      <c r="DG1063" s="856"/>
      <c r="DH1063" s="856"/>
      <c r="DI1063" s="856"/>
      <c r="DJ1063" s="856"/>
      <c r="DK1063" s="856"/>
      <c r="DL1063" s="856"/>
      <c r="DM1063" s="152"/>
      <c r="DN1063" s="152"/>
      <c r="DO1063" s="152"/>
      <c r="DP1063" s="152"/>
      <c r="DQ1063" s="152"/>
    </row>
    <row r="1064" spans="1:121" s="35" customFormat="1" x14ac:dyDescent="0.2">
      <c r="A1064" s="34"/>
      <c r="D1064" s="148"/>
      <c r="E1064" s="148"/>
      <c r="F1064" s="148"/>
      <c r="G1064" s="148"/>
      <c r="H1064" s="148"/>
      <c r="I1064" s="148"/>
      <c r="J1064" s="148"/>
      <c r="K1064" s="148"/>
      <c r="L1064" s="148"/>
      <c r="M1064" s="148"/>
      <c r="N1064" s="148"/>
      <c r="O1064" s="148"/>
      <c r="P1064" s="148"/>
      <c r="Q1064" s="1565"/>
      <c r="R1064" s="1097"/>
      <c r="U1064" s="39"/>
      <c r="CU1064" s="875"/>
      <c r="CV1064" s="875"/>
      <c r="CW1064" s="875"/>
      <c r="CX1064" s="856"/>
      <c r="CY1064" s="856"/>
      <c r="CZ1064" s="856"/>
      <c r="DA1064" s="126"/>
      <c r="DB1064" s="126"/>
      <c r="DC1064" s="126"/>
      <c r="DD1064" s="126"/>
      <c r="DE1064" s="856"/>
      <c r="DF1064" s="856"/>
      <c r="DG1064" s="856"/>
      <c r="DH1064" s="856"/>
      <c r="DI1064" s="856"/>
      <c r="DJ1064" s="856"/>
      <c r="DK1064" s="856"/>
      <c r="DL1064" s="856"/>
      <c r="DM1064" s="152"/>
      <c r="DN1064" s="152"/>
      <c r="DO1064" s="152"/>
      <c r="DP1064" s="152"/>
      <c r="DQ1064" s="152"/>
    </row>
    <row r="1065" spans="1:121" s="35" customFormat="1" x14ac:dyDescent="0.2">
      <c r="A1065" s="34"/>
      <c r="D1065" s="148"/>
      <c r="E1065" s="148"/>
      <c r="F1065" s="148"/>
      <c r="G1065" s="148"/>
      <c r="H1065" s="148"/>
      <c r="I1065" s="148"/>
      <c r="J1065" s="148"/>
      <c r="K1065" s="148"/>
      <c r="L1065" s="148"/>
      <c r="M1065" s="148"/>
      <c r="N1065" s="148"/>
      <c r="O1065" s="148"/>
      <c r="P1065" s="148"/>
      <c r="Q1065" s="1565"/>
      <c r="R1065" s="1097"/>
      <c r="U1065" s="39"/>
      <c r="CU1065" s="875"/>
      <c r="CV1065" s="875"/>
      <c r="CW1065" s="875"/>
      <c r="CX1065" s="856"/>
      <c r="CY1065" s="856"/>
      <c r="CZ1065" s="856"/>
      <c r="DA1065" s="126"/>
      <c r="DB1065" s="126"/>
      <c r="DC1065" s="126"/>
      <c r="DD1065" s="126"/>
      <c r="DE1065" s="856"/>
      <c r="DF1065" s="856"/>
      <c r="DG1065" s="856"/>
      <c r="DH1065" s="856"/>
      <c r="DI1065" s="856"/>
      <c r="DJ1065" s="856"/>
      <c r="DK1065" s="856"/>
      <c r="DL1065" s="856"/>
      <c r="DM1065" s="152"/>
      <c r="DN1065" s="152"/>
      <c r="DO1065" s="152"/>
      <c r="DP1065" s="152"/>
      <c r="DQ1065" s="152"/>
    </row>
    <row r="1066" spans="1:121" s="35" customFormat="1" x14ac:dyDescent="0.2">
      <c r="A1066" s="34"/>
      <c r="D1066" s="148"/>
      <c r="E1066" s="148"/>
      <c r="F1066" s="148"/>
      <c r="G1066" s="148"/>
      <c r="H1066" s="148"/>
      <c r="I1066" s="148"/>
      <c r="J1066" s="148"/>
      <c r="K1066" s="148"/>
      <c r="L1066" s="148"/>
      <c r="M1066" s="148"/>
      <c r="N1066" s="148"/>
      <c r="O1066" s="148"/>
      <c r="P1066" s="148"/>
      <c r="Q1066" s="1565"/>
      <c r="R1066" s="1097"/>
      <c r="U1066" s="39"/>
      <c r="CU1066" s="875"/>
      <c r="CV1066" s="875"/>
      <c r="CW1066" s="875"/>
      <c r="CX1066" s="856"/>
      <c r="CY1066" s="856"/>
      <c r="CZ1066" s="856"/>
      <c r="DA1066" s="126"/>
      <c r="DB1066" s="126"/>
      <c r="DC1066" s="126"/>
      <c r="DD1066" s="126"/>
      <c r="DE1066" s="856"/>
      <c r="DF1066" s="856"/>
      <c r="DG1066" s="856"/>
      <c r="DH1066" s="856"/>
      <c r="DI1066" s="856"/>
      <c r="DJ1066" s="856"/>
      <c r="DK1066" s="856"/>
      <c r="DL1066" s="856"/>
      <c r="DM1066" s="152"/>
      <c r="DN1066" s="152"/>
      <c r="DO1066" s="152"/>
      <c r="DP1066" s="152"/>
      <c r="DQ1066" s="152"/>
    </row>
    <row r="1067" spans="1:121" s="35" customFormat="1" x14ac:dyDescent="0.2">
      <c r="A1067" s="34"/>
      <c r="D1067" s="148"/>
      <c r="E1067" s="148"/>
      <c r="F1067" s="148"/>
      <c r="G1067" s="148"/>
      <c r="H1067" s="148"/>
      <c r="I1067" s="148"/>
      <c r="J1067" s="148"/>
      <c r="K1067" s="148"/>
      <c r="L1067" s="148"/>
      <c r="M1067" s="148"/>
      <c r="N1067" s="148"/>
      <c r="O1067" s="148"/>
      <c r="P1067" s="148"/>
      <c r="Q1067" s="1565"/>
      <c r="R1067" s="1097"/>
      <c r="U1067" s="39"/>
      <c r="CU1067" s="875"/>
      <c r="CV1067" s="875"/>
      <c r="CW1067" s="875"/>
      <c r="CX1067" s="856"/>
      <c r="CY1067" s="856"/>
      <c r="CZ1067" s="856"/>
      <c r="DA1067" s="126"/>
      <c r="DB1067" s="126"/>
      <c r="DC1067" s="126"/>
      <c r="DD1067" s="126"/>
      <c r="DE1067" s="856"/>
      <c r="DF1067" s="856"/>
      <c r="DG1067" s="856"/>
      <c r="DH1067" s="856"/>
      <c r="DI1067" s="856"/>
      <c r="DJ1067" s="856"/>
      <c r="DK1067" s="856"/>
      <c r="DL1067" s="856"/>
      <c r="DM1067" s="152"/>
      <c r="DN1067" s="152"/>
      <c r="DO1067" s="152"/>
      <c r="DP1067" s="152"/>
      <c r="DQ1067" s="152"/>
    </row>
    <row r="1068" spans="1:121" s="35" customFormat="1" x14ac:dyDescent="0.2">
      <c r="A1068" s="34"/>
      <c r="D1068" s="148"/>
      <c r="E1068" s="148"/>
      <c r="F1068" s="148"/>
      <c r="G1068" s="148"/>
      <c r="H1068" s="148"/>
      <c r="I1068" s="148"/>
      <c r="J1068" s="148"/>
      <c r="K1068" s="148"/>
      <c r="L1068" s="148"/>
      <c r="M1068" s="148"/>
      <c r="N1068" s="148"/>
      <c r="O1068" s="148"/>
      <c r="P1068" s="148"/>
      <c r="Q1068" s="1565"/>
      <c r="R1068" s="1097"/>
      <c r="U1068" s="39"/>
      <c r="CU1068" s="875"/>
      <c r="CV1068" s="875"/>
      <c r="CW1068" s="875"/>
      <c r="CX1068" s="856"/>
      <c r="CY1068" s="856"/>
      <c r="CZ1068" s="856"/>
      <c r="DA1068" s="126"/>
      <c r="DB1068" s="126"/>
      <c r="DC1068" s="126"/>
      <c r="DD1068" s="126"/>
      <c r="DE1068" s="856"/>
      <c r="DF1068" s="856"/>
      <c r="DG1068" s="856"/>
      <c r="DH1068" s="856"/>
      <c r="DI1068" s="856"/>
      <c r="DJ1068" s="856"/>
      <c r="DK1068" s="856"/>
      <c r="DL1068" s="856"/>
      <c r="DM1068" s="152"/>
      <c r="DN1068" s="152"/>
      <c r="DO1068" s="152"/>
      <c r="DP1068" s="152"/>
      <c r="DQ1068" s="152"/>
    </row>
    <row r="1069" spans="1:121" s="35" customFormat="1" x14ac:dyDescent="0.2">
      <c r="A1069" s="34"/>
      <c r="D1069" s="148"/>
      <c r="E1069" s="148"/>
      <c r="F1069" s="148"/>
      <c r="G1069" s="148"/>
      <c r="H1069" s="148"/>
      <c r="I1069" s="148"/>
      <c r="J1069" s="148"/>
      <c r="K1069" s="148"/>
      <c r="L1069" s="148"/>
      <c r="M1069" s="148"/>
      <c r="N1069" s="148"/>
      <c r="O1069" s="148"/>
      <c r="P1069" s="148"/>
      <c r="Q1069" s="1565"/>
      <c r="R1069" s="1097"/>
      <c r="U1069" s="39"/>
      <c r="CU1069" s="875"/>
      <c r="CV1069" s="875"/>
      <c r="CW1069" s="875"/>
      <c r="CX1069" s="856"/>
      <c r="CY1069" s="856"/>
      <c r="CZ1069" s="856"/>
      <c r="DA1069" s="126"/>
      <c r="DB1069" s="126"/>
      <c r="DC1069" s="126"/>
      <c r="DD1069" s="126"/>
      <c r="DE1069" s="856"/>
      <c r="DF1069" s="856"/>
      <c r="DG1069" s="856"/>
      <c r="DH1069" s="856"/>
      <c r="DI1069" s="856"/>
      <c r="DJ1069" s="856"/>
      <c r="DK1069" s="856"/>
      <c r="DL1069" s="856"/>
      <c r="DM1069" s="152"/>
      <c r="DN1069" s="152"/>
      <c r="DO1069" s="152"/>
      <c r="DP1069" s="152"/>
      <c r="DQ1069" s="152"/>
    </row>
    <row r="1070" spans="1:121" s="35" customFormat="1" x14ac:dyDescent="0.2">
      <c r="A1070" s="34"/>
      <c r="D1070" s="148"/>
      <c r="E1070" s="148"/>
      <c r="F1070" s="148"/>
      <c r="G1070" s="148"/>
      <c r="H1070" s="148"/>
      <c r="I1070" s="148"/>
      <c r="J1070" s="148"/>
      <c r="K1070" s="148"/>
      <c r="L1070" s="148"/>
      <c r="M1070" s="148"/>
      <c r="N1070" s="148"/>
      <c r="O1070" s="148"/>
      <c r="P1070" s="148"/>
      <c r="Q1070" s="1565"/>
      <c r="R1070" s="1097"/>
      <c r="U1070" s="39"/>
      <c r="CU1070" s="875"/>
      <c r="CV1070" s="875"/>
      <c r="CW1070" s="875"/>
      <c r="CX1070" s="856"/>
      <c r="CY1070" s="856"/>
      <c r="CZ1070" s="856"/>
      <c r="DA1070" s="126"/>
      <c r="DB1070" s="126"/>
      <c r="DC1070" s="126"/>
      <c r="DD1070" s="126"/>
      <c r="DE1070" s="856"/>
      <c r="DF1070" s="856"/>
      <c r="DG1070" s="856"/>
      <c r="DH1070" s="856"/>
      <c r="DI1070" s="856"/>
      <c r="DJ1070" s="856"/>
      <c r="DK1070" s="856"/>
      <c r="DL1070" s="856"/>
      <c r="DM1070" s="152"/>
      <c r="DN1070" s="152"/>
      <c r="DO1070" s="152"/>
      <c r="DP1070" s="152"/>
      <c r="DQ1070" s="152"/>
    </row>
    <row r="1071" spans="1:121" s="35" customFormat="1" x14ac:dyDescent="0.2">
      <c r="A1071" s="34"/>
      <c r="D1071" s="148"/>
      <c r="E1071" s="148"/>
      <c r="F1071" s="148"/>
      <c r="G1071" s="148"/>
      <c r="H1071" s="148"/>
      <c r="I1071" s="148"/>
      <c r="J1071" s="148"/>
      <c r="K1071" s="148"/>
      <c r="L1071" s="148"/>
      <c r="M1071" s="148"/>
      <c r="N1071" s="148"/>
      <c r="O1071" s="148"/>
      <c r="P1071" s="148"/>
      <c r="Q1071" s="1565"/>
      <c r="R1071" s="1097"/>
      <c r="U1071" s="39"/>
      <c r="CU1071" s="875"/>
      <c r="CV1071" s="875"/>
      <c r="CW1071" s="875"/>
      <c r="CX1071" s="856"/>
      <c r="CY1071" s="856"/>
      <c r="CZ1071" s="856"/>
      <c r="DA1071" s="126"/>
      <c r="DB1071" s="126"/>
      <c r="DC1071" s="126"/>
      <c r="DD1071" s="126"/>
      <c r="DE1071" s="856"/>
      <c r="DF1071" s="856"/>
      <c r="DG1071" s="856"/>
      <c r="DH1071" s="856"/>
      <c r="DI1071" s="856"/>
      <c r="DJ1071" s="856"/>
      <c r="DK1071" s="856"/>
      <c r="DL1071" s="856"/>
      <c r="DM1071" s="152"/>
      <c r="DN1071" s="152"/>
      <c r="DO1071" s="152"/>
      <c r="DP1071" s="152"/>
      <c r="DQ1071" s="152"/>
    </row>
    <row r="1072" spans="1:121" s="35" customFormat="1" x14ac:dyDescent="0.2">
      <c r="A1072" s="34"/>
      <c r="D1072" s="148"/>
      <c r="E1072" s="148"/>
      <c r="F1072" s="148"/>
      <c r="G1072" s="148"/>
      <c r="H1072" s="148"/>
      <c r="I1072" s="148"/>
      <c r="J1072" s="148"/>
      <c r="K1072" s="148"/>
      <c r="L1072" s="148"/>
      <c r="M1072" s="148"/>
      <c r="N1072" s="148"/>
      <c r="O1072" s="148"/>
      <c r="P1072" s="148"/>
      <c r="Q1072" s="1565"/>
      <c r="R1072" s="1097"/>
      <c r="U1072" s="39"/>
      <c r="CU1072" s="875"/>
      <c r="CV1072" s="875"/>
      <c r="CW1072" s="875"/>
      <c r="CX1072" s="856"/>
      <c r="CY1072" s="856"/>
      <c r="CZ1072" s="856"/>
      <c r="DA1072" s="126"/>
      <c r="DB1072" s="126"/>
      <c r="DC1072" s="126"/>
      <c r="DD1072" s="126"/>
      <c r="DE1072" s="856"/>
      <c r="DF1072" s="856"/>
      <c r="DG1072" s="856"/>
      <c r="DH1072" s="856"/>
      <c r="DI1072" s="856"/>
      <c r="DJ1072" s="856"/>
      <c r="DK1072" s="856"/>
      <c r="DL1072" s="856"/>
      <c r="DM1072" s="152"/>
      <c r="DN1072" s="152"/>
      <c r="DO1072" s="152"/>
      <c r="DP1072" s="152"/>
      <c r="DQ1072" s="152"/>
    </row>
    <row r="1073" spans="1:121" s="35" customFormat="1" x14ac:dyDescent="0.2">
      <c r="A1073" s="34"/>
      <c r="D1073" s="148"/>
      <c r="E1073" s="148"/>
      <c r="F1073" s="148"/>
      <c r="G1073" s="148"/>
      <c r="H1073" s="148"/>
      <c r="I1073" s="148"/>
      <c r="J1073" s="148"/>
      <c r="K1073" s="148"/>
      <c r="L1073" s="148"/>
      <c r="M1073" s="148"/>
      <c r="N1073" s="148"/>
      <c r="O1073" s="148"/>
      <c r="P1073" s="148"/>
      <c r="Q1073" s="1565"/>
      <c r="R1073" s="1097"/>
      <c r="U1073" s="39"/>
      <c r="CU1073" s="875"/>
      <c r="CV1073" s="875"/>
      <c r="CW1073" s="875"/>
      <c r="CX1073" s="856"/>
      <c r="CY1073" s="856"/>
      <c r="CZ1073" s="856"/>
      <c r="DA1073" s="126"/>
      <c r="DB1073" s="126"/>
      <c r="DC1073" s="126"/>
      <c r="DD1073" s="126"/>
      <c r="DE1073" s="856"/>
      <c r="DF1073" s="856"/>
      <c r="DG1073" s="856"/>
      <c r="DH1073" s="856"/>
      <c r="DI1073" s="856"/>
      <c r="DJ1073" s="856"/>
      <c r="DK1073" s="856"/>
      <c r="DL1073" s="856"/>
      <c r="DM1073" s="152"/>
      <c r="DN1073" s="152"/>
      <c r="DO1073" s="152"/>
      <c r="DP1073" s="152"/>
      <c r="DQ1073" s="152"/>
    </row>
    <row r="1074" spans="1:121" s="35" customFormat="1" x14ac:dyDescent="0.2">
      <c r="A1074" s="34"/>
      <c r="D1074" s="148"/>
      <c r="E1074" s="148"/>
      <c r="F1074" s="148"/>
      <c r="G1074" s="148"/>
      <c r="H1074" s="148"/>
      <c r="I1074" s="148"/>
      <c r="J1074" s="148"/>
      <c r="K1074" s="148"/>
      <c r="L1074" s="148"/>
      <c r="M1074" s="148"/>
      <c r="N1074" s="148"/>
      <c r="O1074" s="148"/>
      <c r="P1074" s="148"/>
      <c r="Q1074" s="1565"/>
      <c r="R1074" s="1097"/>
      <c r="U1074" s="39"/>
      <c r="CU1074" s="875"/>
      <c r="CV1074" s="875"/>
      <c r="CW1074" s="875"/>
      <c r="CX1074" s="856"/>
      <c r="CY1074" s="856"/>
      <c r="CZ1074" s="856"/>
      <c r="DA1074" s="126"/>
      <c r="DB1074" s="126"/>
      <c r="DC1074" s="126"/>
      <c r="DD1074" s="126"/>
      <c r="DE1074" s="856"/>
      <c r="DF1074" s="856"/>
      <c r="DG1074" s="856"/>
      <c r="DH1074" s="856"/>
      <c r="DI1074" s="856"/>
      <c r="DJ1074" s="856"/>
      <c r="DK1074" s="856"/>
      <c r="DL1074" s="856"/>
      <c r="DM1074" s="152"/>
      <c r="DN1074" s="152"/>
      <c r="DO1074" s="152"/>
      <c r="DP1074" s="152"/>
      <c r="DQ1074" s="152"/>
    </row>
    <row r="1075" spans="1:121" s="35" customFormat="1" x14ac:dyDescent="0.2">
      <c r="A1075" s="34"/>
      <c r="D1075" s="148"/>
      <c r="E1075" s="148"/>
      <c r="F1075" s="148"/>
      <c r="G1075" s="148"/>
      <c r="H1075" s="148"/>
      <c r="I1075" s="148"/>
      <c r="J1075" s="148"/>
      <c r="K1075" s="148"/>
      <c r="L1075" s="148"/>
      <c r="M1075" s="148"/>
      <c r="N1075" s="148"/>
      <c r="O1075" s="148"/>
      <c r="P1075" s="148"/>
      <c r="Q1075" s="1565"/>
      <c r="R1075" s="1097"/>
      <c r="U1075" s="39"/>
      <c r="CU1075" s="875"/>
      <c r="CV1075" s="875"/>
      <c r="CW1075" s="875"/>
      <c r="CX1075" s="856"/>
      <c r="CY1075" s="856"/>
      <c r="CZ1075" s="856"/>
      <c r="DA1075" s="126"/>
      <c r="DB1075" s="126"/>
      <c r="DC1075" s="126"/>
      <c r="DD1075" s="126"/>
      <c r="DE1075" s="856"/>
      <c r="DF1075" s="856"/>
      <c r="DG1075" s="856"/>
      <c r="DH1075" s="856"/>
      <c r="DI1075" s="856"/>
      <c r="DJ1075" s="856"/>
      <c r="DK1075" s="856"/>
      <c r="DL1075" s="856"/>
      <c r="DM1075" s="152"/>
      <c r="DN1075" s="152"/>
      <c r="DO1075" s="152"/>
      <c r="DP1075" s="152"/>
      <c r="DQ1075" s="152"/>
    </row>
    <row r="1076" spans="1:121" s="35" customFormat="1" x14ac:dyDescent="0.2">
      <c r="A1076" s="34"/>
      <c r="D1076" s="148"/>
      <c r="E1076" s="148"/>
      <c r="F1076" s="148"/>
      <c r="G1076" s="148"/>
      <c r="H1076" s="148"/>
      <c r="I1076" s="148"/>
      <c r="J1076" s="148"/>
      <c r="K1076" s="148"/>
      <c r="L1076" s="148"/>
      <c r="M1076" s="148"/>
      <c r="N1076" s="148"/>
      <c r="O1076" s="148"/>
      <c r="P1076" s="148"/>
      <c r="Q1076" s="1565"/>
      <c r="R1076" s="1097"/>
      <c r="U1076" s="39"/>
      <c r="CU1076" s="875"/>
      <c r="CV1076" s="875"/>
      <c r="CW1076" s="875"/>
      <c r="CX1076" s="856"/>
      <c r="CY1076" s="856"/>
      <c r="CZ1076" s="856"/>
      <c r="DA1076" s="126"/>
      <c r="DB1076" s="126"/>
      <c r="DC1076" s="126"/>
      <c r="DD1076" s="126"/>
      <c r="DE1076" s="856"/>
      <c r="DF1076" s="856"/>
      <c r="DG1076" s="856"/>
      <c r="DH1076" s="856"/>
      <c r="DI1076" s="856"/>
      <c r="DJ1076" s="856"/>
      <c r="DK1076" s="856"/>
      <c r="DL1076" s="856"/>
      <c r="DM1076" s="152"/>
      <c r="DN1076" s="152"/>
      <c r="DO1076" s="152"/>
      <c r="DP1076" s="152"/>
      <c r="DQ1076" s="152"/>
    </row>
    <row r="1077" spans="1:121" s="35" customFormat="1" x14ac:dyDescent="0.2">
      <c r="A1077" s="34"/>
      <c r="D1077" s="148"/>
      <c r="E1077" s="148"/>
      <c r="F1077" s="148"/>
      <c r="G1077" s="148"/>
      <c r="H1077" s="148"/>
      <c r="I1077" s="148"/>
      <c r="J1077" s="148"/>
      <c r="K1077" s="148"/>
      <c r="L1077" s="148"/>
      <c r="M1077" s="148"/>
      <c r="N1077" s="148"/>
      <c r="O1077" s="148"/>
      <c r="P1077" s="148"/>
      <c r="Q1077" s="1565"/>
      <c r="R1077" s="1097"/>
      <c r="U1077" s="39"/>
      <c r="CU1077" s="875"/>
      <c r="CV1077" s="875"/>
      <c r="CW1077" s="875"/>
      <c r="CX1077" s="856"/>
      <c r="CY1077" s="856"/>
      <c r="CZ1077" s="856"/>
      <c r="DA1077" s="126"/>
      <c r="DB1077" s="126"/>
      <c r="DC1077" s="126"/>
      <c r="DD1077" s="126"/>
      <c r="DE1077" s="856"/>
      <c r="DF1077" s="856"/>
      <c r="DG1077" s="856"/>
      <c r="DH1077" s="856"/>
      <c r="DI1077" s="856"/>
      <c r="DJ1077" s="856"/>
      <c r="DK1077" s="856"/>
      <c r="DL1077" s="856"/>
      <c r="DM1077" s="152"/>
      <c r="DN1077" s="152"/>
      <c r="DO1077" s="152"/>
      <c r="DP1077" s="152"/>
      <c r="DQ1077" s="152"/>
    </row>
    <row r="1078" spans="1:121" s="35" customFormat="1" x14ac:dyDescent="0.2">
      <c r="A1078" s="34"/>
      <c r="D1078" s="148"/>
      <c r="E1078" s="148"/>
      <c r="F1078" s="148"/>
      <c r="G1078" s="148"/>
      <c r="H1078" s="148"/>
      <c r="I1078" s="148"/>
      <c r="J1078" s="148"/>
      <c r="K1078" s="148"/>
      <c r="L1078" s="148"/>
      <c r="M1078" s="148"/>
      <c r="N1078" s="148"/>
      <c r="O1078" s="148"/>
      <c r="P1078" s="148"/>
      <c r="Q1078" s="1565"/>
      <c r="R1078" s="1097"/>
      <c r="U1078" s="39"/>
      <c r="CU1078" s="875"/>
      <c r="CV1078" s="875"/>
      <c r="CW1078" s="875"/>
      <c r="CX1078" s="856"/>
      <c r="CY1078" s="856"/>
      <c r="CZ1078" s="856"/>
      <c r="DA1078" s="126"/>
      <c r="DB1078" s="126"/>
      <c r="DC1078" s="126"/>
      <c r="DD1078" s="126"/>
      <c r="DE1078" s="856"/>
      <c r="DF1078" s="856"/>
      <c r="DG1078" s="856"/>
      <c r="DH1078" s="856"/>
      <c r="DI1078" s="856"/>
      <c r="DJ1078" s="856"/>
      <c r="DK1078" s="856"/>
      <c r="DL1078" s="856"/>
      <c r="DM1078" s="152"/>
      <c r="DN1078" s="152"/>
      <c r="DO1078" s="152"/>
      <c r="DP1078" s="152"/>
      <c r="DQ1078" s="152"/>
    </row>
    <row r="1079" spans="1:121" s="35" customFormat="1" x14ac:dyDescent="0.2">
      <c r="A1079" s="34"/>
      <c r="D1079" s="148"/>
      <c r="E1079" s="148"/>
      <c r="F1079" s="148"/>
      <c r="G1079" s="148"/>
      <c r="H1079" s="148"/>
      <c r="I1079" s="148"/>
      <c r="J1079" s="148"/>
      <c r="K1079" s="148"/>
      <c r="L1079" s="148"/>
      <c r="M1079" s="148"/>
      <c r="N1079" s="148"/>
      <c r="O1079" s="148"/>
      <c r="P1079" s="148"/>
      <c r="Q1079" s="1565"/>
      <c r="R1079" s="1097"/>
      <c r="U1079" s="39"/>
      <c r="CU1079" s="875"/>
      <c r="CV1079" s="875"/>
      <c r="CW1079" s="875"/>
      <c r="CX1079" s="856"/>
      <c r="CY1079" s="856"/>
      <c r="CZ1079" s="856"/>
      <c r="DA1079" s="126"/>
      <c r="DB1079" s="126"/>
      <c r="DC1079" s="126"/>
      <c r="DD1079" s="126"/>
      <c r="DE1079" s="856"/>
      <c r="DF1079" s="856"/>
      <c r="DG1079" s="856"/>
      <c r="DH1079" s="856"/>
      <c r="DI1079" s="856"/>
      <c r="DJ1079" s="856"/>
      <c r="DK1079" s="856"/>
      <c r="DL1079" s="856"/>
      <c r="DM1079" s="152"/>
      <c r="DN1079" s="152"/>
      <c r="DO1079" s="152"/>
      <c r="DP1079" s="152"/>
      <c r="DQ1079" s="152"/>
    </row>
    <row r="1080" spans="1:121" s="35" customFormat="1" x14ac:dyDescent="0.2">
      <c r="A1080" s="34"/>
      <c r="D1080" s="148"/>
      <c r="E1080" s="148"/>
      <c r="F1080" s="148"/>
      <c r="G1080" s="148"/>
      <c r="H1080" s="148"/>
      <c r="I1080" s="148"/>
      <c r="J1080" s="148"/>
      <c r="K1080" s="148"/>
      <c r="L1080" s="148"/>
      <c r="M1080" s="148"/>
      <c r="N1080" s="148"/>
      <c r="O1080" s="148"/>
      <c r="P1080" s="148"/>
      <c r="Q1080" s="1565"/>
      <c r="R1080" s="1097"/>
      <c r="U1080" s="39"/>
      <c r="CU1080" s="875"/>
      <c r="CV1080" s="875"/>
      <c r="CW1080" s="875"/>
      <c r="CX1080" s="856"/>
      <c r="CY1080" s="856"/>
      <c r="CZ1080" s="856"/>
      <c r="DA1080" s="126"/>
      <c r="DB1080" s="126"/>
      <c r="DC1080" s="126"/>
      <c r="DD1080" s="126"/>
      <c r="DE1080" s="856"/>
      <c r="DF1080" s="856"/>
      <c r="DG1080" s="856"/>
      <c r="DH1080" s="856"/>
      <c r="DI1080" s="856"/>
      <c r="DJ1080" s="856"/>
      <c r="DK1080" s="856"/>
      <c r="DL1080" s="856"/>
      <c r="DM1080" s="152"/>
      <c r="DN1080" s="152"/>
      <c r="DO1080" s="152"/>
      <c r="DP1080" s="152"/>
      <c r="DQ1080" s="152"/>
    </row>
    <row r="1081" spans="1:121" s="35" customFormat="1" x14ac:dyDescent="0.2">
      <c r="A1081" s="34"/>
      <c r="D1081" s="148"/>
      <c r="E1081" s="148"/>
      <c r="F1081" s="148"/>
      <c r="G1081" s="148"/>
      <c r="H1081" s="148"/>
      <c r="I1081" s="148"/>
      <c r="J1081" s="148"/>
      <c r="K1081" s="148"/>
      <c r="L1081" s="148"/>
      <c r="M1081" s="148"/>
      <c r="N1081" s="148"/>
      <c r="O1081" s="148"/>
      <c r="P1081" s="148"/>
      <c r="Q1081" s="1565"/>
      <c r="R1081" s="1097"/>
      <c r="U1081" s="39"/>
      <c r="CU1081" s="875"/>
      <c r="CV1081" s="875"/>
      <c r="CW1081" s="875"/>
      <c r="CX1081" s="856"/>
      <c r="CY1081" s="856"/>
      <c r="CZ1081" s="856"/>
      <c r="DA1081" s="126"/>
      <c r="DB1081" s="126"/>
      <c r="DC1081" s="126"/>
      <c r="DD1081" s="126"/>
      <c r="DE1081" s="856"/>
      <c r="DF1081" s="856"/>
      <c r="DG1081" s="856"/>
      <c r="DH1081" s="856"/>
      <c r="DI1081" s="856"/>
      <c r="DJ1081" s="856"/>
      <c r="DK1081" s="856"/>
      <c r="DL1081" s="856"/>
      <c r="DM1081" s="152"/>
      <c r="DN1081" s="152"/>
      <c r="DO1081" s="152"/>
      <c r="DP1081" s="152"/>
      <c r="DQ1081" s="152"/>
    </row>
    <row r="1082" spans="1:121" s="35" customFormat="1" x14ac:dyDescent="0.2">
      <c r="A1082" s="34"/>
      <c r="D1082" s="148"/>
      <c r="E1082" s="148"/>
      <c r="F1082" s="148"/>
      <c r="G1082" s="148"/>
      <c r="H1082" s="148"/>
      <c r="I1082" s="148"/>
      <c r="J1082" s="148"/>
      <c r="K1082" s="148"/>
      <c r="L1082" s="148"/>
      <c r="M1082" s="148"/>
      <c r="N1082" s="148"/>
      <c r="O1082" s="148"/>
      <c r="P1082" s="148"/>
      <c r="Q1082" s="1565"/>
      <c r="R1082" s="1097"/>
      <c r="U1082" s="39"/>
      <c r="CU1082" s="875"/>
      <c r="CV1082" s="875"/>
      <c r="CW1082" s="875"/>
      <c r="CX1082" s="856"/>
      <c r="CY1082" s="856"/>
      <c r="CZ1082" s="856"/>
      <c r="DA1082" s="126"/>
      <c r="DB1082" s="126"/>
      <c r="DC1082" s="126"/>
      <c r="DD1082" s="126"/>
      <c r="DE1082" s="856"/>
      <c r="DF1082" s="856"/>
      <c r="DG1082" s="856"/>
      <c r="DH1082" s="856"/>
      <c r="DI1082" s="856"/>
      <c r="DJ1082" s="856"/>
      <c r="DK1082" s="856"/>
      <c r="DL1082" s="856"/>
      <c r="DM1082" s="152"/>
      <c r="DN1082" s="152"/>
      <c r="DO1082" s="152"/>
      <c r="DP1082" s="152"/>
      <c r="DQ1082" s="152"/>
    </row>
    <row r="1083" spans="1:121" s="35" customFormat="1" x14ac:dyDescent="0.2">
      <c r="A1083" s="34"/>
      <c r="D1083" s="148"/>
      <c r="E1083" s="148"/>
      <c r="F1083" s="148"/>
      <c r="G1083" s="148"/>
      <c r="H1083" s="148"/>
      <c r="I1083" s="148"/>
      <c r="J1083" s="148"/>
      <c r="K1083" s="148"/>
      <c r="L1083" s="148"/>
      <c r="M1083" s="148"/>
      <c r="N1083" s="148"/>
      <c r="O1083" s="148"/>
      <c r="P1083" s="148"/>
      <c r="Q1083" s="1565"/>
      <c r="R1083" s="1097"/>
      <c r="U1083" s="39"/>
      <c r="CU1083" s="875"/>
      <c r="CV1083" s="875"/>
      <c r="CW1083" s="875"/>
      <c r="CX1083" s="856"/>
      <c r="CY1083" s="856"/>
      <c r="CZ1083" s="856"/>
      <c r="DA1083" s="126"/>
      <c r="DB1083" s="126"/>
      <c r="DC1083" s="126"/>
      <c r="DD1083" s="126"/>
      <c r="DE1083" s="856"/>
      <c r="DF1083" s="856"/>
      <c r="DG1083" s="856"/>
      <c r="DH1083" s="856"/>
      <c r="DI1083" s="856"/>
      <c r="DJ1083" s="856"/>
      <c r="DK1083" s="856"/>
      <c r="DL1083" s="856"/>
      <c r="DM1083" s="152"/>
      <c r="DN1083" s="152"/>
      <c r="DO1083" s="152"/>
      <c r="DP1083" s="152"/>
      <c r="DQ1083" s="152"/>
    </row>
    <row r="1084" spans="1:121" s="35" customFormat="1" x14ac:dyDescent="0.2">
      <c r="A1084" s="34"/>
      <c r="D1084" s="148"/>
      <c r="E1084" s="148"/>
      <c r="F1084" s="148"/>
      <c r="G1084" s="148"/>
      <c r="H1084" s="148"/>
      <c r="I1084" s="148"/>
      <c r="J1084" s="148"/>
      <c r="K1084" s="148"/>
      <c r="L1084" s="148"/>
      <c r="M1084" s="148"/>
      <c r="N1084" s="148"/>
      <c r="O1084" s="148"/>
      <c r="P1084" s="148"/>
      <c r="Q1084" s="1565"/>
      <c r="R1084" s="1097"/>
      <c r="U1084" s="39"/>
      <c r="CU1084" s="875"/>
      <c r="CV1084" s="875"/>
      <c r="CW1084" s="875"/>
      <c r="CX1084" s="856"/>
      <c r="CY1084" s="856"/>
      <c r="CZ1084" s="856"/>
      <c r="DA1084" s="126"/>
      <c r="DB1084" s="126"/>
      <c r="DC1084" s="126"/>
      <c r="DD1084" s="126"/>
      <c r="DE1084" s="856"/>
      <c r="DF1084" s="856"/>
      <c r="DG1084" s="856"/>
      <c r="DH1084" s="856"/>
      <c r="DI1084" s="856"/>
      <c r="DJ1084" s="856"/>
      <c r="DK1084" s="856"/>
      <c r="DL1084" s="856"/>
      <c r="DM1084" s="152"/>
      <c r="DN1084" s="152"/>
      <c r="DO1084" s="152"/>
      <c r="DP1084" s="152"/>
      <c r="DQ1084" s="152"/>
    </row>
  </sheetData>
  <sheetProtection algorithmName="SHA-512" hashValue="7cq1l7IvVeZ4CqxGjORBsTFD08Kkb1HsEMXaJNbpvhLZ83/4FLiVcq1wx1LQeXOlJFsqa383FsbBaFwtxafLlw==" saltValue="9qBcY9Prp9naET2pm73ezw==" spinCount="100000" sheet="1" objects="1" scenarios="1"/>
  <mergeCells count="25">
    <mergeCell ref="A2:A6"/>
    <mergeCell ref="Q7:Q12"/>
    <mergeCell ref="Q15:Q22"/>
    <mergeCell ref="Q29:Q32"/>
    <mergeCell ref="Q35:Q38"/>
    <mergeCell ref="Q41:Q45"/>
    <mergeCell ref="Q48:Q53"/>
    <mergeCell ref="Q55:Q59"/>
    <mergeCell ref="Q61:Q65"/>
    <mergeCell ref="Q115:Q119"/>
    <mergeCell ref="Q122:Q127"/>
    <mergeCell ref="Q129:Q133"/>
    <mergeCell ref="Q135:Q139"/>
    <mergeCell ref="Q81:Q86"/>
    <mergeCell ref="Q89:Q96"/>
    <mergeCell ref="Q103:Q106"/>
    <mergeCell ref="Q109:Q112"/>
    <mergeCell ref="Q209:Q213"/>
    <mergeCell ref="Q155:Q160"/>
    <mergeCell ref="Q163:Q170"/>
    <mergeCell ref="Q177:Q180"/>
    <mergeCell ref="Q183:Q186"/>
    <mergeCell ref="Q189:Q193"/>
    <mergeCell ref="Q196:Q201"/>
    <mergeCell ref="Q203:Q207"/>
  </mergeCells>
  <phoneticPr fontId="0" type="noConversion"/>
  <conditionalFormatting sqref="CX65 D105:O106 E104:O104 D103:D104">
    <cfRule type="cellIs" dxfId="505" priority="426" stopIfTrue="1" operator="greaterThan">
      <formula>0</formula>
    </cfRule>
  </conditionalFormatting>
  <conditionalFormatting sqref="CX26">
    <cfRule type="cellIs" dxfId="504" priority="432" stopIfTrue="1" operator="greaterThan">
      <formula>0</formula>
    </cfRule>
  </conditionalFormatting>
  <conditionalFormatting sqref="CX12">
    <cfRule type="cellIs" dxfId="503" priority="434" stopIfTrue="1" operator="greaterThan">
      <formula>0</formula>
    </cfRule>
  </conditionalFormatting>
  <conditionalFormatting sqref="CX53">
    <cfRule type="cellIs" dxfId="502" priority="428" stopIfTrue="1" operator="greaterThan">
      <formula>0</formula>
    </cfRule>
  </conditionalFormatting>
  <conditionalFormatting sqref="CX38">
    <cfRule type="cellIs" dxfId="501" priority="430" stopIfTrue="1" operator="greaterThan">
      <formula>0</formula>
    </cfRule>
  </conditionalFormatting>
  <conditionalFormatting sqref="CX58">
    <cfRule type="cellIs" dxfId="500" priority="427" stopIfTrue="1" operator="greaterThan">
      <formula>0</formula>
    </cfRule>
  </conditionalFormatting>
  <conditionalFormatting sqref="CX45">
    <cfRule type="cellIs" dxfId="499" priority="429" stopIfTrue="1" operator="greaterThan">
      <formula>0</formula>
    </cfRule>
  </conditionalFormatting>
  <conditionalFormatting sqref="CX32">
    <cfRule type="cellIs" dxfId="498" priority="431" stopIfTrue="1" operator="greaterThan">
      <formula>0</formula>
    </cfRule>
  </conditionalFormatting>
  <conditionalFormatting sqref="CX22">
    <cfRule type="cellIs" dxfId="497" priority="433" stopIfTrue="1" operator="greaterThan">
      <formula>0</formula>
    </cfRule>
  </conditionalFormatting>
  <conditionalFormatting sqref="CX139">
    <cfRule type="cellIs" dxfId="496" priority="401" stopIfTrue="1" operator="greaterThan">
      <formula>0</formula>
    </cfRule>
  </conditionalFormatting>
  <conditionalFormatting sqref="CX100">
    <cfRule type="cellIs" dxfId="495" priority="407" stopIfTrue="1" operator="greaterThan">
      <formula>0</formula>
    </cfRule>
  </conditionalFormatting>
  <conditionalFormatting sqref="CX86">
    <cfRule type="cellIs" dxfId="494" priority="409" stopIfTrue="1" operator="greaterThan">
      <formula>0</formula>
    </cfRule>
  </conditionalFormatting>
  <conditionalFormatting sqref="CX127">
    <cfRule type="cellIs" dxfId="493" priority="403" stopIfTrue="1" operator="greaterThan">
      <formula>0</formula>
    </cfRule>
  </conditionalFormatting>
  <conditionalFormatting sqref="CX112">
    <cfRule type="cellIs" dxfId="492" priority="405" stopIfTrue="1" operator="greaterThan">
      <formula>0</formula>
    </cfRule>
  </conditionalFormatting>
  <conditionalFormatting sqref="CX132">
    <cfRule type="cellIs" dxfId="491" priority="402" stopIfTrue="1" operator="greaterThan">
      <formula>0</formula>
    </cfRule>
  </conditionalFormatting>
  <conditionalFormatting sqref="CX119">
    <cfRule type="cellIs" dxfId="490" priority="404" stopIfTrue="1" operator="greaterThan">
      <formula>0</formula>
    </cfRule>
  </conditionalFormatting>
  <conditionalFormatting sqref="CX106">
    <cfRule type="cellIs" dxfId="489" priority="406" stopIfTrue="1" operator="greaterThan">
      <formula>0</formula>
    </cfRule>
  </conditionalFormatting>
  <conditionalFormatting sqref="CX96">
    <cfRule type="cellIs" dxfId="488" priority="408" stopIfTrue="1" operator="greaterThan">
      <formula>0</formula>
    </cfRule>
  </conditionalFormatting>
  <conditionalFormatting sqref="V6:AG12">
    <cfRule type="notContainsBlanks" dxfId="487" priority="282" stopIfTrue="1">
      <formula>LEN(TRIM(V6))&gt;0</formula>
    </cfRule>
  </conditionalFormatting>
  <conditionalFormatting sqref="BT7:CE12">
    <cfRule type="cellIs" dxfId="486" priority="269" stopIfTrue="1" operator="greaterThan">
      <formula>0</formula>
    </cfRule>
  </conditionalFormatting>
  <conditionalFormatting sqref="BC81:BN86">
    <cfRule type="cellIs" dxfId="485" priority="260" stopIfTrue="1" operator="greaterThan">
      <formula>0</formula>
    </cfRule>
  </conditionalFormatting>
  <conditionalFormatting sqref="A12">
    <cfRule type="cellIs" dxfId="484" priority="177" stopIfTrue="1" operator="greaterThan">
      <formula>0</formula>
    </cfRule>
  </conditionalFormatting>
  <conditionalFormatting sqref="A22">
    <cfRule type="cellIs" dxfId="483" priority="176" stopIfTrue="1" operator="greaterThan">
      <formula>0</formula>
    </cfRule>
  </conditionalFormatting>
  <conditionalFormatting sqref="A26">
    <cfRule type="cellIs" dxfId="482" priority="175" stopIfTrue="1" operator="greaterThan">
      <formula>0</formula>
    </cfRule>
  </conditionalFormatting>
  <conditionalFormatting sqref="A32">
    <cfRule type="cellIs" dxfId="481" priority="174" stopIfTrue="1" operator="greaterThan">
      <formula>0</formula>
    </cfRule>
  </conditionalFormatting>
  <conditionalFormatting sqref="A38">
    <cfRule type="cellIs" dxfId="480" priority="173" stopIfTrue="1" operator="greaterThan">
      <formula>0</formula>
    </cfRule>
  </conditionalFormatting>
  <conditionalFormatting sqref="A45">
    <cfRule type="cellIs" dxfId="479" priority="172" stopIfTrue="1" operator="greaterThan">
      <formula>0</formula>
    </cfRule>
  </conditionalFormatting>
  <conditionalFormatting sqref="A53">
    <cfRule type="cellIs" dxfId="478" priority="171" stopIfTrue="1" operator="greaterThan">
      <formula>0</formula>
    </cfRule>
  </conditionalFormatting>
  <conditionalFormatting sqref="A58">
    <cfRule type="cellIs" dxfId="477" priority="170" stopIfTrue="1" operator="greaterThan">
      <formula>0</formula>
    </cfRule>
  </conditionalFormatting>
  <conditionalFormatting sqref="A65">
    <cfRule type="cellIs" dxfId="476" priority="169" stopIfTrue="1" operator="greaterThan">
      <formula>0</formula>
    </cfRule>
  </conditionalFormatting>
  <conditionalFormatting sqref="F163:H170">
    <cfRule type="cellIs" dxfId="475" priority="167" stopIfTrue="1" operator="greaterThan">
      <formula>0</formula>
    </cfRule>
  </conditionalFormatting>
  <conditionalFormatting sqref="F155:H160">
    <cfRule type="cellIs" dxfId="474" priority="168" stopIfTrue="1" operator="greaterThan">
      <formula>0</formula>
    </cfRule>
  </conditionalFormatting>
  <conditionalFormatting sqref="F173:H174">
    <cfRule type="cellIs" dxfId="473" priority="166" stopIfTrue="1" operator="greaterThan">
      <formula>0</formula>
    </cfRule>
  </conditionalFormatting>
  <conditionalFormatting sqref="F177:H180">
    <cfRule type="cellIs" dxfId="472" priority="165" stopIfTrue="1" operator="greaterThan">
      <formula>0</formula>
    </cfRule>
  </conditionalFormatting>
  <conditionalFormatting sqref="F183:H186">
    <cfRule type="cellIs" dxfId="471" priority="164" stopIfTrue="1" operator="greaterThan">
      <formula>0</formula>
    </cfRule>
  </conditionalFormatting>
  <conditionalFormatting sqref="F189:H193">
    <cfRule type="cellIs" dxfId="470" priority="163" stopIfTrue="1" operator="greaterThan">
      <formula>0</formula>
    </cfRule>
  </conditionalFormatting>
  <conditionalFormatting sqref="F196:H201">
    <cfRule type="cellIs" dxfId="469" priority="162" stopIfTrue="1" operator="greaterThan">
      <formula>0</formula>
    </cfRule>
  </conditionalFormatting>
  <conditionalFormatting sqref="F204:H206">
    <cfRule type="cellIs" dxfId="468" priority="161" stopIfTrue="1" operator="greaterThan">
      <formula>0</formula>
    </cfRule>
  </conditionalFormatting>
  <conditionalFormatting sqref="F210:H213">
    <cfRule type="cellIs" dxfId="467" priority="160" stopIfTrue="1" operator="greaterThan">
      <formula>0</formula>
    </cfRule>
  </conditionalFormatting>
  <conditionalFormatting sqref="D89:O96">
    <cfRule type="cellIs" dxfId="466" priority="159" stopIfTrue="1" operator="greaterThan">
      <formula>0</formula>
    </cfRule>
  </conditionalFormatting>
  <conditionalFormatting sqref="D81:O86">
    <cfRule type="cellIs" dxfId="465" priority="158" stopIfTrue="1" operator="greaterThan">
      <formula>0</formula>
    </cfRule>
  </conditionalFormatting>
  <conditionalFormatting sqref="D99:O100">
    <cfRule type="cellIs" dxfId="464" priority="157" stopIfTrue="1" operator="greaterThan">
      <formula>0</formula>
    </cfRule>
  </conditionalFormatting>
  <conditionalFormatting sqref="E103:O103">
    <cfRule type="cellIs" dxfId="463" priority="156" stopIfTrue="1" operator="greaterThan">
      <formula>0</formula>
    </cfRule>
  </conditionalFormatting>
  <conditionalFormatting sqref="D109:O112">
    <cfRule type="cellIs" dxfId="462" priority="155" stopIfTrue="1" operator="greaterThan">
      <formula>0</formula>
    </cfRule>
  </conditionalFormatting>
  <conditionalFormatting sqref="D122:O127">
    <cfRule type="cellIs" dxfId="461" priority="154" stopIfTrue="1" operator="greaterThan">
      <formula>0</formula>
    </cfRule>
  </conditionalFormatting>
  <conditionalFormatting sqref="D130:O132">
    <cfRule type="cellIs" dxfId="460" priority="153" stopIfTrue="1" operator="greaterThan">
      <formula>0</formula>
    </cfRule>
  </conditionalFormatting>
  <conditionalFormatting sqref="D136:O139">
    <cfRule type="cellIs" dxfId="459" priority="152" stopIfTrue="1" operator="greaterThan">
      <formula>0</formula>
    </cfRule>
  </conditionalFormatting>
  <conditionalFormatting sqref="D115:O119">
    <cfRule type="cellIs" dxfId="458" priority="151" stopIfTrue="1" operator="greaterThan">
      <formula>0</formula>
    </cfRule>
  </conditionalFormatting>
  <conditionalFormatting sqref="D15:O22">
    <cfRule type="cellIs" dxfId="457" priority="150" stopIfTrue="1" operator="greaterThan">
      <formula>0</formula>
    </cfRule>
  </conditionalFormatting>
  <conditionalFormatting sqref="D7:O12">
    <cfRule type="cellIs" dxfId="456" priority="149" stopIfTrue="1" operator="greaterThan">
      <formula>0</formula>
    </cfRule>
  </conditionalFormatting>
  <conditionalFormatting sqref="D25:O26">
    <cfRule type="cellIs" dxfId="455" priority="148" stopIfTrue="1" operator="greaterThan">
      <formula>0</formula>
    </cfRule>
  </conditionalFormatting>
  <conditionalFormatting sqref="D29:O32">
    <cfRule type="cellIs" dxfId="454" priority="147" stopIfTrue="1" operator="greaterThan">
      <formula>0</formula>
    </cfRule>
  </conditionalFormatting>
  <conditionalFormatting sqref="D35:O38">
    <cfRule type="cellIs" dxfId="453" priority="146" stopIfTrue="1" operator="greaterThan">
      <formula>0</formula>
    </cfRule>
  </conditionalFormatting>
  <conditionalFormatting sqref="D48:O53">
    <cfRule type="cellIs" dxfId="452" priority="145" stopIfTrue="1" operator="greaterThan">
      <formula>0</formula>
    </cfRule>
  </conditionalFormatting>
  <conditionalFormatting sqref="D56:O58">
    <cfRule type="cellIs" dxfId="451" priority="144" stopIfTrue="1" operator="greaterThan">
      <formula>0</formula>
    </cfRule>
  </conditionalFormatting>
  <conditionalFormatting sqref="D62:O65">
    <cfRule type="cellIs" dxfId="450" priority="143" stopIfTrue="1" operator="greaterThan">
      <formula>0</formula>
    </cfRule>
  </conditionalFormatting>
  <conditionalFormatting sqref="D41:O45">
    <cfRule type="cellIs" dxfId="449" priority="142" stopIfTrue="1" operator="greaterThan">
      <formula>0</formula>
    </cfRule>
  </conditionalFormatting>
  <conditionalFormatting sqref="BC7:BN12">
    <cfRule type="cellIs" dxfId="448" priority="133" stopIfTrue="1" operator="greaterThan">
      <formula>0</formula>
    </cfRule>
  </conditionalFormatting>
  <conditionalFormatting sqref="BC15:BN22">
    <cfRule type="cellIs" dxfId="447" priority="132" stopIfTrue="1" operator="greaterThan">
      <formula>0</formula>
    </cfRule>
  </conditionalFormatting>
  <conditionalFormatting sqref="BC25:BN26">
    <cfRule type="cellIs" dxfId="446" priority="131" stopIfTrue="1" operator="greaterThan">
      <formula>0</formula>
    </cfRule>
  </conditionalFormatting>
  <conditionalFormatting sqref="BC29:BN32">
    <cfRule type="cellIs" dxfId="445" priority="130" stopIfTrue="1" operator="greaterThan">
      <formula>0</formula>
    </cfRule>
  </conditionalFormatting>
  <conditionalFormatting sqref="BC41:BN45">
    <cfRule type="cellIs" dxfId="444" priority="128" stopIfTrue="1" operator="greaterThan">
      <formula>0</formula>
    </cfRule>
  </conditionalFormatting>
  <conditionalFormatting sqref="BC35:BN38">
    <cfRule type="cellIs" dxfId="443" priority="127" stopIfTrue="1" operator="greaterThan">
      <formula>0</formula>
    </cfRule>
  </conditionalFormatting>
  <conditionalFormatting sqref="BC56:BN58">
    <cfRule type="cellIs" dxfId="442" priority="126" stopIfTrue="1" operator="greaterThan">
      <formula>0</formula>
    </cfRule>
  </conditionalFormatting>
  <conditionalFormatting sqref="BC48:BN53">
    <cfRule type="cellIs" dxfId="441" priority="125" stopIfTrue="1" operator="greaterThan">
      <formula>0</formula>
    </cfRule>
  </conditionalFormatting>
  <conditionalFormatting sqref="BC61:BN65">
    <cfRule type="cellIs" dxfId="440" priority="124" stopIfTrue="1" operator="greaterThan">
      <formula>0</formula>
    </cfRule>
  </conditionalFormatting>
  <conditionalFormatting sqref="BC122:BN127">
    <cfRule type="cellIs" dxfId="439" priority="123" stopIfTrue="1" operator="greaterThan">
      <formula>0</formula>
    </cfRule>
  </conditionalFormatting>
  <conditionalFormatting sqref="BC115:BN119">
    <cfRule type="cellIs" dxfId="438" priority="122" stopIfTrue="1" operator="greaterThan">
      <formula>0</formula>
    </cfRule>
  </conditionalFormatting>
  <conditionalFormatting sqref="BC135:BN139">
    <cfRule type="cellIs" dxfId="437" priority="121" stopIfTrue="1" operator="greaterThan">
      <formula>0</formula>
    </cfRule>
  </conditionalFormatting>
  <conditionalFormatting sqref="BC89:BN96">
    <cfRule type="cellIs" dxfId="436" priority="120" stopIfTrue="1" operator="greaterThan">
      <formula>0</formula>
    </cfRule>
  </conditionalFormatting>
  <conditionalFormatting sqref="BC99:BN100">
    <cfRule type="cellIs" dxfId="435" priority="119" stopIfTrue="1" operator="greaterThan">
      <formula>0</formula>
    </cfRule>
  </conditionalFormatting>
  <conditionalFormatting sqref="BC130:BN132">
    <cfRule type="cellIs" dxfId="434" priority="118" stopIfTrue="1" operator="greaterThan">
      <formula>0</formula>
    </cfRule>
  </conditionalFormatting>
  <conditionalFormatting sqref="BC103:BN106">
    <cfRule type="cellIs" dxfId="433" priority="117" stopIfTrue="1" operator="greaterThan">
      <formula>0</formula>
    </cfRule>
  </conditionalFormatting>
  <conditionalFormatting sqref="BC109:BN112">
    <cfRule type="cellIs" dxfId="432" priority="116" stopIfTrue="1" operator="greaterThan">
      <formula>0</formula>
    </cfRule>
  </conditionalFormatting>
  <conditionalFormatting sqref="BD155:BG160">
    <cfRule type="cellIs" dxfId="431" priority="115" stopIfTrue="1" operator="greaterThan">
      <formula>0</formula>
    </cfRule>
  </conditionalFormatting>
  <conditionalFormatting sqref="BD163:BG170">
    <cfRule type="cellIs" dxfId="430" priority="114" stopIfTrue="1" operator="greaterThan">
      <formula>0</formula>
    </cfRule>
  </conditionalFormatting>
  <conditionalFormatting sqref="BD173:BG174 BD177:BG180 BD183:BG186 BD189:BG193 BD196:BG201 BD204:BG206 BD209:BG213">
    <cfRule type="cellIs" dxfId="429" priority="113" stopIfTrue="1" operator="greaterThan">
      <formula>0</formula>
    </cfRule>
  </conditionalFormatting>
  <conditionalFormatting sqref="BT15:CE22">
    <cfRule type="cellIs" dxfId="428" priority="112" stopIfTrue="1" operator="greaterThan">
      <formula>0</formula>
    </cfRule>
  </conditionalFormatting>
  <conditionalFormatting sqref="BT25:CE26">
    <cfRule type="cellIs" dxfId="427" priority="111" stopIfTrue="1" operator="greaterThan">
      <formula>0</formula>
    </cfRule>
  </conditionalFormatting>
  <conditionalFormatting sqref="BT29:CE32">
    <cfRule type="cellIs" dxfId="426" priority="110" stopIfTrue="1" operator="greaterThan">
      <formula>0</formula>
    </cfRule>
  </conditionalFormatting>
  <conditionalFormatting sqref="BT35:CE38">
    <cfRule type="cellIs" dxfId="425" priority="109" stopIfTrue="1" operator="greaterThan">
      <formula>0</formula>
    </cfRule>
  </conditionalFormatting>
  <conditionalFormatting sqref="BT41:CE45">
    <cfRule type="cellIs" dxfId="424" priority="108" stopIfTrue="1" operator="greaterThan">
      <formula>0</formula>
    </cfRule>
  </conditionalFormatting>
  <conditionalFormatting sqref="BT61:CE65">
    <cfRule type="cellIs" dxfId="423" priority="106" stopIfTrue="1" operator="greaterThan">
      <formula>0</formula>
    </cfRule>
  </conditionalFormatting>
  <conditionalFormatting sqref="BT56:CE58">
    <cfRule type="cellIs" dxfId="422" priority="105" stopIfTrue="1" operator="greaterThan">
      <formula>0</formula>
    </cfRule>
  </conditionalFormatting>
  <conditionalFormatting sqref="BT48:CE53">
    <cfRule type="cellIs" dxfId="421" priority="104" stopIfTrue="1" operator="greaterThan">
      <formula>0</formula>
    </cfRule>
  </conditionalFormatting>
  <conditionalFormatting sqref="BT81:CE86">
    <cfRule type="cellIs" dxfId="420" priority="103" stopIfTrue="1" operator="greaterThan">
      <formula>0</formula>
    </cfRule>
  </conditionalFormatting>
  <conditionalFormatting sqref="BT89:CE96">
    <cfRule type="cellIs" dxfId="419" priority="102" stopIfTrue="1" operator="greaterThan">
      <formula>0</formula>
    </cfRule>
  </conditionalFormatting>
  <conditionalFormatting sqref="BT99:CE100">
    <cfRule type="cellIs" dxfId="418" priority="101" stopIfTrue="1" operator="greaterThan">
      <formula>0</formula>
    </cfRule>
  </conditionalFormatting>
  <conditionalFormatting sqref="BT103:CE106">
    <cfRule type="cellIs" dxfId="417" priority="100" stopIfTrue="1" operator="greaterThan">
      <formula>0</formula>
    </cfRule>
  </conditionalFormatting>
  <conditionalFormatting sqref="BT109:CE112">
    <cfRule type="cellIs" dxfId="416" priority="99" stopIfTrue="1" operator="greaterThan">
      <formula>0</formula>
    </cfRule>
  </conditionalFormatting>
  <conditionalFormatting sqref="BT115:CE119">
    <cfRule type="cellIs" dxfId="415" priority="98" stopIfTrue="1" operator="greaterThan">
      <formula>0</formula>
    </cfRule>
  </conditionalFormatting>
  <conditionalFormatting sqref="BT135:CE139">
    <cfRule type="cellIs" dxfId="414" priority="97" stopIfTrue="1" operator="greaterThan">
      <formula>0</formula>
    </cfRule>
  </conditionalFormatting>
  <conditionalFormatting sqref="BT130:CE132">
    <cfRule type="cellIs" dxfId="413" priority="96" stopIfTrue="1" operator="greaterThan">
      <formula>0</formula>
    </cfRule>
  </conditionalFormatting>
  <conditionalFormatting sqref="BT122:CE127">
    <cfRule type="cellIs" dxfId="412" priority="95" stopIfTrue="1" operator="greaterThan">
      <formula>0</formula>
    </cfRule>
  </conditionalFormatting>
  <conditionalFormatting sqref="BU155:BX160">
    <cfRule type="cellIs" dxfId="411" priority="94" stopIfTrue="1" operator="greaterThan">
      <formula>0</formula>
    </cfRule>
  </conditionalFormatting>
  <conditionalFormatting sqref="BU163:BX170">
    <cfRule type="cellIs" dxfId="410" priority="93" stopIfTrue="1" operator="greaterThan">
      <formula>0</formula>
    </cfRule>
  </conditionalFormatting>
  <conditionalFormatting sqref="BU173:BX174">
    <cfRule type="cellIs" dxfId="409" priority="92" stopIfTrue="1" operator="greaterThan">
      <formula>0</formula>
    </cfRule>
  </conditionalFormatting>
  <conditionalFormatting sqref="BU177:BX180">
    <cfRule type="cellIs" dxfId="408" priority="91" stopIfTrue="1" operator="greaterThan">
      <formula>0</formula>
    </cfRule>
  </conditionalFormatting>
  <conditionalFormatting sqref="BU183:BX186">
    <cfRule type="cellIs" dxfId="407" priority="90" stopIfTrue="1" operator="greaterThan">
      <formula>0</formula>
    </cfRule>
  </conditionalFormatting>
  <conditionalFormatting sqref="BU189:BX193">
    <cfRule type="cellIs" dxfId="406" priority="89" stopIfTrue="1" operator="greaterThan">
      <formula>0</formula>
    </cfRule>
  </conditionalFormatting>
  <conditionalFormatting sqref="BU209:BX213">
    <cfRule type="cellIs" dxfId="405" priority="88" stopIfTrue="1" operator="greaterThan">
      <formula>0</formula>
    </cfRule>
  </conditionalFormatting>
  <conditionalFormatting sqref="BU204:BX206">
    <cfRule type="cellIs" dxfId="404" priority="87" stopIfTrue="1" operator="greaterThan">
      <formula>0</formula>
    </cfRule>
  </conditionalFormatting>
  <conditionalFormatting sqref="BU196:BX201">
    <cfRule type="cellIs" dxfId="403" priority="86" stopIfTrue="1" operator="greaterThan">
      <formula>0</formula>
    </cfRule>
  </conditionalFormatting>
  <conditionalFormatting sqref="S60">
    <cfRule type="notContainsBlanks" dxfId="402" priority="85" stopIfTrue="1">
      <formula>LEN(TRIM(S60))&gt;0</formula>
    </cfRule>
  </conditionalFormatting>
  <conditionalFormatting sqref="S59">
    <cfRule type="notContainsBlanks" dxfId="401" priority="84" stopIfTrue="1">
      <formula>LEN(TRIM(S59))&gt;0</formula>
    </cfRule>
  </conditionalFormatting>
  <conditionalFormatting sqref="S61:S65">
    <cfRule type="notContainsBlanks" dxfId="400" priority="83" stopIfTrue="1">
      <formula>LEN(TRIM(S61))&gt;0</formula>
    </cfRule>
  </conditionalFormatting>
  <conditionalFormatting sqref="S35:S39">
    <cfRule type="notContainsBlanks" dxfId="399" priority="82" stopIfTrue="1">
      <formula>LEN(TRIM(S35))&gt;0</formula>
    </cfRule>
  </conditionalFormatting>
  <conditionalFormatting sqref="S48:S53">
    <cfRule type="notContainsBlanks" dxfId="398" priority="81" stopIfTrue="1">
      <formula>LEN(TRIM(S48))&gt;0</formula>
    </cfRule>
  </conditionalFormatting>
  <conditionalFormatting sqref="S15:S22">
    <cfRule type="notContainsBlanks" dxfId="397" priority="80" stopIfTrue="1">
      <formula>LEN(TRIM(S15))&gt;0</formula>
    </cfRule>
  </conditionalFormatting>
  <conditionalFormatting sqref="S7:S12">
    <cfRule type="notContainsBlanks" dxfId="396" priority="79" stopIfTrue="1">
      <formula>LEN(TRIM(S7))&gt;0</formula>
    </cfRule>
  </conditionalFormatting>
  <conditionalFormatting sqref="S29:S32">
    <cfRule type="notContainsBlanks" dxfId="395" priority="78" stopIfTrue="1">
      <formula>LEN(TRIM(S29))&gt;0</formula>
    </cfRule>
  </conditionalFormatting>
  <conditionalFormatting sqref="S42:S45">
    <cfRule type="notContainsBlanks" dxfId="394" priority="77" stopIfTrue="1">
      <formula>LEN(TRIM(S42))&gt;0</formula>
    </cfRule>
  </conditionalFormatting>
  <conditionalFormatting sqref="S56:S58">
    <cfRule type="notContainsBlanks" dxfId="393" priority="76" stopIfTrue="1">
      <formula>LEN(TRIM(S56))&gt;0</formula>
    </cfRule>
  </conditionalFormatting>
  <conditionalFormatting sqref="S25:S26">
    <cfRule type="notContainsBlanks" dxfId="392" priority="75" stopIfTrue="1">
      <formula>LEN(TRIM(S25))&gt;0</formula>
    </cfRule>
  </conditionalFormatting>
  <conditionalFormatting sqref="S134">
    <cfRule type="notContainsBlanks" dxfId="391" priority="74" stopIfTrue="1">
      <formula>LEN(TRIM(S134))&gt;0</formula>
    </cfRule>
  </conditionalFormatting>
  <conditionalFormatting sqref="S133">
    <cfRule type="notContainsBlanks" dxfId="390" priority="73" stopIfTrue="1">
      <formula>LEN(TRIM(S133))&gt;0</formula>
    </cfRule>
  </conditionalFormatting>
  <conditionalFormatting sqref="S135:S139">
    <cfRule type="notContainsBlanks" dxfId="389" priority="72" stopIfTrue="1">
      <formula>LEN(TRIM(S135))&gt;0</formula>
    </cfRule>
  </conditionalFormatting>
  <conditionalFormatting sqref="S109:S113">
    <cfRule type="notContainsBlanks" dxfId="388" priority="71" stopIfTrue="1">
      <formula>LEN(TRIM(S109))&gt;0</formula>
    </cfRule>
  </conditionalFormatting>
  <conditionalFormatting sqref="S122:S127">
    <cfRule type="notContainsBlanks" dxfId="387" priority="70" stopIfTrue="1">
      <formula>LEN(TRIM(S122))&gt;0</formula>
    </cfRule>
  </conditionalFormatting>
  <conditionalFormatting sqref="S89:S96">
    <cfRule type="notContainsBlanks" dxfId="386" priority="69" stopIfTrue="1">
      <formula>LEN(TRIM(S89))&gt;0</formula>
    </cfRule>
  </conditionalFormatting>
  <conditionalFormatting sqref="S81:S86">
    <cfRule type="notContainsBlanks" dxfId="385" priority="68" stopIfTrue="1">
      <formula>LEN(TRIM(S81))&gt;0</formula>
    </cfRule>
  </conditionalFormatting>
  <conditionalFormatting sqref="S103:S106">
    <cfRule type="notContainsBlanks" dxfId="384" priority="67" stopIfTrue="1">
      <formula>LEN(TRIM(S103))&gt;0</formula>
    </cfRule>
  </conditionalFormatting>
  <conditionalFormatting sqref="S115:S119">
    <cfRule type="notContainsBlanks" dxfId="383" priority="66" stopIfTrue="1">
      <formula>LEN(TRIM(S115))&gt;0</formula>
    </cfRule>
  </conditionalFormatting>
  <conditionalFormatting sqref="S130:S132">
    <cfRule type="notContainsBlanks" dxfId="382" priority="65" stopIfTrue="1">
      <formula>LEN(TRIM(S130))&gt;0</formula>
    </cfRule>
  </conditionalFormatting>
  <conditionalFormatting sqref="S99:S100">
    <cfRule type="notContainsBlanks" dxfId="381" priority="64" stopIfTrue="1">
      <formula>LEN(TRIM(S99))&gt;0</formula>
    </cfRule>
  </conditionalFormatting>
  <conditionalFormatting sqref="S208">
    <cfRule type="notContainsBlanks" dxfId="380" priority="63" stopIfTrue="1">
      <formula>LEN(TRIM(S208))&gt;0</formula>
    </cfRule>
  </conditionalFormatting>
  <conditionalFormatting sqref="S207">
    <cfRule type="notContainsBlanks" dxfId="379" priority="62" stopIfTrue="1">
      <formula>LEN(TRIM(S207))&gt;0</formula>
    </cfRule>
  </conditionalFormatting>
  <conditionalFormatting sqref="S209:S213">
    <cfRule type="notContainsBlanks" dxfId="378" priority="61" stopIfTrue="1">
      <formula>LEN(TRIM(S209))&gt;0</formula>
    </cfRule>
  </conditionalFormatting>
  <conditionalFormatting sqref="S183:S187">
    <cfRule type="notContainsBlanks" dxfId="377" priority="60" stopIfTrue="1">
      <formula>LEN(TRIM(S183))&gt;0</formula>
    </cfRule>
  </conditionalFormatting>
  <conditionalFormatting sqref="S196:S201">
    <cfRule type="notContainsBlanks" dxfId="376" priority="59" stopIfTrue="1">
      <formula>LEN(TRIM(S196))&gt;0</formula>
    </cfRule>
  </conditionalFormatting>
  <conditionalFormatting sqref="S163:S170">
    <cfRule type="notContainsBlanks" dxfId="375" priority="58" stopIfTrue="1">
      <formula>LEN(TRIM(S163))&gt;0</formula>
    </cfRule>
  </conditionalFormatting>
  <conditionalFormatting sqref="S155:S160">
    <cfRule type="notContainsBlanks" dxfId="374" priority="57" stopIfTrue="1">
      <formula>LEN(TRIM(S155))&gt;0</formula>
    </cfRule>
  </conditionalFormatting>
  <conditionalFormatting sqref="S177:S180">
    <cfRule type="notContainsBlanks" dxfId="373" priority="56" stopIfTrue="1">
      <formula>LEN(TRIM(S177))&gt;0</formula>
    </cfRule>
  </conditionalFormatting>
  <conditionalFormatting sqref="S189:S193">
    <cfRule type="notContainsBlanks" dxfId="372" priority="55" stopIfTrue="1">
      <formula>LEN(TRIM(S189))&gt;0</formula>
    </cfRule>
  </conditionalFormatting>
  <conditionalFormatting sqref="S204:S206">
    <cfRule type="notContainsBlanks" dxfId="371" priority="54" stopIfTrue="1">
      <formula>LEN(TRIM(S204))&gt;0</formula>
    </cfRule>
  </conditionalFormatting>
  <conditionalFormatting sqref="S173:S174">
    <cfRule type="notContainsBlanks" dxfId="370" priority="53" stopIfTrue="1">
      <formula>LEN(TRIM(S173))&gt;0</formula>
    </cfRule>
  </conditionalFormatting>
  <conditionalFormatting sqref="V18:AG24">
    <cfRule type="notContainsBlanks" dxfId="369" priority="52" stopIfTrue="1">
      <formula>LEN(TRIM(V18))&gt;0</formula>
    </cfRule>
  </conditionalFormatting>
  <conditionalFormatting sqref="V30:AG36">
    <cfRule type="notContainsBlanks" dxfId="368" priority="51" stopIfTrue="1">
      <formula>LEN(TRIM(V30))&gt;0</formula>
    </cfRule>
  </conditionalFormatting>
  <conditionalFormatting sqref="V42:AG48">
    <cfRule type="notContainsBlanks" dxfId="367" priority="50" stopIfTrue="1">
      <formula>LEN(TRIM(V42))&gt;0</formula>
    </cfRule>
  </conditionalFormatting>
  <conditionalFormatting sqref="V54:AG60">
    <cfRule type="notContainsBlanks" dxfId="366" priority="49" stopIfTrue="1">
      <formula>LEN(TRIM(V54))&gt;0</formula>
    </cfRule>
  </conditionalFormatting>
  <conditionalFormatting sqref="Q7:Q12">
    <cfRule type="expression" dxfId="365" priority="48">
      <formula>IF(AZ13=-1,1,0)</formula>
    </cfRule>
  </conditionalFormatting>
  <conditionalFormatting sqref="Q15:Q22">
    <cfRule type="expression" dxfId="364" priority="46">
      <formula>IF(AZ23=-1,1,0)</formula>
    </cfRule>
  </conditionalFormatting>
  <conditionalFormatting sqref="Q55:Q59">
    <cfRule type="expression" dxfId="363" priority="44">
      <formula>IF(AZ59=-1,1,0)</formula>
    </cfRule>
  </conditionalFormatting>
  <conditionalFormatting sqref="Q35:Q38">
    <cfRule type="expression" dxfId="362" priority="43">
      <formula>IF(AZ39=-1,1,0)</formula>
    </cfRule>
  </conditionalFormatting>
  <conditionalFormatting sqref="Q41:Q45">
    <cfRule type="expression" dxfId="361" priority="42">
      <formula>IF(AZ46=-1,1,0)</formula>
    </cfRule>
  </conditionalFormatting>
  <conditionalFormatting sqref="Q48">
    <cfRule type="expression" dxfId="360" priority="41">
      <formula>IF(AZ54=-1,1,0)</formula>
    </cfRule>
  </conditionalFormatting>
  <conditionalFormatting sqref="Q61:Q65">
    <cfRule type="expression" dxfId="359" priority="39">
      <formula>IF(AZ66=-1,1,0)</formula>
    </cfRule>
  </conditionalFormatting>
  <conditionalFormatting sqref="V14:AG14">
    <cfRule type="expression" dxfId="358" priority="24">
      <formula>IF(V4=-1,1,0)</formula>
    </cfRule>
  </conditionalFormatting>
  <conditionalFormatting sqref="V26:AG26">
    <cfRule type="expression" dxfId="357" priority="21">
      <formula>IF(V16=-1,1,0)</formula>
    </cfRule>
  </conditionalFormatting>
  <conditionalFormatting sqref="V38:AG38">
    <cfRule type="expression" dxfId="356" priority="20">
      <formula>IF(V28=-1,1,0)</formula>
    </cfRule>
  </conditionalFormatting>
  <conditionalFormatting sqref="V50:AG50">
    <cfRule type="expression" dxfId="355" priority="19">
      <formula>IF(V40=-1,1,0)</formula>
    </cfRule>
  </conditionalFormatting>
  <conditionalFormatting sqref="V62:AG62">
    <cfRule type="expression" dxfId="354" priority="18">
      <formula>IF(V52=-1,1,0)</formula>
    </cfRule>
  </conditionalFormatting>
  <conditionalFormatting sqref="Q24:Q27">
    <cfRule type="expression" dxfId="353" priority="17">
      <formula>IF(AZ27=-1,1,0)</formula>
    </cfRule>
  </conditionalFormatting>
  <conditionalFormatting sqref="Q81:Q86">
    <cfRule type="expression" dxfId="352" priority="16">
      <formula>IF(AZ87=-1,1,0)</formula>
    </cfRule>
  </conditionalFormatting>
  <conditionalFormatting sqref="Q89:Q96">
    <cfRule type="expression" dxfId="351" priority="15">
      <formula>IF(AZ97=-1,1,0)</formula>
    </cfRule>
  </conditionalFormatting>
  <conditionalFormatting sqref="Q129:Q133">
    <cfRule type="expression" dxfId="350" priority="14">
      <formula>IF(AZ133=-1,1,0)</formula>
    </cfRule>
  </conditionalFormatting>
  <conditionalFormatting sqref="Q109:Q112">
    <cfRule type="expression" dxfId="349" priority="13">
      <formula>IF(AZ113=-1,1,0)</formula>
    </cfRule>
  </conditionalFormatting>
  <conditionalFormatting sqref="Q115:Q119">
    <cfRule type="expression" dxfId="348" priority="12">
      <formula>IF(AZ120=-1,1,0)</formula>
    </cfRule>
  </conditionalFormatting>
  <conditionalFormatting sqref="Q122">
    <cfRule type="expression" dxfId="347" priority="11">
      <formula>IF(AZ128=-1,1,0)</formula>
    </cfRule>
  </conditionalFormatting>
  <conditionalFormatting sqref="Q135:Q139">
    <cfRule type="expression" dxfId="346" priority="10">
      <formula>IF(AZ140=-1,1,0)</formula>
    </cfRule>
  </conditionalFormatting>
  <conditionalFormatting sqref="Q98:Q101">
    <cfRule type="expression" dxfId="345" priority="9">
      <formula>IF(AZ101=-1,1,0)</formula>
    </cfRule>
  </conditionalFormatting>
  <conditionalFormatting sqref="Q155:Q160">
    <cfRule type="expression" dxfId="344" priority="8">
      <formula>IF(AZ161=-1,1,0)</formula>
    </cfRule>
  </conditionalFormatting>
  <conditionalFormatting sqref="Q163:Q170">
    <cfRule type="expression" dxfId="343" priority="7">
      <formula>IF(AZ171=-1,1,0)</formula>
    </cfRule>
  </conditionalFormatting>
  <conditionalFormatting sqref="Q203:Q207">
    <cfRule type="expression" dxfId="342" priority="6">
      <formula>IF(AZ207=-1,1,0)</formula>
    </cfRule>
  </conditionalFormatting>
  <conditionalFormatting sqref="Q183:Q186">
    <cfRule type="expression" dxfId="341" priority="5">
      <formula>IF(AZ187=-1,1,0)</formula>
    </cfRule>
  </conditionalFormatting>
  <conditionalFormatting sqref="Q189:Q193">
    <cfRule type="expression" dxfId="340" priority="4">
      <formula>IF(AZ194=-1,1,0)</formula>
    </cfRule>
  </conditionalFormatting>
  <conditionalFormatting sqref="Q196">
    <cfRule type="expression" dxfId="339" priority="3">
      <formula>IF(AZ202=-1,1,0)</formula>
    </cfRule>
  </conditionalFormatting>
  <conditionalFormatting sqref="Q209:Q213">
    <cfRule type="expression" dxfId="338" priority="2">
      <formula>IF(AZ214=-1,1,0)</formula>
    </cfRule>
  </conditionalFormatting>
  <conditionalFormatting sqref="Q172:Q175">
    <cfRule type="expression" dxfId="337" priority="1">
      <formula>IF(AZ175=-1,1,0)</formula>
    </cfRule>
  </conditionalFormatting>
  <dataValidations count="1">
    <dataValidation type="list" allowBlank="1" showInputMessage="1" showErrorMessage="1" sqref="A12 CX86 CX132 CX127 CX119 CX112 CX106 CX100 CX96 CX139 CX65 CX58 CX53 CX45 CX38 CX32 CX26 CX22 CX12 A65 A58 A53 A38 A32 A26 A22 A45">
      <formula1>$Q$2:$Q$4</formula1>
    </dataValidation>
  </dataValidations>
  <printOptions horizontalCentered="1"/>
  <pageMargins left="0.62992125984251968" right="0.62992125984251968" top="0.51181102362204722" bottom="0.51181102362204722" header="0.31496062992125984" footer="0.31496062992125984"/>
  <pageSetup paperSize="9" scale="45" fitToHeight="2" orientation="landscape" horizontalDpi="300" verticalDpi="300" r:id="rId1"/>
  <headerFooter alignWithMargins="0">
    <oddFooter>&amp;L&amp;"Verdana,Standard"&amp;9&amp;A&amp;C&amp;"Verdana,Standard"&amp;9&amp;F&amp;R&amp;"Verdana,Standard"&amp;9© 2017 www.Kindermanns.de
Jürgen Erlewein</oddFooter>
  </headerFooter>
  <rowBreaks count="2" manualBreakCount="2">
    <brk id="75" min="1" max="15" man="1"/>
    <brk id="149" min="1" max="15" man="1"/>
  </rowBreaks>
  <ignoredErrors>
    <ignoredError sqref="CX38 CX45 CX53 CX86 CX96 CX100 CX106 CX112 CX119 CX127" unlockedFormula="1"/>
    <ignoredError sqref="A18 CX18 CX31 CX92 CX105 C311 C321 C325 C331 C337 C344 C352 C357 C364 B139 B132 B127 B119 B86 B96 B100 B106 B112 B81:B85 B113:B118 B107:B111 B101:B105 B97:B99 B87:B95 B120:B126 B128:B131 B133:B138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pageSetUpPr fitToPage="1"/>
  </sheetPr>
  <dimension ref="A1:DZ303"/>
  <sheetViews>
    <sheetView showGridLines="0" topLeftCell="A2" zoomScale="60" zoomScaleNormal="60" workbookViewId="0">
      <selection activeCell="D2" sqref="D2"/>
    </sheetView>
  </sheetViews>
  <sheetFormatPr baseColWidth="10" defaultColWidth="11.42578125" defaultRowHeight="14.25" x14ac:dyDescent="0.2"/>
  <cols>
    <col min="1" max="1" width="2.5703125" style="176" customWidth="1"/>
    <col min="2" max="2" width="5.140625" style="176" customWidth="1"/>
    <col min="3" max="3" width="72" style="179" customWidth="1"/>
    <col min="4" max="15" width="14.7109375" style="179" customWidth="1"/>
    <col min="16" max="16" width="14.7109375" style="229" customWidth="1"/>
    <col min="17" max="18" width="8.5703125" style="206" customWidth="1"/>
    <col min="19" max="19" width="60.7109375" style="188" customWidth="1"/>
    <col min="20" max="27" width="15.85546875" style="176" customWidth="1"/>
    <col min="28" max="93" width="4.85546875" style="176" customWidth="1"/>
    <col min="94" max="99" width="4.85546875" style="177" customWidth="1"/>
    <col min="100" max="100" width="156.7109375" style="180" customWidth="1"/>
    <col min="101" max="101" width="106.28515625" style="179" customWidth="1"/>
    <col min="102" max="102" width="4.85546875" style="836" customWidth="1"/>
    <col min="103" max="103" width="5.5703125" style="836" customWidth="1"/>
    <col min="104" max="104" width="6.7109375" style="836" customWidth="1"/>
    <col min="105" max="105" width="6.5703125" style="836" customWidth="1"/>
    <col min="106" max="106" width="6.140625" style="836" customWidth="1"/>
    <col min="107" max="107" width="5.7109375" style="836" customWidth="1"/>
    <col min="108" max="108" width="6.140625" style="836" customWidth="1"/>
    <col min="109" max="109" width="5.42578125" style="836" customWidth="1"/>
    <col min="110" max="110" width="6.140625" style="836" customWidth="1"/>
    <col min="111" max="111" width="6.85546875" style="836" customWidth="1"/>
    <col min="112" max="112" width="66.7109375" style="836" customWidth="1"/>
    <col min="113" max="113" width="56.7109375" style="836" customWidth="1"/>
    <col min="114" max="114" width="6.140625" style="836" customWidth="1"/>
    <col min="115" max="115" width="12.42578125" style="836" customWidth="1"/>
    <col min="116" max="116" width="10.5703125" style="179" customWidth="1"/>
    <col min="117" max="129" width="4.85546875" style="179" customWidth="1"/>
    <col min="130" max="156" width="11.42578125" style="179" customWidth="1"/>
    <col min="157" max="16384" width="11.42578125" style="179"/>
  </cols>
  <sheetData>
    <row r="1" spans="1:130" ht="66" customHeight="1" x14ac:dyDescent="0.2">
      <c r="CY1" s="852"/>
      <c r="CZ1" s="852"/>
      <c r="DA1" s="852"/>
      <c r="DB1" s="852"/>
      <c r="DC1" s="852"/>
      <c r="DD1" s="852"/>
      <c r="DE1" s="852"/>
      <c r="DF1" s="852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852"/>
      <c r="DU1" s="852"/>
      <c r="DV1" s="852"/>
      <c r="DW1" s="852"/>
      <c r="DX1" s="852"/>
      <c r="DY1" s="852"/>
      <c r="DZ1" s="852"/>
    </row>
    <row r="2" spans="1:130" s="176" customFormat="1" ht="21.95" customHeight="1" x14ac:dyDescent="0.2">
      <c r="A2" s="175"/>
      <c r="C2" s="177" t="str">
        <f>'Deckblatt Gruender|Data Founder'!D8</f>
        <v>Deutsch</v>
      </c>
      <c r="P2" s="178"/>
      <c r="Q2" s="206"/>
      <c r="R2" s="206"/>
      <c r="T2" s="182" t="s">
        <v>225</v>
      </c>
      <c r="CP2" s="177"/>
      <c r="CQ2" s="177"/>
      <c r="CR2" s="177"/>
      <c r="CS2" s="177"/>
      <c r="CT2" s="177"/>
      <c r="CU2" s="177"/>
      <c r="CV2" s="180" t="s">
        <v>257</v>
      </c>
      <c r="CW2" s="179"/>
      <c r="CX2" s="836"/>
      <c r="CY2" s="349" t="s">
        <v>1</v>
      </c>
      <c r="CZ2" s="349" t="s">
        <v>2</v>
      </c>
      <c r="DA2" s="349" t="s">
        <v>3</v>
      </c>
      <c r="DB2" s="349" t="s">
        <v>4</v>
      </c>
      <c r="DC2" s="349" t="s">
        <v>5</v>
      </c>
      <c r="DD2" s="349" t="s">
        <v>6</v>
      </c>
      <c r="DE2" s="349" t="s">
        <v>7</v>
      </c>
      <c r="DF2" s="349" t="s">
        <v>8</v>
      </c>
      <c r="DG2" s="349" t="s">
        <v>9</v>
      </c>
      <c r="DH2" s="349" t="s">
        <v>10</v>
      </c>
      <c r="DI2" s="349" t="s">
        <v>11</v>
      </c>
      <c r="DJ2" s="349" t="s">
        <v>12</v>
      </c>
      <c r="DK2" s="349" t="str">
        <f ca="1">"Jahr "&amp;'1 Pers.Ausgaben|Pers Expenses'!C4</f>
        <v>Jahr 2019</v>
      </c>
      <c r="DL2" s="349" t="str">
        <f ca="1">"Jahr "&amp;'1 Pers.Ausgaben|Pers Expenses'!C4+1</f>
        <v>Jahr 2020</v>
      </c>
      <c r="DM2" s="349"/>
      <c r="DN2" s="349"/>
      <c r="DO2" s="349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</row>
    <row r="3" spans="1:130" s="57" customFormat="1" ht="24.75" x14ac:dyDescent="0.2">
      <c r="C3" s="600" t="str">
        <f ca="1">IF($C$2="English",CW3,CV3)</f>
        <v>5a-1 Ermittlung des Gewinnes oder Verlustes für die Monate des Startjahres 2019 in EURO</v>
      </c>
      <c r="Q3" s="419"/>
      <c r="R3" s="419"/>
      <c r="T3" s="37" t="s">
        <v>317</v>
      </c>
      <c r="CP3" s="95"/>
      <c r="CQ3" s="95"/>
      <c r="CR3" s="95"/>
      <c r="CS3" s="95"/>
      <c r="CT3" s="95"/>
      <c r="CU3" s="95"/>
      <c r="CV3" s="61" t="str">
        <f ca="1">"5a-1 Ermittlung des Gewinnes oder Verlustes für die Monate des Startjahres " &amp; '1 Pers.Ausgaben|Pers Expenses'!$C$4&amp;" in EURO"</f>
        <v>5a-1 Ermittlung des Gewinnes oder Verlustes für die Monate des Startjahres 2019 in EURO</v>
      </c>
      <c r="CW3" s="179" t="s">
        <v>306</v>
      </c>
      <c r="CX3" s="287"/>
      <c r="CY3" s="349" t="s">
        <v>73</v>
      </c>
      <c r="CZ3" s="349" t="s">
        <v>74</v>
      </c>
      <c r="DA3" s="349" t="s">
        <v>313</v>
      </c>
      <c r="DB3" s="349" t="s">
        <v>76</v>
      </c>
      <c r="DC3" s="349" t="s">
        <v>310</v>
      </c>
      <c r="DD3" s="349" t="s">
        <v>311</v>
      </c>
      <c r="DE3" s="349" t="s">
        <v>312</v>
      </c>
      <c r="DF3" s="349" t="s">
        <v>79</v>
      </c>
      <c r="DG3" s="349" t="s">
        <v>314</v>
      </c>
      <c r="DH3" s="349" t="s">
        <v>315</v>
      </c>
      <c r="DI3" s="349" t="s">
        <v>82</v>
      </c>
      <c r="DJ3" s="349" t="s">
        <v>316</v>
      </c>
      <c r="DK3" s="349" t="str">
        <f ca="1">"Year "&amp;'1 Pers.Ausgaben|Pers Expenses'!C4</f>
        <v>Year 2019</v>
      </c>
      <c r="DL3" s="349" t="str">
        <f ca="1">"Year "&amp;'1 Pers.Ausgaben|Pers Expenses'!C4+1</f>
        <v>Year 2020</v>
      </c>
    </row>
    <row r="4" spans="1:130" s="176" customFormat="1" x14ac:dyDescent="0.2">
      <c r="B4" s="183"/>
      <c r="C4" s="363">
        <f>'Deckblatt Gruender|Data Founder'!$M$1</f>
        <v>0</v>
      </c>
      <c r="P4" s="178"/>
      <c r="Q4" s="206"/>
      <c r="R4" s="206"/>
      <c r="T4" s="48"/>
      <c r="CP4" s="177"/>
      <c r="CQ4" s="177"/>
      <c r="CR4" s="177"/>
      <c r="CS4" s="177"/>
      <c r="CT4" s="177"/>
      <c r="CU4" s="177"/>
      <c r="CV4" s="180"/>
      <c r="CW4" s="176" t="str">
        <f ca="1">"5a-1 Determination of profit or loss for the months of the founding year  " &amp; '1 Pers.Ausgaben|Pers Expenses'!$C$4&amp;" in EURO"</f>
        <v>5a-1 Determination of profit or loss for the months of the founding year  2019 in EURO</v>
      </c>
      <c r="CX4" s="836"/>
      <c r="CY4" s="836"/>
      <c r="CZ4" s="836"/>
      <c r="DA4" s="177"/>
      <c r="DB4" s="177"/>
      <c r="DC4" s="177"/>
      <c r="DD4" s="177"/>
      <c r="DE4" s="177"/>
      <c r="DF4" s="177"/>
      <c r="DG4" s="177"/>
      <c r="DH4" s="177"/>
      <c r="DI4" s="177"/>
      <c r="DJ4" s="177"/>
      <c r="DK4" s="177"/>
    </row>
    <row r="5" spans="1:130" s="176" customFormat="1" ht="15" thickBot="1" x14ac:dyDescent="0.25">
      <c r="B5" s="183"/>
      <c r="P5" s="178"/>
      <c r="Q5" s="206"/>
      <c r="R5" s="206"/>
      <c r="T5" s="48"/>
      <c r="CP5" s="177"/>
      <c r="CQ5" s="177"/>
      <c r="CR5" s="177"/>
      <c r="CS5" s="177"/>
      <c r="CT5" s="177"/>
      <c r="CU5" s="177"/>
      <c r="CV5" s="180"/>
      <c r="CX5" s="836"/>
      <c r="CY5" s="836"/>
      <c r="CZ5" s="836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</row>
    <row r="6" spans="1:130" ht="15" thickBot="1" x14ac:dyDescent="0.25">
      <c r="C6" s="214"/>
      <c r="D6" s="184" t="str">
        <f>IF($C$2="English",CY3,CY2)</f>
        <v>Jan.</v>
      </c>
      <c r="E6" s="184" t="str">
        <f t="shared" ref="E6:O6" si="0">IF($C$2="English",CZ3,CZ2)</f>
        <v>Febr.</v>
      </c>
      <c r="F6" s="184" t="str">
        <f t="shared" si="0"/>
        <v>März</v>
      </c>
      <c r="G6" s="184" t="str">
        <f t="shared" si="0"/>
        <v>April</v>
      </c>
      <c r="H6" s="184" t="str">
        <f t="shared" si="0"/>
        <v>Mai</v>
      </c>
      <c r="I6" s="184" t="str">
        <f t="shared" si="0"/>
        <v>Juni</v>
      </c>
      <c r="J6" s="184" t="str">
        <f t="shared" si="0"/>
        <v>Juli</v>
      </c>
      <c r="K6" s="184" t="str">
        <f t="shared" si="0"/>
        <v>Aug.</v>
      </c>
      <c r="L6" s="184" t="str">
        <f t="shared" si="0"/>
        <v>Sept.</v>
      </c>
      <c r="M6" s="184" t="str">
        <f t="shared" si="0"/>
        <v>Okt.</v>
      </c>
      <c r="N6" s="184" t="str">
        <f t="shared" si="0"/>
        <v>Nov.</v>
      </c>
      <c r="O6" s="184" t="str">
        <f t="shared" si="0"/>
        <v>Dez.</v>
      </c>
      <c r="P6" s="185" t="str">
        <f ca="1">IF($C$2="English",DK3,DK2)</f>
        <v>Jahr 2019</v>
      </c>
      <c r="S6" s="56" t="str">
        <f>IF(C2="English",T3,T2)</f>
        <v>Aufgaben und/oder Kommentar</v>
      </c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</row>
    <row r="7" spans="1:130" x14ac:dyDescent="0.2">
      <c r="B7" s="186"/>
      <c r="C7" s="190"/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4"/>
      <c r="CV7" s="845"/>
    </row>
    <row r="8" spans="1:130" x14ac:dyDescent="0.2">
      <c r="C8" s="190" t="str">
        <f t="shared" ref="C8:C13" si="1">IF($C$2="English",CW9,CV9)</f>
        <v>Umsätze aus Tab. 2a-1 (ohne MwSt)</v>
      </c>
      <c r="D8" s="1153">
        <f>IF(OR($C$4=0,$C$4=3,$C$4=1),'2  Umsatz|Sales'!E34,'2  Umsatz|Sales'!E34-'2  Umsatz|Sales'!E33-'2  Umsatz|Sales'!E32)</f>
        <v>0</v>
      </c>
      <c r="E8" s="1153">
        <f>IF(OR($C$4=0,$C$4=3,$C$4=1),'2  Umsatz|Sales'!F34,'2  Umsatz|Sales'!F34-'2  Umsatz|Sales'!F33-'2  Umsatz|Sales'!F32)</f>
        <v>0</v>
      </c>
      <c r="F8" s="1153">
        <f>IF(OR($C$4=0,$C$4=3,$C$4=1),'2  Umsatz|Sales'!G34,'2  Umsatz|Sales'!G34-'2  Umsatz|Sales'!G33-'2  Umsatz|Sales'!G32)</f>
        <v>0</v>
      </c>
      <c r="G8" s="1153">
        <f>IF(OR($C$4=0,$C$4=3,$C$4=1),'2  Umsatz|Sales'!H34,'2  Umsatz|Sales'!H34-'2  Umsatz|Sales'!H33-'2  Umsatz|Sales'!H32)</f>
        <v>0</v>
      </c>
      <c r="H8" s="1153">
        <f>IF(OR($C$4=0,$C$4=3,$C$4=1),'2  Umsatz|Sales'!I34,'2  Umsatz|Sales'!I34-'2  Umsatz|Sales'!I33-'2  Umsatz|Sales'!I32)</f>
        <v>0</v>
      </c>
      <c r="I8" s="1153">
        <f>IF(OR($C$4=0,$C$4=3,$C$4=1),'2  Umsatz|Sales'!J34,'2  Umsatz|Sales'!J34-'2  Umsatz|Sales'!J33-'2  Umsatz|Sales'!J32)</f>
        <v>0</v>
      </c>
      <c r="J8" s="1153">
        <f>IF(OR($C$4=0,$C$4=3,$C$4=1),'2  Umsatz|Sales'!K34,'2  Umsatz|Sales'!K34-'2  Umsatz|Sales'!K33-'2  Umsatz|Sales'!K32)</f>
        <v>0</v>
      </c>
      <c r="K8" s="1153">
        <f>IF(OR($C$4=0,$C$4=3,$C$4=1),'2  Umsatz|Sales'!L34,'2  Umsatz|Sales'!L34-'2  Umsatz|Sales'!L33-'2  Umsatz|Sales'!L32)</f>
        <v>0</v>
      </c>
      <c r="L8" s="1153">
        <f>IF(OR($C$4=0,$C$4=3,$C$4=1),'2  Umsatz|Sales'!M34,'2  Umsatz|Sales'!M34-'2  Umsatz|Sales'!M33-'2  Umsatz|Sales'!M32)</f>
        <v>0</v>
      </c>
      <c r="M8" s="1153">
        <f>IF(OR($C$4=0,$C$4=3,$C$4=1),'2  Umsatz|Sales'!N34,'2  Umsatz|Sales'!N34-'2  Umsatz|Sales'!N33-'2  Umsatz|Sales'!N32)</f>
        <v>0</v>
      </c>
      <c r="N8" s="1153">
        <f>IF(OR($C$4=0,$C$4=3,$C$4=1),'2  Umsatz|Sales'!O34,'2  Umsatz|Sales'!O34-'2  Umsatz|Sales'!O33-'2  Umsatz|Sales'!O32)</f>
        <v>0</v>
      </c>
      <c r="O8" s="1153">
        <f>IF(OR($C$4=0,$C$4=3,$C$4=1),'2  Umsatz|Sales'!P34,'2  Umsatz|Sales'!P34-'2  Umsatz|Sales'!P33-'2  Umsatz|Sales'!P32)</f>
        <v>0</v>
      </c>
      <c r="P8" s="1154">
        <f>SUM(D8:O8)</f>
        <v>0</v>
      </c>
      <c r="CV8" s="189"/>
      <c r="CW8" s="189"/>
    </row>
    <row r="9" spans="1:130" x14ac:dyDescent="0.2">
      <c r="C9" s="191"/>
      <c r="D9" s="1153"/>
      <c r="E9" s="1153"/>
      <c r="F9" s="1153"/>
      <c r="G9" s="1153"/>
      <c r="H9" s="1153"/>
      <c r="I9" s="1153"/>
      <c r="J9" s="1153"/>
      <c r="K9" s="1153"/>
      <c r="L9" s="1153"/>
      <c r="M9" s="1153"/>
      <c r="N9" s="1153"/>
      <c r="O9" s="1153"/>
      <c r="P9" s="1154"/>
      <c r="CV9" s="189" t="str">
        <f>IF($C$4&lt;&gt;1,"Umsätze aus Tab. 2a-1 (ohne MwSt)","Umsätze aus Tab. 2a-1 (mit MwSt)")</f>
        <v>Umsätze aus Tab. 2a-1 (ohne MwSt)</v>
      </c>
      <c r="CW9" s="189" t="s">
        <v>697</v>
      </c>
    </row>
    <row r="10" spans="1:130" x14ac:dyDescent="0.2">
      <c r="C10" s="192" t="str">
        <f t="shared" si="1"/>
        <v>abzügl. Summe Betriebskosten II aus Tab. 4a-1 (ohne MwSt)</v>
      </c>
      <c r="D10" s="1155">
        <f>IF(OR($C$4=0,$C$4=3,$C$4=1),'4  Betriebskosten|Operation Ex'!D69,'4  Betriebskosten|Operation Ex'!D67-'4  Betriebskosten|Operation Ex'!D75)</f>
        <v>0</v>
      </c>
      <c r="E10" s="1155">
        <f>IF(OR($C$4=0,$C$4=3,$C$4=1),'4  Betriebskosten|Operation Ex'!E69,'4  Betriebskosten|Operation Ex'!E67-'4  Betriebskosten|Operation Ex'!E75)</f>
        <v>0</v>
      </c>
      <c r="F10" s="1155">
        <f>IF(OR($C$4=0,$C$4=3,$C$4=1),'4  Betriebskosten|Operation Ex'!F69,'4  Betriebskosten|Operation Ex'!F67-'4  Betriebskosten|Operation Ex'!F75)</f>
        <v>0</v>
      </c>
      <c r="G10" s="1155">
        <f>IF(OR($C$4=0,$C$4=3,$C$4=1),'4  Betriebskosten|Operation Ex'!G69,'4  Betriebskosten|Operation Ex'!G67-'4  Betriebskosten|Operation Ex'!G75)</f>
        <v>0</v>
      </c>
      <c r="H10" s="1155">
        <f>IF(OR($C$4=0,$C$4=3,$C$4=1),'4  Betriebskosten|Operation Ex'!H69,'4  Betriebskosten|Operation Ex'!H67-'4  Betriebskosten|Operation Ex'!H75)</f>
        <v>0</v>
      </c>
      <c r="I10" s="1155">
        <f>IF(OR($C$4=0,$C$4=3,$C$4=1),'4  Betriebskosten|Operation Ex'!I69,'4  Betriebskosten|Operation Ex'!I67-'4  Betriebskosten|Operation Ex'!I75)</f>
        <v>0</v>
      </c>
      <c r="J10" s="1155">
        <f>IF(OR($C$4=0,$C$4=3,$C$4=1),'4  Betriebskosten|Operation Ex'!J69,'4  Betriebskosten|Operation Ex'!J67-'4  Betriebskosten|Operation Ex'!J75)</f>
        <v>0</v>
      </c>
      <c r="K10" s="1155">
        <f>IF(OR($C$4=0,$C$4=3,$C$4=1),'4  Betriebskosten|Operation Ex'!K69,'4  Betriebskosten|Operation Ex'!K67-'4  Betriebskosten|Operation Ex'!K75)</f>
        <v>0</v>
      </c>
      <c r="L10" s="1155">
        <f>IF(OR($C$4=0,$C$4=3,$C$4=1),'4  Betriebskosten|Operation Ex'!L69,'4  Betriebskosten|Operation Ex'!L67-'4  Betriebskosten|Operation Ex'!L75)</f>
        <v>0</v>
      </c>
      <c r="M10" s="1155">
        <f>IF(OR($C$4=0,$C$4=3,$C$4=1),'4  Betriebskosten|Operation Ex'!M69,'4  Betriebskosten|Operation Ex'!M67-'4  Betriebskosten|Operation Ex'!M75)</f>
        <v>0</v>
      </c>
      <c r="N10" s="1155">
        <f>IF(OR($C$4=0,$C$4=3,$C$4=1),'4  Betriebskosten|Operation Ex'!N69,'4  Betriebskosten|Operation Ex'!N67-'4  Betriebskosten|Operation Ex'!N75)</f>
        <v>0</v>
      </c>
      <c r="O10" s="1155">
        <f>IF(OR($C$4=0,$C$4=3,$C$4=1),'4  Betriebskosten|Operation Ex'!O69,'4  Betriebskosten|Operation Ex'!O67-'4  Betriebskosten|Operation Ex'!O75)</f>
        <v>0</v>
      </c>
      <c r="P10" s="1154">
        <f>SUM(D10:O10)</f>
        <v>0</v>
      </c>
      <c r="CV10" s="189"/>
    </row>
    <row r="11" spans="1:130" ht="15" thickBot="1" x14ac:dyDescent="0.25">
      <c r="C11" s="191"/>
      <c r="D11" s="1153"/>
      <c r="E11" s="1153"/>
      <c r="F11" s="1153"/>
      <c r="G11" s="1153"/>
      <c r="H11" s="1153"/>
      <c r="I11" s="1153"/>
      <c r="J11" s="1153"/>
      <c r="K11" s="1153"/>
      <c r="L11" s="1153"/>
      <c r="M11" s="1153"/>
      <c r="N11" s="1153"/>
      <c r="O11" s="1153"/>
      <c r="P11" s="1154"/>
      <c r="CV11" s="189" t="str">
        <f>IF($C$4&lt;&gt;1,"abzügl. Summe Betriebskosten II aus Tab. 4a-1 (ohne MwSt)","abzügl. Summe Betriebskosten II aus Tab. 4a-1 (mit MwSt)")</f>
        <v>abzügl. Summe Betriebskosten II aus Tab. 4a-1 (ohne MwSt)</v>
      </c>
      <c r="CW11" s="179" t="str">
        <f>IF($C$4&lt;&gt;1,"(-) sum operating costs II from tab.4a (w/o VAT)","(-) sum operating costs II from tab.4a (incl. VAT)")</f>
        <v>(-) sum operating costs II from tab.4a (w/o VAT)</v>
      </c>
    </row>
    <row r="12" spans="1:130" ht="15.75" thickTop="1" thickBot="1" x14ac:dyDescent="0.25">
      <c r="C12" s="193" t="str">
        <f t="shared" si="1"/>
        <v>Vorläufiges Ergebnis / Gewinn vor St. oder Verlust</v>
      </c>
      <c r="D12" s="1156">
        <f>D8-D10</f>
        <v>0</v>
      </c>
      <c r="E12" s="1156">
        <f t="shared" ref="E12:O12" si="2">E8-E10</f>
        <v>0</v>
      </c>
      <c r="F12" s="1156">
        <f t="shared" si="2"/>
        <v>0</v>
      </c>
      <c r="G12" s="1156">
        <f t="shared" si="2"/>
        <v>0</v>
      </c>
      <c r="H12" s="1156">
        <f t="shared" si="2"/>
        <v>0</v>
      </c>
      <c r="I12" s="1156">
        <f t="shared" si="2"/>
        <v>0</v>
      </c>
      <c r="J12" s="1156">
        <f t="shared" si="2"/>
        <v>0</v>
      </c>
      <c r="K12" s="1156">
        <f t="shared" si="2"/>
        <v>0</v>
      </c>
      <c r="L12" s="1156">
        <f t="shared" si="2"/>
        <v>0</v>
      </c>
      <c r="M12" s="1156">
        <f t="shared" si="2"/>
        <v>0</v>
      </c>
      <c r="N12" s="1156">
        <f t="shared" si="2"/>
        <v>0</v>
      </c>
      <c r="O12" s="1156">
        <f t="shared" si="2"/>
        <v>0</v>
      </c>
      <c r="P12" s="1157">
        <f>IF(P8="","",P8-P10)</f>
        <v>0</v>
      </c>
    </row>
    <row r="13" spans="1:130" ht="15" thickBot="1" x14ac:dyDescent="0.25">
      <c r="C13" s="195" t="str">
        <f t="shared" si="1"/>
        <v>Akkumuliert: Vorläufiges Ergebnis / Gewinn vor St. oder Verlust</v>
      </c>
      <c r="D13" s="1158">
        <f>D12</f>
        <v>0</v>
      </c>
      <c r="E13" s="1158">
        <f>E12+D13</f>
        <v>0</v>
      </c>
      <c r="F13" s="1158">
        <f t="shared" ref="F13:O13" si="3">F12+E13</f>
        <v>0</v>
      </c>
      <c r="G13" s="1158">
        <f t="shared" si="3"/>
        <v>0</v>
      </c>
      <c r="H13" s="1158">
        <f t="shared" si="3"/>
        <v>0</v>
      </c>
      <c r="I13" s="1158">
        <f t="shared" si="3"/>
        <v>0</v>
      </c>
      <c r="J13" s="1158">
        <f t="shared" si="3"/>
        <v>0</v>
      </c>
      <c r="K13" s="1158">
        <f t="shared" si="3"/>
        <v>0</v>
      </c>
      <c r="L13" s="1158">
        <f t="shared" si="3"/>
        <v>0</v>
      </c>
      <c r="M13" s="1158">
        <f t="shared" si="3"/>
        <v>0</v>
      </c>
      <c r="N13" s="1158">
        <f t="shared" si="3"/>
        <v>0</v>
      </c>
      <c r="O13" s="1158">
        <f t="shared" si="3"/>
        <v>0</v>
      </c>
      <c r="P13" s="1165"/>
      <c r="CV13" s="194" t="s">
        <v>170</v>
      </c>
      <c r="CW13" s="666" t="s">
        <v>350</v>
      </c>
    </row>
    <row r="14" spans="1:130" s="574" customFormat="1" x14ac:dyDescent="0.2">
      <c r="A14" s="573"/>
      <c r="B14" s="573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6"/>
      <c r="Q14" s="573"/>
      <c r="R14" s="573"/>
      <c r="S14" s="577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  <c r="AO14" s="573"/>
      <c r="AP14" s="573"/>
      <c r="AQ14" s="573"/>
      <c r="AR14" s="573"/>
      <c r="AS14" s="573"/>
      <c r="AT14" s="573"/>
      <c r="AU14" s="573"/>
      <c r="AV14" s="573"/>
      <c r="AW14" s="573"/>
      <c r="AX14" s="573"/>
      <c r="AY14" s="573"/>
      <c r="AZ14" s="573"/>
      <c r="BA14" s="573"/>
      <c r="BB14" s="573"/>
      <c r="BC14" s="573"/>
      <c r="BD14" s="573"/>
      <c r="BE14" s="573"/>
      <c r="BF14" s="573"/>
      <c r="BG14" s="573"/>
      <c r="BH14" s="573"/>
      <c r="BI14" s="573"/>
      <c r="BJ14" s="573"/>
      <c r="BK14" s="573"/>
      <c r="BL14" s="573"/>
      <c r="BM14" s="573"/>
      <c r="BN14" s="573"/>
      <c r="BO14" s="573"/>
      <c r="BP14" s="573"/>
      <c r="BQ14" s="573"/>
      <c r="BR14" s="573"/>
      <c r="BS14" s="573"/>
      <c r="BT14" s="573"/>
      <c r="BU14" s="573"/>
      <c r="BV14" s="573"/>
      <c r="BW14" s="573"/>
      <c r="BX14" s="573"/>
      <c r="BY14" s="573"/>
      <c r="BZ14" s="573"/>
      <c r="CA14" s="573"/>
      <c r="CB14" s="573"/>
      <c r="CC14" s="573"/>
      <c r="CD14" s="573"/>
      <c r="CE14" s="573"/>
      <c r="CF14" s="573"/>
      <c r="CG14" s="573"/>
      <c r="CH14" s="573"/>
      <c r="CI14" s="573"/>
      <c r="CJ14" s="573"/>
      <c r="CK14" s="573"/>
      <c r="CL14" s="573"/>
      <c r="CM14" s="573"/>
      <c r="CN14" s="573"/>
      <c r="CO14" s="573"/>
      <c r="CP14" s="573"/>
      <c r="CQ14" s="573"/>
      <c r="CR14" s="573"/>
      <c r="CS14" s="573"/>
      <c r="CT14" s="573"/>
      <c r="CU14" s="573"/>
      <c r="CV14" s="194" t="s">
        <v>169</v>
      </c>
      <c r="CW14" s="666" t="s">
        <v>352</v>
      </c>
      <c r="CX14" s="836"/>
      <c r="CY14" s="836"/>
      <c r="CZ14" s="836"/>
      <c r="DA14" s="836"/>
      <c r="DB14" s="836"/>
      <c r="DC14" s="836"/>
      <c r="DD14" s="836"/>
      <c r="DE14" s="836"/>
      <c r="DF14" s="836"/>
      <c r="DG14" s="836"/>
      <c r="DH14" s="836"/>
      <c r="DI14" s="836"/>
      <c r="DJ14" s="836"/>
      <c r="DK14" s="836"/>
    </row>
    <row r="15" spans="1:130" s="573" customFormat="1" x14ac:dyDescent="0.2"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8"/>
      <c r="S15" s="577"/>
      <c r="CV15" s="846"/>
      <c r="CW15" s="847"/>
      <c r="CX15" s="197"/>
      <c r="CY15" s="197"/>
      <c r="CZ15" s="197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</row>
    <row r="16" spans="1:130" s="579" customFormat="1" ht="24.75" x14ac:dyDescent="0.2">
      <c r="C16" s="600" t="str">
        <f ca="1">IF($C$2="English",CW18,CV18)</f>
        <v>5a-2 Ermittlung des Gewinnes oder Verlustes für die Monate des Jahres 2020 in EURO</v>
      </c>
      <c r="Q16" s="580"/>
      <c r="R16" s="580"/>
      <c r="S16" s="581"/>
      <c r="CP16" s="837"/>
      <c r="CQ16" s="837"/>
      <c r="CR16" s="837"/>
      <c r="CS16" s="837"/>
      <c r="CT16" s="837"/>
      <c r="CU16" s="837"/>
      <c r="CV16" s="846" t="s">
        <v>429</v>
      </c>
      <c r="CW16" s="847" t="s">
        <v>698</v>
      </c>
      <c r="CX16" s="197"/>
      <c r="CY16" s="197"/>
      <c r="CZ16" s="197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</row>
    <row r="17" spans="2:115" s="176" customFormat="1" ht="15" thickBot="1" x14ac:dyDescent="0.25">
      <c r="B17" s="183"/>
      <c r="P17" s="178"/>
      <c r="Q17" s="206"/>
      <c r="R17" s="206"/>
      <c r="S17" s="188"/>
      <c r="CP17" s="177"/>
      <c r="CQ17" s="177"/>
      <c r="CR17" s="177"/>
      <c r="CS17" s="177"/>
      <c r="CT17" s="177"/>
      <c r="CU17" s="177"/>
      <c r="CV17" s="180"/>
      <c r="CW17" s="179" t="s">
        <v>614</v>
      </c>
      <c r="CX17" s="836"/>
      <c r="CY17" s="836"/>
      <c r="CZ17" s="836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</row>
    <row r="18" spans="2:115" ht="15" thickBot="1" x14ac:dyDescent="0.25">
      <c r="C18" s="322"/>
      <c r="D18" s="184" t="str">
        <f>D6</f>
        <v>Jan.</v>
      </c>
      <c r="E18" s="184" t="str">
        <f t="shared" ref="E18:O18" si="4">E6</f>
        <v>Febr.</v>
      </c>
      <c r="F18" s="184" t="str">
        <f t="shared" si="4"/>
        <v>März</v>
      </c>
      <c r="G18" s="184" t="str">
        <f t="shared" si="4"/>
        <v>April</v>
      </c>
      <c r="H18" s="184" t="str">
        <f t="shared" si="4"/>
        <v>Mai</v>
      </c>
      <c r="I18" s="184" t="str">
        <f t="shared" si="4"/>
        <v>Juni</v>
      </c>
      <c r="J18" s="184" t="str">
        <f t="shared" si="4"/>
        <v>Juli</v>
      </c>
      <c r="K18" s="184" t="str">
        <f t="shared" si="4"/>
        <v>Aug.</v>
      </c>
      <c r="L18" s="184" t="str">
        <f t="shared" si="4"/>
        <v>Sept.</v>
      </c>
      <c r="M18" s="184" t="str">
        <f t="shared" si="4"/>
        <v>Okt.</v>
      </c>
      <c r="N18" s="184" t="str">
        <f t="shared" si="4"/>
        <v>Nov.</v>
      </c>
      <c r="O18" s="184" t="str">
        <f t="shared" si="4"/>
        <v>Dez.</v>
      </c>
      <c r="P18" s="185" t="str">
        <f ca="1">IF($C$2="English",DL3,DL2)</f>
        <v>Jahr 2020</v>
      </c>
      <c r="CV18" s="61" t="str">
        <f ca="1">"5a-2 Ermittlung des Gewinnes oder Verlustes für die Monate des Jahres " &amp; '1 Pers.Ausgaben|Pers Expenses'!$C$4+1&amp;" in EURO"</f>
        <v>5a-2 Ermittlung des Gewinnes oder Verlustes für die Monate des Jahres 2020 in EURO</v>
      </c>
      <c r="CW18" s="176" t="str">
        <f ca="1">"5a-2 Determination of profit or loss for the months of the year  " &amp; '1 Pers.Ausgaben|Pers Expenses'!$C$4+1&amp;" in EURO"</f>
        <v>5a-2 Determination of profit or loss for the months of the year  2020 in EURO</v>
      </c>
      <c r="CX18" s="287"/>
      <c r="CY18" s="287"/>
      <c r="CZ18" s="287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</row>
    <row r="19" spans="2:115" x14ac:dyDescent="0.2">
      <c r="B19" s="186"/>
      <c r="C19" s="190"/>
      <c r="D19" s="1153"/>
      <c r="E19" s="1153"/>
      <c r="F19" s="1153"/>
      <c r="G19" s="1153"/>
      <c r="H19" s="1153"/>
      <c r="I19" s="1153"/>
      <c r="J19" s="1153"/>
      <c r="K19" s="1153"/>
      <c r="L19" s="1153"/>
      <c r="M19" s="1153"/>
      <c r="N19" s="1153"/>
      <c r="O19" s="1153"/>
      <c r="P19" s="1154"/>
      <c r="CV19" s="189"/>
      <c r="CW19" s="176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</row>
    <row r="20" spans="2:115" x14ac:dyDescent="0.2">
      <c r="C20" s="190" t="str">
        <f>IF($C$2="English",CW20,CV20)</f>
        <v>Umsätze aus Tab. 2a-2 (ohne MwSt)</v>
      </c>
      <c r="D20" s="1153">
        <f>IF(OR($C$4=0,$C$4=3,$C$4=1),'2  Umsatz|Sales'!E68,'2  Umsatz|Sales'!E68-'2  Umsatz|Sales'!E67-'2  Umsatz|Sales'!E66)</f>
        <v>0</v>
      </c>
      <c r="E20" s="1153">
        <f>IF(OR($C$4=0,$C$4=3,$C$4=1),'2  Umsatz|Sales'!F68,'2  Umsatz|Sales'!F68-'2  Umsatz|Sales'!F67-'2  Umsatz|Sales'!F66)</f>
        <v>0</v>
      </c>
      <c r="F20" s="1153">
        <f>IF(OR($C$4=0,$C$4=3,$C$4=1),'2  Umsatz|Sales'!G68,'2  Umsatz|Sales'!G68-'2  Umsatz|Sales'!G67-'2  Umsatz|Sales'!G66)</f>
        <v>0</v>
      </c>
      <c r="G20" s="1153">
        <f>IF(OR($C$4=0,$C$4=3,$C$4=1),'2  Umsatz|Sales'!H68,'2  Umsatz|Sales'!H68-'2  Umsatz|Sales'!H67-'2  Umsatz|Sales'!H66)</f>
        <v>0</v>
      </c>
      <c r="H20" s="1153">
        <f>IF(OR($C$4=0,$C$4=3,$C$4=1),'2  Umsatz|Sales'!I68,'2  Umsatz|Sales'!I68-'2  Umsatz|Sales'!I67-'2  Umsatz|Sales'!I66)</f>
        <v>0</v>
      </c>
      <c r="I20" s="1153">
        <f>IF(OR($C$4=0,$C$4=3,$C$4=1),'2  Umsatz|Sales'!J68,'2  Umsatz|Sales'!J68-'2  Umsatz|Sales'!J67-'2  Umsatz|Sales'!J66)</f>
        <v>0</v>
      </c>
      <c r="J20" s="1153">
        <f>IF(OR($C$4=0,$C$4=3,$C$4=1),'2  Umsatz|Sales'!K68,'2  Umsatz|Sales'!K68-'2  Umsatz|Sales'!K67-'2  Umsatz|Sales'!K66)</f>
        <v>0</v>
      </c>
      <c r="K20" s="1153">
        <f>IF(OR($C$4=0,$C$4=3,$C$4=1),'2  Umsatz|Sales'!L68,'2  Umsatz|Sales'!L68-'2  Umsatz|Sales'!L67-'2  Umsatz|Sales'!L66)</f>
        <v>0</v>
      </c>
      <c r="L20" s="1153">
        <f>IF(OR($C$4=0,$C$4=3,$C$4=1),'2  Umsatz|Sales'!M68,'2  Umsatz|Sales'!M68-'2  Umsatz|Sales'!M67-'2  Umsatz|Sales'!M66)</f>
        <v>0</v>
      </c>
      <c r="M20" s="1153">
        <f>IF(OR($C$4=0,$C$4=3,$C$4=1),'2  Umsatz|Sales'!N68,'2  Umsatz|Sales'!N68-'2  Umsatz|Sales'!N67-'2  Umsatz|Sales'!N66)</f>
        <v>0</v>
      </c>
      <c r="N20" s="1153">
        <f>IF(OR($C$4=0,$C$4=3,$C$4=1),'2  Umsatz|Sales'!O68,'2  Umsatz|Sales'!O68-'2  Umsatz|Sales'!O67-'2  Umsatz|Sales'!O66)</f>
        <v>0</v>
      </c>
      <c r="O20" s="1153">
        <f>IF(OR($C$4=0,$C$4=3,$C$4=1),'2  Umsatz|Sales'!P68,'2  Umsatz|Sales'!P68-'2  Umsatz|Sales'!P67-'2  Umsatz|Sales'!P66)</f>
        <v>0</v>
      </c>
      <c r="P20" s="1154">
        <f>SUM(D20:O20)</f>
        <v>0</v>
      </c>
      <c r="CV20" s="189" t="str">
        <f>IF($C$4&lt;&gt;1,"Umsätze aus Tab. 2a-2 (ohne MwSt)","Umsätze aus Tab. 2a-2 (mit MwSt)")</f>
        <v>Umsätze aus Tab. 2a-2 (ohne MwSt)</v>
      </c>
      <c r="CW20" s="189" t="str">
        <f>IF($C$4&lt;&gt;1,"Turnover from tab. 2a-2 (w/o VAT)","Turnover from tab. 2a-2 (incl. VAT)")</f>
        <v>Turnover from tab. 2a-2 (w/o VAT)</v>
      </c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</row>
    <row r="21" spans="2:115" x14ac:dyDescent="0.2">
      <c r="C21" s="191"/>
      <c r="D21" s="1153"/>
      <c r="E21" s="1153"/>
      <c r="F21" s="1153"/>
      <c r="G21" s="1153"/>
      <c r="H21" s="1153"/>
      <c r="I21" s="1153"/>
      <c r="J21" s="1153"/>
      <c r="K21" s="1153"/>
      <c r="L21" s="1153"/>
      <c r="M21" s="1153"/>
      <c r="N21" s="1153"/>
      <c r="O21" s="1153"/>
      <c r="P21" s="1154"/>
      <c r="CV21" s="189"/>
    </row>
    <row r="22" spans="2:115" x14ac:dyDescent="0.2">
      <c r="C22" s="190" t="str">
        <f>IF($C$2="English",CW22,CV22)</f>
        <v>abzügl. Summe Betriebskosten II aus Tab. 4a-2 (ohne MwSt)</v>
      </c>
      <c r="D22" s="1155">
        <f ca="1">IF(OR($C$4=0,$C$4=3,$C$4=1),'4  Betriebskosten|Operation Ex'!D143,'4  Betriebskosten|Operation Ex'!D143-'4  Betriebskosten|Operation Ex'!D149)</f>
        <v>0</v>
      </c>
      <c r="E22" s="1155">
        <f ca="1">IF(OR($C$4=0,$C$4=3,$C$4=1),'4  Betriebskosten|Operation Ex'!E143,'4  Betriebskosten|Operation Ex'!E143-'4  Betriebskosten|Operation Ex'!E149)</f>
        <v>0</v>
      </c>
      <c r="F22" s="1155">
        <f ca="1">IF(OR($C$4=0,$C$4=3,$C$4=1),'4  Betriebskosten|Operation Ex'!F143,'4  Betriebskosten|Operation Ex'!F143-'4  Betriebskosten|Operation Ex'!F149)</f>
        <v>0</v>
      </c>
      <c r="G22" s="1155">
        <f ca="1">IF(OR($C$4=0,$C$4=3,$C$4=1),'4  Betriebskosten|Operation Ex'!G143,'4  Betriebskosten|Operation Ex'!G143-'4  Betriebskosten|Operation Ex'!G149)</f>
        <v>0</v>
      </c>
      <c r="H22" s="1155">
        <f ca="1">IF(OR($C$4=0,$C$4=3,$C$4=1),'4  Betriebskosten|Operation Ex'!H143,'4  Betriebskosten|Operation Ex'!H143-'4  Betriebskosten|Operation Ex'!H149)</f>
        <v>0</v>
      </c>
      <c r="I22" s="1155">
        <f ca="1">IF(OR($C$4=0,$C$4=3,$C$4=1),'4  Betriebskosten|Operation Ex'!I143,'4  Betriebskosten|Operation Ex'!I143-'4  Betriebskosten|Operation Ex'!I149)</f>
        <v>0</v>
      </c>
      <c r="J22" s="1155">
        <f ca="1">IF(OR($C$4=0,$C$4=3,$C$4=1),'4  Betriebskosten|Operation Ex'!J143,'4  Betriebskosten|Operation Ex'!J143-'4  Betriebskosten|Operation Ex'!J149)</f>
        <v>0</v>
      </c>
      <c r="K22" s="1155">
        <f ca="1">IF(OR($C$4=0,$C$4=3,$C$4=1),'4  Betriebskosten|Operation Ex'!K143,'4  Betriebskosten|Operation Ex'!K143-'4  Betriebskosten|Operation Ex'!K149)</f>
        <v>0</v>
      </c>
      <c r="L22" s="1155">
        <f ca="1">IF(OR($C$4=0,$C$4=3,$C$4=1),'4  Betriebskosten|Operation Ex'!L143,'4  Betriebskosten|Operation Ex'!L143-'4  Betriebskosten|Operation Ex'!L149)</f>
        <v>0</v>
      </c>
      <c r="M22" s="1155">
        <f ca="1">IF(OR($C$4=0,$C$4=3,$C$4=1),'4  Betriebskosten|Operation Ex'!M143,'4  Betriebskosten|Operation Ex'!M143-'4  Betriebskosten|Operation Ex'!M149)</f>
        <v>0</v>
      </c>
      <c r="N22" s="1155">
        <f ca="1">IF(OR($C$4=0,$C$4=3,$C$4=1),'4  Betriebskosten|Operation Ex'!N143,'4  Betriebskosten|Operation Ex'!N143-'4  Betriebskosten|Operation Ex'!N149)</f>
        <v>0</v>
      </c>
      <c r="O22" s="1155">
        <f ca="1">IF(OR($C$4=0,$C$4=3,$C$4=1),'4  Betriebskosten|Operation Ex'!O143,'4  Betriebskosten|Operation Ex'!O143-'4  Betriebskosten|Operation Ex'!O149)</f>
        <v>0</v>
      </c>
      <c r="P22" s="1154">
        <f ca="1">SUM(D22:O22)</f>
        <v>0</v>
      </c>
      <c r="CV22" s="189" t="str">
        <f>IF($C$4&lt;&gt;1,"abzügl. Summe Betriebskosten II aus Tab. 4a-2 (ohne MwSt)","abzügl. Summe Betriebskosten II aus Tab. 4a-2 (mit MwSt)")</f>
        <v>abzügl. Summe Betriebskosten II aus Tab. 4a-2 (ohne MwSt)</v>
      </c>
      <c r="CW22" s="179" t="str">
        <f>IF($C$4&lt;&gt;1,"(-) sum operating costs II from tab.4a (w/o VAT)","(-) sum operating costs II from tab.4a (incl. VAT)")</f>
        <v>(-) sum operating costs II from tab.4a (w/o VAT)</v>
      </c>
    </row>
    <row r="23" spans="2:115" ht="15" thickBot="1" x14ac:dyDescent="0.25">
      <c r="C23" s="191"/>
      <c r="D23" s="1153"/>
      <c r="E23" s="1153"/>
      <c r="F23" s="1153"/>
      <c r="G23" s="1153"/>
      <c r="H23" s="1153"/>
      <c r="I23" s="1153"/>
      <c r="J23" s="1153"/>
      <c r="K23" s="1153"/>
      <c r="L23" s="1153"/>
      <c r="M23" s="1153"/>
      <c r="N23" s="1153"/>
      <c r="O23" s="1153"/>
      <c r="P23" s="1154"/>
    </row>
    <row r="24" spans="2:115" ht="15.75" thickTop="1" thickBot="1" x14ac:dyDescent="0.25">
      <c r="C24" s="193" t="str">
        <f>C12</f>
        <v>Vorläufiges Ergebnis / Gewinn vor St. oder Verlust</v>
      </c>
      <c r="D24" s="1156">
        <f ca="1">D20-D22</f>
        <v>0</v>
      </c>
      <c r="E24" s="1156">
        <f t="shared" ref="E24:O24" ca="1" si="5">E20-E22</f>
        <v>0</v>
      </c>
      <c r="F24" s="1156">
        <f t="shared" ca="1" si="5"/>
        <v>0</v>
      </c>
      <c r="G24" s="1156">
        <f t="shared" ca="1" si="5"/>
        <v>0</v>
      </c>
      <c r="H24" s="1156">
        <f t="shared" ca="1" si="5"/>
        <v>0</v>
      </c>
      <c r="I24" s="1156">
        <f t="shared" ca="1" si="5"/>
        <v>0</v>
      </c>
      <c r="J24" s="1156">
        <f t="shared" ca="1" si="5"/>
        <v>0</v>
      </c>
      <c r="K24" s="1156">
        <f t="shared" ca="1" si="5"/>
        <v>0</v>
      </c>
      <c r="L24" s="1156">
        <f t="shared" ca="1" si="5"/>
        <v>0</v>
      </c>
      <c r="M24" s="1156">
        <f t="shared" ca="1" si="5"/>
        <v>0</v>
      </c>
      <c r="N24" s="1156">
        <f t="shared" ca="1" si="5"/>
        <v>0</v>
      </c>
      <c r="O24" s="1156">
        <f t="shared" ca="1" si="5"/>
        <v>0</v>
      </c>
      <c r="P24" s="1157">
        <f ca="1">IF(P20="","",P20-P22)</f>
        <v>0</v>
      </c>
    </row>
    <row r="25" spans="2:115" ht="15" thickBot="1" x14ac:dyDescent="0.25">
      <c r="C25" s="195" t="str">
        <f>C13</f>
        <v>Akkumuliert: Vorläufiges Ergebnis / Gewinn vor St. oder Verlust</v>
      </c>
      <c r="D25" s="1158">
        <f ca="1">D24+O13</f>
        <v>0</v>
      </c>
      <c r="E25" s="1158">
        <f t="shared" ref="E25:O25" ca="1" si="6">E24+D25</f>
        <v>0</v>
      </c>
      <c r="F25" s="1158">
        <f t="shared" ca="1" si="6"/>
        <v>0</v>
      </c>
      <c r="G25" s="1158">
        <f t="shared" ca="1" si="6"/>
        <v>0</v>
      </c>
      <c r="H25" s="1158">
        <f t="shared" ca="1" si="6"/>
        <v>0</v>
      </c>
      <c r="I25" s="1158">
        <f t="shared" ca="1" si="6"/>
        <v>0</v>
      </c>
      <c r="J25" s="1158">
        <f t="shared" ca="1" si="6"/>
        <v>0</v>
      </c>
      <c r="K25" s="1158">
        <f t="shared" ca="1" si="6"/>
        <v>0</v>
      </c>
      <c r="L25" s="1158">
        <f t="shared" ca="1" si="6"/>
        <v>0</v>
      </c>
      <c r="M25" s="1158">
        <f t="shared" ca="1" si="6"/>
        <v>0</v>
      </c>
      <c r="N25" s="1158">
        <f t="shared" ca="1" si="6"/>
        <v>0</v>
      </c>
      <c r="O25" s="1158">
        <f t="shared" ca="1" si="6"/>
        <v>0</v>
      </c>
      <c r="P25" s="1165"/>
    </row>
    <row r="26" spans="2:115" s="176" customFormat="1" x14ac:dyDescent="0.2">
      <c r="C26" s="433"/>
      <c r="D26" s="1004"/>
      <c r="E26" s="1004"/>
      <c r="F26" s="1004"/>
      <c r="G26" s="1004"/>
      <c r="H26" s="1004"/>
      <c r="I26" s="1004"/>
      <c r="J26" s="1004"/>
      <c r="K26" s="1004"/>
      <c r="L26" s="1004"/>
      <c r="M26" s="1004"/>
      <c r="N26" s="1004"/>
      <c r="O26" s="1004"/>
      <c r="P26" s="1004"/>
      <c r="Q26" s="206"/>
      <c r="R26" s="206"/>
      <c r="S26" s="188"/>
      <c r="CP26" s="177"/>
      <c r="CQ26" s="177"/>
      <c r="CR26" s="177"/>
      <c r="CS26" s="177"/>
      <c r="CT26" s="177"/>
      <c r="CU26" s="177"/>
      <c r="CV26" s="715"/>
      <c r="CW26" s="715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</row>
    <row r="27" spans="2:115" s="176" customFormat="1" ht="19.5" x14ac:dyDescent="0.2">
      <c r="C27" s="433"/>
      <c r="D27" s="1004"/>
      <c r="E27" s="1004"/>
      <c r="F27" s="1004"/>
      <c r="G27" s="1038" t="str">
        <f ca="1">IF($C$2="English",CW50,CV50)</f>
        <v>Monatliches Ergebnis 2019 und 2020 : Gewinn/Verlust vor Steuer</v>
      </c>
      <c r="H27" s="1004"/>
      <c r="I27" s="1004"/>
      <c r="J27" s="1004"/>
      <c r="K27" s="1004"/>
      <c r="L27" s="1004"/>
      <c r="M27" s="1004"/>
      <c r="N27" s="1004"/>
      <c r="O27" s="1004"/>
      <c r="P27" s="1004"/>
      <c r="Q27" s="206"/>
      <c r="R27" s="206"/>
      <c r="S27" s="188"/>
      <c r="CP27" s="177"/>
      <c r="CQ27" s="177"/>
      <c r="CR27" s="177"/>
      <c r="CS27" s="177"/>
      <c r="CT27" s="177"/>
      <c r="CU27" s="177"/>
      <c r="CV27" s="715"/>
      <c r="CW27" s="715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</row>
    <row r="28" spans="2:115" s="176" customFormat="1" x14ac:dyDescent="0.2">
      <c r="C28" s="1224"/>
      <c r="D28" s="1225"/>
      <c r="E28" s="1225"/>
      <c r="F28" s="1225"/>
      <c r="G28" s="177"/>
      <c r="H28" s="1225"/>
      <c r="I28" s="1225"/>
      <c r="J28" s="1225"/>
      <c r="K28" s="1225"/>
      <c r="L28" s="1225"/>
      <c r="M28" s="1225"/>
      <c r="N28" s="1225"/>
      <c r="O28" s="1225"/>
      <c r="P28" s="1225"/>
      <c r="Q28" s="206"/>
      <c r="R28" s="206"/>
      <c r="S28" s="188"/>
      <c r="CP28" s="177"/>
      <c r="CQ28" s="177"/>
      <c r="CR28" s="177"/>
      <c r="CS28" s="177"/>
      <c r="CT28" s="177"/>
      <c r="CU28" s="177"/>
      <c r="CV28" s="715"/>
      <c r="CW28" s="715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</row>
    <row r="29" spans="2:115" s="176" customFormat="1" x14ac:dyDescent="0.2">
      <c r="C29" s="1224"/>
      <c r="D29" s="1225"/>
      <c r="E29" s="1225"/>
      <c r="F29" s="1225"/>
      <c r="G29" s="1225"/>
      <c r="H29" s="1225"/>
      <c r="I29" s="1225"/>
      <c r="J29" s="1225"/>
      <c r="K29" s="1225"/>
      <c r="L29" s="1225"/>
      <c r="M29" s="1225"/>
      <c r="N29" s="1225"/>
      <c r="O29" s="1225"/>
      <c r="P29" s="1225"/>
      <c r="Q29" s="206"/>
      <c r="R29" s="206"/>
      <c r="S29" s="188"/>
      <c r="CP29" s="177"/>
      <c r="CQ29" s="177"/>
      <c r="CR29" s="177"/>
      <c r="CS29" s="177"/>
      <c r="CT29" s="177"/>
      <c r="CU29" s="177"/>
      <c r="CV29" s="715"/>
      <c r="CW29" s="715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</row>
    <row r="30" spans="2:115" s="176" customFormat="1" x14ac:dyDescent="0.2">
      <c r="C30" s="1224"/>
      <c r="D30" s="1225"/>
      <c r="E30" s="1225"/>
      <c r="F30" s="1225"/>
      <c r="G30" s="1225"/>
      <c r="H30" s="1225"/>
      <c r="I30" s="1225"/>
      <c r="J30" s="1225"/>
      <c r="K30" s="1225"/>
      <c r="L30" s="1225"/>
      <c r="M30" s="1225"/>
      <c r="N30" s="1225"/>
      <c r="O30" s="1225"/>
      <c r="P30" s="1225"/>
      <c r="Q30" s="206"/>
      <c r="R30" s="206"/>
      <c r="S30" s="188"/>
      <c r="CP30" s="177"/>
      <c r="CQ30" s="177"/>
      <c r="CR30" s="177"/>
      <c r="CS30" s="177"/>
      <c r="CT30" s="177"/>
      <c r="CU30" s="177"/>
      <c r="CV30" s="715"/>
      <c r="CW30" s="715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</row>
    <row r="31" spans="2:115" s="176" customFormat="1" x14ac:dyDescent="0.2">
      <c r="C31" s="433"/>
      <c r="D31" s="1004"/>
      <c r="E31" s="1004"/>
      <c r="F31" s="1004"/>
      <c r="G31" s="1004"/>
      <c r="H31" s="1004"/>
      <c r="I31" s="1004"/>
      <c r="J31" s="1004"/>
      <c r="K31" s="1004"/>
      <c r="L31" s="1004"/>
      <c r="M31" s="1004"/>
      <c r="N31" s="1004"/>
      <c r="O31" s="1004"/>
      <c r="P31" s="1004"/>
      <c r="Q31" s="206"/>
      <c r="R31" s="206"/>
      <c r="S31" s="188"/>
      <c r="CP31" s="177"/>
      <c r="CQ31" s="177"/>
      <c r="CR31" s="177"/>
      <c r="CS31" s="177"/>
      <c r="CT31" s="177"/>
      <c r="CU31" s="177"/>
      <c r="CV31" s="715"/>
      <c r="CW31" s="715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</row>
    <row r="32" spans="2:115" s="176" customFormat="1" x14ac:dyDescent="0.2">
      <c r="C32" s="433"/>
      <c r="D32" s="1004"/>
      <c r="E32" s="1004"/>
      <c r="F32" s="1004"/>
      <c r="G32" s="1004"/>
      <c r="H32" s="1004"/>
      <c r="I32" s="1004"/>
      <c r="J32" s="1004"/>
      <c r="K32" s="1004"/>
      <c r="L32" s="1004"/>
      <c r="M32" s="1004"/>
      <c r="N32" s="1004"/>
      <c r="O32" s="1004"/>
      <c r="P32" s="1004"/>
      <c r="Q32" s="206"/>
      <c r="R32" s="206"/>
      <c r="S32" s="188"/>
      <c r="CP32" s="177"/>
      <c r="CQ32" s="177"/>
      <c r="CR32" s="177"/>
      <c r="CS32" s="177"/>
      <c r="CT32" s="177"/>
      <c r="CU32" s="177"/>
      <c r="CV32" s="715"/>
      <c r="CW32" s="715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</row>
    <row r="33" spans="2:115" s="176" customFormat="1" x14ac:dyDescent="0.2">
      <c r="C33" s="433"/>
      <c r="D33" s="1004"/>
      <c r="E33" s="1004"/>
      <c r="F33" s="1004"/>
      <c r="G33" s="1004"/>
      <c r="H33" s="1004"/>
      <c r="I33" s="1004"/>
      <c r="J33" s="1004"/>
      <c r="K33" s="1004"/>
      <c r="L33" s="1004"/>
      <c r="M33" s="1004"/>
      <c r="N33" s="1004"/>
      <c r="O33" s="1004"/>
      <c r="P33" s="1004"/>
      <c r="Q33" s="206"/>
      <c r="R33" s="206"/>
      <c r="S33" s="188"/>
      <c r="CP33" s="177"/>
      <c r="CQ33" s="177"/>
      <c r="CR33" s="177"/>
      <c r="CS33" s="177"/>
      <c r="CT33" s="177"/>
      <c r="CU33" s="177"/>
      <c r="CV33" s="715"/>
      <c r="CW33" s="715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</row>
    <row r="34" spans="2:115" s="176" customFormat="1" x14ac:dyDescent="0.2">
      <c r="C34" s="433"/>
      <c r="D34" s="1004"/>
      <c r="E34" s="1004"/>
      <c r="F34" s="1004"/>
      <c r="G34" s="1004"/>
      <c r="H34" s="1004"/>
      <c r="I34" s="1004"/>
      <c r="J34" s="1004"/>
      <c r="K34" s="1004"/>
      <c r="L34" s="1004"/>
      <c r="M34" s="1004"/>
      <c r="N34" s="1004"/>
      <c r="O34" s="1004"/>
      <c r="P34" s="1004"/>
      <c r="Q34" s="206"/>
      <c r="R34" s="206"/>
      <c r="S34" s="188"/>
      <c r="CP34" s="177"/>
      <c r="CQ34" s="177"/>
      <c r="CR34" s="177"/>
      <c r="CS34" s="177"/>
      <c r="CT34" s="177"/>
      <c r="CU34" s="177"/>
      <c r="CV34" s="846" t="s">
        <v>429</v>
      </c>
      <c r="CW34" s="847" t="s">
        <v>698</v>
      </c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</row>
    <row r="35" spans="2:115" s="176" customFormat="1" x14ac:dyDescent="0.2">
      <c r="C35" s="433"/>
      <c r="D35" s="1004"/>
      <c r="E35" s="1004"/>
      <c r="F35" s="1004"/>
      <c r="G35" s="1004"/>
      <c r="H35" s="1004"/>
      <c r="I35" s="1004"/>
      <c r="J35" s="1004"/>
      <c r="K35" s="1004"/>
      <c r="L35" s="1004"/>
      <c r="M35" s="1004"/>
      <c r="N35" s="1004"/>
      <c r="O35" s="1004"/>
      <c r="P35" s="1004"/>
      <c r="Q35" s="206"/>
      <c r="R35" s="206"/>
      <c r="S35" s="188"/>
      <c r="CP35" s="177"/>
      <c r="CQ35" s="177"/>
      <c r="CR35" s="177"/>
      <c r="CS35" s="177"/>
      <c r="CT35" s="177"/>
      <c r="CU35" s="177"/>
      <c r="CV35" s="715"/>
      <c r="CW35" s="715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</row>
    <row r="36" spans="2:115" s="176" customFormat="1" x14ac:dyDescent="0.2">
      <c r="C36" s="433"/>
      <c r="D36" s="1004"/>
      <c r="E36" s="1004"/>
      <c r="F36" s="1004"/>
      <c r="G36" s="1004"/>
      <c r="H36" s="1004"/>
      <c r="I36" s="1004"/>
      <c r="J36" s="1004"/>
      <c r="K36" s="1004"/>
      <c r="L36" s="1004"/>
      <c r="M36" s="1004"/>
      <c r="N36" s="1004"/>
      <c r="O36" s="1004"/>
      <c r="P36" s="1004"/>
      <c r="Q36" s="206"/>
      <c r="R36" s="206"/>
      <c r="S36" s="188"/>
      <c r="CP36" s="177"/>
      <c r="CQ36" s="177"/>
      <c r="CR36" s="177"/>
      <c r="CS36" s="177"/>
      <c r="CT36" s="177"/>
      <c r="CU36" s="177"/>
      <c r="CV36" s="715"/>
      <c r="CW36" s="715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</row>
    <row r="37" spans="2:115" s="176" customFormat="1" x14ac:dyDescent="0.2">
      <c r="C37" s="433"/>
      <c r="D37" s="1004"/>
      <c r="E37" s="1004"/>
      <c r="F37" s="1004"/>
      <c r="G37" s="1004"/>
      <c r="H37" s="1004"/>
      <c r="I37" s="1004"/>
      <c r="J37" s="1004"/>
      <c r="K37" s="1004"/>
      <c r="L37" s="1004"/>
      <c r="M37" s="1004"/>
      <c r="N37" s="1004"/>
      <c r="O37" s="1004"/>
      <c r="P37" s="1004"/>
      <c r="Q37" s="206"/>
      <c r="R37" s="206"/>
      <c r="S37" s="188"/>
      <c r="CP37" s="177"/>
      <c r="CQ37" s="177"/>
      <c r="CR37" s="177"/>
      <c r="CS37" s="177"/>
      <c r="CT37" s="177"/>
      <c r="CU37" s="177"/>
      <c r="CV37" s="715"/>
      <c r="CW37" s="715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</row>
    <row r="38" spans="2:115" s="573" customFormat="1" x14ac:dyDescent="0.2"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82"/>
      <c r="S38" s="577"/>
      <c r="CV38" s="194" t="str">
        <f xml:space="preserve"> CV13</f>
        <v>Vorläufiges Ergebnis / Gewinn vor St. oder Verlust</v>
      </c>
      <c r="CW38" s="666" t="s">
        <v>350</v>
      </c>
      <c r="CX38" s="836"/>
      <c r="CY38" s="836"/>
      <c r="CZ38" s="836"/>
      <c r="DA38" s="836"/>
      <c r="DB38" s="836"/>
      <c r="DC38" s="836"/>
      <c r="DD38" s="836"/>
      <c r="DE38" s="836"/>
      <c r="DF38" s="836"/>
      <c r="DG38" s="836"/>
      <c r="DH38" s="836"/>
      <c r="DI38" s="836"/>
      <c r="DJ38" s="836"/>
      <c r="DK38" s="836"/>
    </row>
    <row r="39" spans="2:115" s="579" customFormat="1" ht="22.5" x14ac:dyDescent="0.2">
      <c r="C39" s="181" t="str">
        <f ca="1">IF($C$2="English",CW46,CV46)</f>
        <v>5b Ermittlung des Gewinnes oder Verlustes für die Jahre 2019 - 2023 in EURO</v>
      </c>
      <c r="N39" s="1037" t="str">
        <f>IF($C$2="English",CW34,CV34)</f>
        <v>Gewinn/Verlust vor Steuer</v>
      </c>
      <c r="Q39" s="580"/>
      <c r="R39" s="580"/>
      <c r="S39" s="581"/>
      <c r="CP39" s="837"/>
      <c r="CQ39" s="837"/>
      <c r="CR39" s="837"/>
      <c r="CS39" s="837"/>
      <c r="CT39" s="837"/>
      <c r="CU39" s="837"/>
      <c r="CV39" s="194" t="s">
        <v>198</v>
      </c>
      <c r="CW39" s="666" t="s">
        <v>352</v>
      </c>
      <c r="CX39" s="836"/>
      <c r="CY39" s="836"/>
      <c r="CZ39" s="836"/>
      <c r="DA39" s="836"/>
      <c r="DB39" s="836"/>
      <c r="DC39" s="836"/>
      <c r="DD39" s="836"/>
      <c r="DE39" s="836"/>
      <c r="DF39" s="836"/>
      <c r="DG39" s="836"/>
      <c r="DH39" s="836"/>
      <c r="DI39" s="836"/>
      <c r="DJ39" s="836"/>
      <c r="DK39" s="836"/>
    </row>
    <row r="40" spans="2:115" s="183" customFormat="1" ht="15" thickBot="1" x14ac:dyDescent="0.25">
      <c r="B40" s="176"/>
      <c r="C40" s="201"/>
      <c r="D40" s="201"/>
      <c r="E40" s="201"/>
      <c r="F40" s="201"/>
      <c r="G40" s="201"/>
      <c r="H40" s="201"/>
      <c r="I40" s="201"/>
      <c r="J40" s="201"/>
      <c r="K40" s="201"/>
      <c r="P40" s="210"/>
      <c r="Q40" s="583"/>
      <c r="R40" s="583"/>
      <c r="S40" s="211"/>
      <c r="CP40" s="177"/>
      <c r="CQ40" s="177"/>
      <c r="CR40" s="177"/>
      <c r="CS40" s="177"/>
      <c r="CT40" s="177"/>
      <c r="CU40" s="177"/>
      <c r="CV40" s="846"/>
      <c r="CW40" s="847"/>
      <c r="CX40" s="197"/>
      <c r="CY40" s="197"/>
      <c r="CZ40" s="197"/>
      <c r="DA40" s="196"/>
      <c r="DB40" s="196"/>
      <c r="DC40" s="196"/>
      <c r="DD40" s="196"/>
      <c r="DE40" s="196"/>
      <c r="DF40" s="196"/>
      <c r="DG40" s="196"/>
      <c r="DH40" s="196"/>
      <c r="DI40" s="196"/>
      <c r="DJ40" s="196"/>
      <c r="DK40" s="196"/>
    </row>
    <row r="41" spans="2:115" ht="15" thickBot="1" x14ac:dyDescent="0.25">
      <c r="C41" s="322"/>
      <c r="D41" s="212">
        <f ca="1">'1 Pers.Ausgaben|Pers Expenses'!C4</f>
        <v>2019</v>
      </c>
      <c r="E41" s="212">
        <f ca="1">D41+1</f>
        <v>2020</v>
      </c>
      <c r="F41" s="212">
        <f ca="1">E41+1</f>
        <v>2021</v>
      </c>
      <c r="G41" s="212">
        <f ca="1">F41+1</f>
        <v>2022</v>
      </c>
      <c r="H41" s="584">
        <f ca="1">G41+1</f>
        <v>2023</v>
      </c>
      <c r="I41" s="176"/>
      <c r="J41" s="176"/>
      <c r="K41" s="176"/>
      <c r="L41" s="176"/>
      <c r="M41" s="176"/>
      <c r="N41" s="176"/>
      <c r="O41" s="176"/>
      <c r="P41" s="176"/>
      <c r="CV41" s="846"/>
      <c r="CW41" s="847"/>
      <c r="CX41" s="197"/>
      <c r="CY41" s="197"/>
      <c r="CZ41" s="197"/>
      <c r="DA41" s="196"/>
      <c r="DB41" s="196"/>
      <c r="DC41" s="196"/>
      <c r="DD41" s="196"/>
      <c r="DE41" s="196"/>
      <c r="DF41" s="196"/>
      <c r="DG41" s="196"/>
      <c r="DH41" s="196"/>
      <c r="DI41" s="196"/>
      <c r="DJ41" s="196"/>
      <c r="DK41" s="196"/>
    </row>
    <row r="42" spans="2:115" x14ac:dyDescent="0.2">
      <c r="C42" s="190"/>
      <c r="D42" s="1151"/>
      <c r="E42" s="1151"/>
      <c r="F42" s="1151"/>
      <c r="G42" s="1151"/>
      <c r="H42" s="1152"/>
      <c r="I42" s="176"/>
      <c r="J42" s="176"/>
      <c r="K42" s="176"/>
      <c r="L42" s="176"/>
      <c r="M42" s="176"/>
      <c r="N42" s="176"/>
      <c r="O42" s="176"/>
      <c r="P42" s="176"/>
      <c r="S42" s="206"/>
      <c r="CV42" s="846" t="s">
        <v>633</v>
      </c>
      <c r="CW42" s="847" t="s">
        <v>634</v>
      </c>
      <c r="CX42" s="197"/>
      <c r="CY42" s="197"/>
      <c r="CZ42" s="197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</row>
    <row r="43" spans="2:115" x14ac:dyDescent="0.2">
      <c r="C43" s="190" t="str">
        <f>IF($C$2="English",CW43,CV43)</f>
        <v>Umsätze aus Tab. 2b (ohne MwSt)</v>
      </c>
      <c r="D43" s="1153">
        <f>P8</f>
        <v>0</v>
      </c>
      <c r="E43" s="1153">
        <f>P20</f>
        <v>0</v>
      </c>
      <c r="F43" s="1153">
        <f>IF(OR($C$4=0,$C$4=3,$C$4=1),'2  Umsatz|Sales'!G102,'2  Umsatz|Sales'!G102-'2  Umsatz|Sales'!G101-'2  Umsatz|Sales'!G100)</f>
        <v>0</v>
      </c>
      <c r="G43" s="1153">
        <f>IF(OR($C$4=0,$C$4=3,$C$4=1),'2  Umsatz|Sales'!H102,'2  Umsatz|Sales'!H102-'2  Umsatz|Sales'!H101-'2  Umsatz|Sales'!H100)</f>
        <v>0</v>
      </c>
      <c r="H43" s="1154">
        <f>IF(OR($C$4=0,$C$4=3,$C$4=1),'2  Umsatz|Sales'!I102,'2  Umsatz|Sales'!I102-'2  Umsatz|Sales'!I101-'2  Umsatz|Sales'!I100)</f>
        <v>0</v>
      </c>
      <c r="I43" s="176"/>
      <c r="J43" s="176"/>
      <c r="K43" s="176"/>
      <c r="L43" s="176"/>
      <c r="M43" s="176"/>
      <c r="N43" s="176"/>
      <c r="O43" s="176"/>
      <c r="P43" s="176"/>
      <c r="S43" s="1556"/>
      <c r="CV43" s="189" t="str">
        <f>IF($C$4&lt;&gt;1,"Umsätze aus Tab. 2b (ohne MwSt)","Umsätze aus Tab. 2b (mit MwSt)")</f>
        <v>Umsätze aus Tab. 2b (ohne MwSt)</v>
      </c>
      <c r="CW43" s="189" t="str">
        <f>IF($C$4&lt;&gt;1,"Turnover from tab. 2b (w/o VAT)","Turnover from tab. 2b (incl. VAT)")</f>
        <v>Turnover from tab. 2b (w/o VAT)</v>
      </c>
      <c r="CX43" s="197"/>
      <c r="CY43" s="197"/>
      <c r="CZ43" s="197"/>
      <c r="DA43" s="196"/>
      <c r="DB43" s="196"/>
      <c r="DC43" s="196"/>
      <c r="DD43" s="196"/>
      <c r="DE43" s="196"/>
      <c r="DF43" s="196"/>
      <c r="DG43" s="196"/>
      <c r="DH43" s="196"/>
      <c r="DI43" s="196"/>
      <c r="DJ43" s="196"/>
      <c r="DK43" s="196"/>
    </row>
    <row r="44" spans="2:115" x14ac:dyDescent="0.2">
      <c r="C44" s="191"/>
      <c r="D44" s="1153"/>
      <c r="E44" s="1153"/>
      <c r="F44" s="1153"/>
      <c r="G44" s="1153"/>
      <c r="H44" s="1154"/>
      <c r="I44" s="176"/>
      <c r="J44" s="176"/>
      <c r="K44" s="176"/>
      <c r="L44" s="176"/>
      <c r="M44" s="176"/>
      <c r="N44" s="176"/>
      <c r="O44" s="176"/>
      <c r="P44" s="176"/>
      <c r="S44" s="206"/>
      <c r="CX44" s="197"/>
      <c r="CY44" s="197"/>
      <c r="CZ44" s="197"/>
      <c r="DA44" s="196"/>
      <c r="DB44" s="196"/>
      <c r="DC44" s="196"/>
      <c r="DD44" s="196"/>
      <c r="DE44" s="196"/>
      <c r="DF44" s="196"/>
      <c r="DG44" s="196"/>
      <c r="DH44" s="196"/>
      <c r="DI44" s="196"/>
      <c r="DJ44" s="196"/>
      <c r="DK44" s="196"/>
    </row>
    <row r="45" spans="2:115" x14ac:dyDescent="0.2">
      <c r="C45" s="192" t="str">
        <f>IF($C$2="English",CW45,CV45)</f>
        <v>abzügl. Summe Betriebskosten II aus Tab. 4b  (ohne MwSt)</v>
      </c>
      <c r="D45" s="1155">
        <f>P10</f>
        <v>0</v>
      </c>
      <c r="E45" s="1155">
        <f ca="1">P22</f>
        <v>0</v>
      </c>
      <c r="F45" s="1155">
        <f ca="1">IF(OR($C$4=0,$C$4=3,$C$4=1),'4  Betriebskosten|Operation Ex'!F217,'4  Betriebskosten|Operation Ex'!F217-'4  Betriebskosten|Operation Ex'!F223)</f>
        <v>0</v>
      </c>
      <c r="G45" s="1155">
        <f ca="1">IF(OR($C$4=0,$C$4=3,$C$4=1),'4  Betriebskosten|Operation Ex'!G217,'4  Betriebskosten|Operation Ex'!G217-'4  Betriebskosten|Operation Ex'!G223)</f>
        <v>0</v>
      </c>
      <c r="H45" s="1155">
        <f ca="1">IF(OR($C$4=0,$C$4=3,$C$4=1),'4  Betriebskosten|Operation Ex'!H217,'4  Betriebskosten|Operation Ex'!H217-'4  Betriebskosten|Operation Ex'!H223)</f>
        <v>0</v>
      </c>
      <c r="I45" s="176"/>
      <c r="J45" s="176"/>
      <c r="K45" s="176"/>
      <c r="L45" s="176"/>
      <c r="M45" s="176"/>
      <c r="N45" s="176"/>
      <c r="O45" s="176"/>
      <c r="P45" s="176"/>
      <c r="S45" s="1556"/>
      <c r="CV45" s="189" t="str">
        <f>IF($C$4&lt;&gt;1,"abzügl. Summe Betriebskosten II aus Tab. 4b  (ohne MwSt)","abzügl. Summe Betriebskosten II aus Tab. 4b (mit MwSt)")</f>
        <v>abzügl. Summe Betriebskosten II aus Tab. 4b  (ohne MwSt)</v>
      </c>
      <c r="CW45" s="189" t="str">
        <f>IF($C$4&lt;&gt;1,"less sum operating costs II from tab.4b (w/o VAT)","less sum operating costs II from tab.4b (incl. VAT)")</f>
        <v>less sum operating costs II from tab.4b (w/o VAT)</v>
      </c>
      <c r="CX45" s="197"/>
      <c r="CY45" s="197"/>
      <c r="CZ45" s="197"/>
      <c r="DA45" s="196"/>
      <c r="DB45" s="196"/>
      <c r="DC45" s="196"/>
      <c r="DD45" s="196"/>
      <c r="DE45" s="196"/>
      <c r="DF45" s="196"/>
      <c r="DG45" s="196"/>
      <c r="DH45" s="196"/>
      <c r="DI45" s="196"/>
      <c r="DJ45" s="196"/>
      <c r="DK45" s="196"/>
    </row>
    <row r="46" spans="2:115" ht="15" thickBot="1" x14ac:dyDescent="0.25">
      <c r="C46" s="191"/>
      <c r="D46" s="1153"/>
      <c r="E46" s="1153"/>
      <c r="F46" s="1153"/>
      <c r="G46" s="1153"/>
      <c r="H46" s="1154"/>
      <c r="I46" s="176"/>
      <c r="J46" s="176"/>
      <c r="K46" s="176"/>
      <c r="L46" s="176"/>
      <c r="M46" s="176"/>
      <c r="N46" s="176"/>
      <c r="O46" s="176"/>
      <c r="P46" s="176"/>
      <c r="S46" s="206"/>
      <c r="CV46" s="61" t="str">
        <f ca="1">"5b Ermittlung des Gewinnes oder Verlustes für die Jahre "&amp;'1 Pers.Ausgaben|Pers Expenses'!$C$4&amp;" - "&amp;'1 Pers.Ausgaben|Pers Expenses'!$C$4+4&amp;" in EURO"</f>
        <v>5b Ermittlung des Gewinnes oder Verlustes für die Jahre 2019 - 2023 in EURO</v>
      </c>
      <c r="CW46" s="179" t="str">
        <f ca="1">"5b Deterination of profit or loss for the years "&amp;'1 Pers.Ausgaben|Pers Expenses'!$C$4&amp;" - "&amp;'1 Pers.Ausgaben|Pers Expenses'!$C$4+4&amp;" in EURO"</f>
        <v>5b Deterination of profit or loss for the years 2019 - 2023 in EURO</v>
      </c>
      <c r="CX46" s="197"/>
      <c r="CY46" s="197"/>
      <c r="CZ46" s="197"/>
      <c r="DA46" s="196"/>
      <c r="DB46" s="196"/>
      <c r="DC46" s="196"/>
      <c r="DD46" s="196"/>
      <c r="DE46" s="196"/>
      <c r="DF46" s="196"/>
      <c r="DG46" s="196"/>
      <c r="DH46" s="196"/>
      <c r="DI46" s="196"/>
      <c r="DJ46" s="196"/>
      <c r="DK46" s="196"/>
    </row>
    <row r="47" spans="2:115" ht="15.75" thickTop="1" thickBot="1" x14ac:dyDescent="0.25">
      <c r="C47" s="193" t="str">
        <f>IF($C$2="English",CW38,CV38)</f>
        <v>Vorläufiges Ergebnis / Gewinn vor St. oder Verlust</v>
      </c>
      <c r="D47" s="1156">
        <f>D43-D45</f>
        <v>0</v>
      </c>
      <c r="E47" s="1156">
        <f ca="1">E43-E45</f>
        <v>0</v>
      </c>
      <c r="F47" s="1156">
        <f ca="1">F43-F45</f>
        <v>0</v>
      </c>
      <c r="G47" s="1156">
        <f ca="1">G43-G45</f>
        <v>0</v>
      </c>
      <c r="H47" s="1157">
        <f ca="1">H43-H45</f>
        <v>0</v>
      </c>
      <c r="I47" s="176"/>
      <c r="J47" s="176"/>
      <c r="K47" s="176"/>
      <c r="L47" s="176"/>
      <c r="M47" s="176"/>
      <c r="N47" s="176"/>
      <c r="O47" s="176"/>
      <c r="P47" s="176"/>
      <c r="S47" s="1556"/>
      <c r="CV47" s="194" t="s">
        <v>163</v>
      </c>
      <c r="CW47" s="666" t="s">
        <v>353</v>
      </c>
      <c r="CX47" s="197"/>
      <c r="CY47" s="197"/>
      <c r="CZ47" s="197"/>
      <c r="DA47" s="196"/>
      <c r="DB47" s="196"/>
      <c r="DC47" s="196"/>
      <c r="DD47" s="196"/>
      <c r="DE47" s="196"/>
      <c r="DF47" s="196"/>
      <c r="DG47" s="196"/>
      <c r="DH47" s="196"/>
      <c r="DI47" s="196"/>
      <c r="DJ47" s="196"/>
      <c r="DK47" s="196"/>
    </row>
    <row r="48" spans="2:115" ht="15" thickBot="1" x14ac:dyDescent="0.25">
      <c r="C48" s="195" t="str">
        <f>C13</f>
        <v>Akkumuliert: Vorläufiges Ergebnis / Gewinn vor St. oder Verlust</v>
      </c>
      <c r="D48" s="1158">
        <f>D47</f>
        <v>0</v>
      </c>
      <c r="E48" s="1158">
        <f ca="1">E47+D48</f>
        <v>0</v>
      </c>
      <c r="F48" s="1158">
        <f ca="1">F47+E48</f>
        <v>0</v>
      </c>
      <c r="G48" s="1158">
        <f ca="1">G47+F48</f>
        <v>0</v>
      </c>
      <c r="H48" s="1159">
        <f ca="1">H47+G48</f>
        <v>0</v>
      </c>
      <c r="I48" s="176"/>
      <c r="J48" s="176"/>
      <c r="K48" s="176"/>
      <c r="L48" s="176"/>
      <c r="M48" s="176"/>
      <c r="N48" s="176"/>
      <c r="O48" s="176"/>
      <c r="P48" s="176"/>
      <c r="S48" s="1556"/>
      <c r="CV48" s="189" t="str">
        <f>IF('Deckblatt Gruender|Data Founder'!$D$13='Deckblatt Gruender|Data Founder'!$C$1,"Gewerbesteuer entfällt bei " &amp; 'Deckblatt Gruender|Data Founder'!$C$1,"Ermittelte / geschätzte Gewerbesteuer *)")</f>
        <v>Ermittelte / geschätzte Gewerbesteuer *)</v>
      </c>
      <c r="CW48" s="189" t="str">
        <f>IF('Deckblatt Gruender|Data Founder'!$D$13='Deckblatt Gruender|Data Founder'!$C$1,"Business tax do not apply to " &amp; 'Deckblatt Gruender|Data Founder'!$C$1,"Ascertained / estimated business tax *)")</f>
        <v>Ascertained / estimated business tax *)</v>
      </c>
      <c r="CX48" s="197"/>
      <c r="CY48" s="197"/>
      <c r="CZ48" s="197"/>
      <c r="DA48" s="196"/>
      <c r="DB48" s="196"/>
      <c r="DC48" s="196"/>
      <c r="DD48" s="196"/>
      <c r="DE48" s="196"/>
      <c r="DF48" s="196"/>
      <c r="DG48" s="196"/>
      <c r="DH48" s="196"/>
      <c r="DI48" s="196"/>
      <c r="DJ48" s="196"/>
      <c r="DK48" s="196"/>
    </row>
    <row r="49" spans="1:115" s="573" customFormat="1" x14ac:dyDescent="0.2">
      <c r="C49" s="585"/>
      <c r="D49" s="575" t="str">
        <f>IF(D47&gt;0,D47,"")</f>
        <v/>
      </c>
      <c r="E49" s="575" t="str">
        <f ca="1">IF(E47&gt;0,E47,"")</f>
        <v/>
      </c>
      <c r="F49" s="575" t="str">
        <f ca="1">IF(F47&gt;0,F47,"")</f>
        <v/>
      </c>
      <c r="G49" s="575" t="str">
        <f ca="1">IF(G47&gt;0,G47,"")</f>
        <v/>
      </c>
      <c r="H49" s="575" t="str">
        <f ca="1">IF(H47&gt;0,H47,"")</f>
        <v/>
      </c>
      <c r="S49" s="586"/>
      <c r="CV49" s="40" t="str">
        <f>IF('Deckblatt Gruender|Data Founder'!$C$4='Deckblatt Gruender|Data Founder'!$D$13,"Körperschaftsteuer**)","Einkommensteuern (bei Nicht-Kapitalgesellschaften**) ) ")</f>
        <v xml:space="preserve">Einkommensteuern (bei Nicht-Kapitalgesellschaften**) ) </v>
      </c>
      <c r="CW49" s="40" t="str">
        <f>IF('Deckblatt Gruender|Data Founder'!$C$4='Deckblatt Gruender|Data Founder'!$D$13,"Federal Income Tax**)","Income tax (for non capital companies **) ) ")</f>
        <v xml:space="preserve">Income tax (for non capital companies **) ) </v>
      </c>
      <c r="CX49" s="197"/>
      <c r="CY49" s="197"/>
      <c r="CZ49" s="197"/>
      <c r="DA49" s="196"/>
      <c r="DB49" s="196"/>
      <c r="DC49" s="196"/>
      <c r="DD49" s="196"/>
      <c r="DE49" s="196"/>
      <c r="DF49" s="196"/>
      <c r="DG49" s="196"/>
      <c r="DH49" s="196"/>
      <c r="DI49" s="196"/>
      <c r="DJ49" s="196"/>
      <c r="DK49" s="196"/>
    </row>
    <row r="50" spans="1:115" s="573" customFormat="1" x14ac:dyDescent="0.2">
      <c r="D50" s="575">
        <f>IF(D47&lt;=0,D47,"")</f>
        <v>0</v>
      </c>
      <c r="E50" s="575">
        <f ca="1">IF(E47&lt;=0,E47,"")</f>
        <v>0</v>
      </c>
      <c r="F50" s="575">
        <f ca="1">IF(F47&lt;=0,F47,"")</f>
        <v>0</v>
      </c>
      <c r="G50" s="575">
        <f ca="1">IF(G47&lt;=0,G47,"")</f>
        <v>0</v>
      </c>
      <c r="H50" s="575">
        <f ca="1">IF(H47&lt;=0,H47,"")</f>
        <v>0</v>
      </c>
      <c r="S50" s="586"/>
      <c r="CV50" s="846" t="str">
        <f ca="1">"Monatliches Ergebnis "&amp;'1 Pers.Ausgaben|Pers Expenses'!C4&amp;" und "&amp;'1 Pers.Ausgaben|Pers Expenses'!C4+1&amp;" : Gewinn/Verlust vor Steuer"</f>
        <v>Monatliches Ergebnis 2019 und 2020 : Gewinn/Verlust vor Steuer</v>
      </c>
      <c r="CW50" s="847" t="s">
        <v>699</v>
      </c>
      <c r="CX50" s="197"/>
      <c r="CY50" s="197"/>
      <c r="CZ50" s="197"/>
      <c r="DA50" s="196"/>
      <c r="DB50" s="196"/>
      <c r="DC50" s="196"/>
      <c r="DD50" s="196"/>
      <c r="DE50" s="196"/>
      <c r="DF50" s="196"/>
      <c r="DG50" s="196"/>
      <c r="DH50" s="196"/>
      <c r="DI50" s="196"/>
      <c r="DJ50" s="196"/>
      <c r="DK50" s="196"/>
    </row>
    <row r="51" spans="1:115" s="573" customFormat="1" x14ac:dyDescent="0.2">
      <c r="D51" s="575"/>
      <c r="E51" s="575"/>
      <c r="F51" s="575"/>
      <c r="G51" s="575"/>
      <c r="H51" s="575"/>
      <c r="S51" s="586"/>
      <c r="CX51" s="287"/>
      <c r="CY51" s="287"/>
      <c r="CZ51" s="287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</row>
    <row r="52" spans="1:115" s="587" customFormat="1" ht="22.5" x14ac:dyDescent="0.3">
      <c r="C52" s="181" t="str">
        <f ca="1">IF($C$2="English",CW55,CV55)</f>
        <v>5c Ermittlung der Steuerlast für die Jahre 2019 - 2023 in EURO</v>
      </c>
      <c r="Q52" s="588"/>
      <c r="R52" s="588"/>
      <c r="S52" s="589"/>
      <c r="CP52" s="838"/>
      <c r="CQ52" s="838"/>
      <c r="CR52" s="838"/>
      <c r="CS52" s="838"/>
      <c r="CT52" s="838"/>
      <c r="CU52" s="838"/>
      <c r="CX52" s="836"/>
      <c r="CY52" s="836"/>
      <c r="CZ52" s="836"/>
      <c r="DA52" s="177"/>
      <c r="DB52" s="177"/>
      <c r="DC52" s="177"/>
      <c r="DD52" s="177"/>
      <c r="DE52" s="177"/>
      <c r="DF52" s="177"/>
      <c r="DG52" s="177"/>
      <c r="DH52" s="177"/>
      <c r="DI52" s="177"/>
      <c r="DJ52" s="177"/>
      <c r="DK52" s="177"/>
    </row>
    <row r="53" spans="1:115" s="176" customFormat="1" ht="15.75" thickBot="1" x14ac:dyDescent="0.25">
      <c r="B53" s="183"/>
      <c r="P53" s="178"/>
      <c r="Q53" s="206"/>
      <c r="R53" s="206"/>
      <c r="S53" s="188"/>
      <c r="CP53" s="177"/>
      <c r="CQ53" s="177"/>
      <c r="CR53" s="177"/>
      <c r="CS53" s="177"/>
      <c r="CT53" s="177"/>
      <c r="CU53" s="177"/>
      <c r="CV53" s="849"/>
      <c r="CW53" s="179"/>
      <c r="CX53" s="836"/>
      <c r="CY53" s="836"/>
      <c r="CZ53" s="836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</row>
    <row r="54" spans="1:115" ht="15" thickBot="1" x14ac:dyDescent="0.25">
      <c r="C54" s="214"/>
      <c r="D54" s="215">
        <f ca="1">'1 Pers.Ausgaben|Pers Expenses'!C4</f>
        <v>2019</v>
      </c>
      <c r="E54" s="215">
        <f ca="1">D54+1</f>
        <v>2020</v>
      </c>
      <c r="F54" s="215">
        <f ca="1">E54+1</f>
        <v>2021</v>
      </c>
      <c r="G54" s="215">
        <f ca="1">F54+1</f>
        <v>2022</v>
      </c>
      <c r="H54" s="590">
        <f ca="1">G54+1</f>
        <v>2023</v>
      </c>
      <c r="I54" s="213"/>
      <c r="J54" s="176"/>
      <c r="K54" s="176"/>
      <c r="L54" s="176"/>
      <c r="M54" s="176"/>
      <c r="N54" s="176"/>
      <c r="O54" s="176"/>
      <c r="P54" s="176"/>
      <c r="CV54" s="194" t="s">
        <v>162</v>
      </c>
      <c r="CW54" s="60" t="s">
        <v>354</v>
      </c>
      <c r="DA54" s="177"/>
      <c r="DB54" s="177"/>
      <c r="DC54" s="177"/>
      <c r="DD54" s="177"/>
      <c r="DE54" s="177"/>
      <c r="DF54" s="177"/>
      <c r="DG54" s="177"/>
      <c r="DH54" s="177"/>
      <c r="DI54" s="177"/>
      <c r="DJ54" s="177"/>
      <c r="DK54" s="177"/>
    </row>
    <row r="55" spans="1:115" ht="15" thickBot="1" x14ac:dyDescent="0.25">
      <c r="C55" s="216" t="str">
        <f>IF($C$2="English",CW47,CV47)</f>
        <v>Vorläufiges Ergebnis / Gewinn vor Steuern (Übernahme aus Tab 5b)</v>
      </c>
      <c r="D55" s="1160">
        <f>D47</f>
        <v>0</v>
      </c>
      <c r="E55" s="1160">
        <f ca="1">E47</f>
        <v>0</v>
      </c>
      <c r="F55" s="1160">
        <f ca="1">F47</f>
        <v>0</v>
      </c>
      <c r="G55" s="1160">
        <f ca="1">G47</f>
        <v>0</v>
      </c>
      <c r="H55" s="1161">
        <f ca="1">H47</f>
        <v>0</v>
      </c>
      <c r="I55" s="213"/>
      <c r="J55" s="176"/>
      <c r="K55" s="176"/>
      <c r="L55" s="176"/>
      <c r="M55" s="176"/>
      <c r="N55" s="176"/>
      <c r="O55" s="176"/>
      <c r="P55" s="176"/>
      <c r="CV55" s="194" t="str">
        <f ca="1">"5c Ermittlung der Steuerlast für die Jahre "&amp;'1 Pers.Ausgaben|Pers Expenses'!$C$4&amp;" - "&amp;'1 Pers.Ausgaben|Pers Expenses'!$C$4+4&amp;" in EURO"</f>
        <v>5c Ermittlung der Steuerlast für die Jahre 2019 - 2023 in EURO</v>
      </c>
      <c r="CW55" s="179" t="str">
        <f ca="1">"5c Determination of tax load the years "&amp;'1 Pers.Ausgaben|Pers Expenses'!$C$4&amp;" - "&amp;'1 Pers.Ausgaben|Pers Expenses'!$C$4+4&amp;" in EURO"</f>
        <v>5c Determination of tax load the years 2019 - 2023 in EURO</v>
      </c>
      <c r="DA55" s="177"/>
      <c r="DB55" s="177"/>
      <c r="DC55" s="177"/>
      <c r="DD55" s="177"/>
      <c r="DE55" s="177"/>
      <c r="DF55" s="177"/>
      <c r="DG55" s="177"/>
      <c r="DH55" s="177"/>
      <c r="DI55" s="177"/>
      <c r="DJ55" s="177"/>
      <c r="DK55" s="177"/>
    </row>
    <row r="56" spans="1:115" ht="15" thickTop="1" x14ac:dyDescent="0.2">
      <c r="C56" s="217"/>
      <c r="D56" s="1153"/>
      <c r="E56" s="1153"/>
      <c r="F56" s="1153"/>
      <c r="G56" s="1153"/>
      <c r="H56" s="1154"/>
      <c r="I56" s="213"/>
      <c r="J56" s="176"/>
      <c r="K56" s="176"/>
      <c r="L56" s="176"/>
      <c r="M56" s="176"/>
      <c r="N56" s="176"/>
      <c r="O56" s="176"/>
      <c r="P56" s="176"/>
      <c r="CV56" s="850" t="s">
        <v>172</v>
      </c>
      <c r="CW56" s="850" t="s">
        <v>355</v>
      </c>
      <c r="DA56" s="177"/>
      <c r="DB56" s="177"/>
      <c r="DC56" s="177"/>
      <c r="DD56" s="177"/>
      <c r="DE56" s="177"/>
      <c r="DF56" s="177"/>
      <c r="DG56" s="177"/>
      <c r="DH56" s="177"/>
      <c r="DI56" s="177"/>
      <c r="DJ56" s="177"/>
      <c r="DK56" s="177"/>
    </row>
    <row r="57" spans="1:115" s="219" customFormat="1" x14ac:dyDescent="0.2">
      <c r="A57" s="201"/>
      <c r="B57" s="201"/>
      <c r="C57" s="190" t="str">
        <f>IF($C$2="English",CW48,CV48)</f>
        <v>Ermittelte / geschätzte Gewerbesteuer *)</v>
      </c>
      <c r="D57" s="1162"/>
      <c r="E57" s="1162"/>
      <c r="F57" s="1162"/>
      <c r="G57" s="1162"/>
      <c r="H57" s="1162"/>
      <c r="I57" s="218"/>
      <c r="J57" s="201"/>
      <c r="K57" s="201"/>
      <c r="L57" s="201"/>
      <c r="M57" s="201"/>
      <c r="N57" s="201"/>
      <c r="O57" s="201"/>
      <c r="P57" s="201"/>
      <c r="Q57" s="473"/>
      <c r="R57" s="473"/>
      <c r="S57" s="1556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395"/>
      <c r="CQ57" s="395"/>
      <c r="CR57" s="395"/>
      <c r="CS57" s="395"/>
      <c r="CT57" s="395"/>
      <c r="CU57" s="395"/>
      <c r="CV57" s="850" t="s">
        <v>171</v>
      </c>
      <c r="CW57" s="850" t="s">
        <v>356</v>
      </c>
      <c r="CX57" s="836"/>
      <c r="CY57" s="836"/>
      <c r="CZ57" s="836"/>
      <c r="DA57" s="177"/>
      <c r="DB57" s="177"/>
      <c r="DC57" s="177"/>
      <c r="DD57" s="177"/>
      <c r="DE57" s="177"/>
      <c r="DF57" s="177"/>
      <c r="DG57" s="177"/>
      <c r="DH57" s="177"/>
      <c r="DI57" s="177"/>
      <c r="DJ57" s="177"/>
      <c r="DK57" s="177"/>
    </row>
    <row r="58" spans="1:115" s="219" customFormat="1" x14ac:dyDescent="0.2">
      <c r="A58" s="201"/>
      <c r="B58" s="201"/>
      <c r="C58" s="190"/>
      <c r="D58" s="1153"/>
      <c r="E58" s="1153"/>
      <c r="F58" s="1153"/>
      <c r="G58" s="1153"/>
      <c r="H58" s="1154"/>
      <c r="I58" s="218"/>
      <c r="J58" s="201"/>
      <c r="K58" s="201"/>
      <c r="L58" s="201"/>
      <c r="M58" s="201"/>
      <c r="N58" s="201"/>
      <c r="O58" s="201"/>
      <c r="P58" s="201"/>
      <c r="Q58" s="473"/>
      <c r="R58" s="473"/>
      <c r="S58" s="220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395"/>
      <c r="CQ58" s="395"/>
      <c r="CR58" s="395"/>
      <c r="CS58" s="395"/>
      <c r="CT58" s="395"/>
      <c r="CU58" s="395"/>
      <c r="CV58" s="851" t="str">
        <f>IF(CV49="Körperschaftsteuer**)","**) Abschätzung Körperschaftssteuer","")</f>
        <v/>
      </c>
      <c r="CW58" s="179"/>
      <c r="CX58" s="836"/>
      <c r="CY58" s="836"/>
      <c r="CZ58" s="836"/>
      <c r="DA58" s="177"/>
      <c r="DB58" s="177"/>
      <c r="DC58" s="177"/>
      <c r="DD58" s="177"/>
      <c r="DE58" s="177"/>
      <c r="DF58" s="177"/>
      <c r="DG58" s="177"/>
      <c r="DH58" s="177"/>
      <c r="DI58" s="177"/>
      <c r="DJ58" s="177"/>
      <c r="DK58" s="177"/>
    </row>
    <row r="59" spans="1:115" s="60" customFormat="1" x14ac:dyDescent="0.2">
      <c r="A59" s="57"/>
      <c r="B59" s="57"/>
      <c r="C59" s="190" t="str">
        <f>IF($C$2="English",CW49,CV49)</f>
        <v xml:space="preserve">Einkommensteuern (bei Nicht-Kapitalgesellschaften**) ) </v>
      </c>
      <c r="D59" s="1162"/>
      <c r="E59" s="1162"/>
      <c r="F59" s="1162"/>
      <c r="G59" s="1162"/>
      <c r="H59" s="1162"/>
      <c r="I59" s="221"/>
      <c r="J59" s="57"/>
      <c r="K59" s="57"/>
      <c r="L59" s="57"/>
      <c r="M59" s="57"/>
      <c r="N59" s="57"/>
      <c r="O59" s="57"/>
      <c r="P59" s="57"/>
      <c r="Q59" s="419"/>
      <c r="R59" s="419"/>
      <c r="S59" s="1556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95"/>
      <c r="CQ59" s="95"/>
      <c r="CR59" s="95"/>
      <c r="CS59" s="95"/>
      <c r="CT59" s="95"/>
      <c r="CU59" s="95"/>
      <c r="CV59" s="228" t="str">
        <f>IF(CV49="Körperschaftsteuer**)","der zu zahlende Körperschaft-Steuersatz beträgt z.Z. 15 % des zu versteuernden Einkommens","")</f>
        <v/>
      </c>
      <c r="CW59" s="179"/>
      <c r="CX59" s="836"/>
      <c r="CY59" s="836"/>
      <c r="CZ59" s="836"/>
      <c r="DA59" s="177"/>
      <c r="DB59" s="177"/>
      <c r="DC59" s="177"/>
      <c r="DD59" s="177"/>
      <c r="DE59" s="177"/>
      <c r="DF59" s="177"/>
      <c r="DG59" s="177"/>
      <c r="DH59" s="177"/>
      <c r="DI59" s="177"/>
      <c r="DJ59" s="177"/>
      <c r="DK59" s="177"/>
    </row>
    <row r="60" spans="1:115" s="60" customFormat="1" ht="15" thickBot="1" x14ac:dyDescent="0.25">
      <c r="A60" s="57"/>
      <c r="B60" s="57"/>
      <c r="C60" s="591"/>
      <c r="D60" s="1163"/>
      <c r="E60" s="1163"/>
      <c r="F60" s="1163"/>
      <c r="G60" s="1163"/>
      <c r="H60" s="1164"/>
      <c r="I60" s="221"/>
      <c r="J60" s="57"/>
      <c r="K60" s="57"/>
      <c r="L60" s="57"/>
      <c r="M60" s="57"/>
      <c r="N60" s="57"/>
      <c r="O60" s="57"/>
      <c r="P60" s="57"/>
      <c r="Q60" s="419"/>
      <c r="R60" s="419"/>
      <c r="S60" s="472" t="s">
        <v>247</v>
      </c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95"/>
      <c r="CQ60" s="95"/>
      <c r="CR60" s="95"/>
      <c r="CS60" s="95"/>
      <c r="CT60" s="95"/>
      <c r="CU60" s="95"/>
      <c r="CV60" s="851" t="str">
        <f>IF(CV49="Körperschaftsteuer**)","","**) Grobschätzung Einkommensteuer nach Abgabenrechner des Bundesfinanzministerium")</f>
        <v>**) Grobschätzung Einkommensteuer nach Abgabenrechner des Bundesfinanzministerium</v>
      </c>
      <c r="CW60" s="179" t="s">
        <v>357</v>
      </c>
      <c r="CX60" s="836"/>
      <c r="CY60" s="836"/>
      <c r="CZ60" s="836"/>
      <c r="DA60" s="177"/>
      <c r="DB60" s="177"/>
      <c r="DC60" s="177"/>
      <c r="DD60" s="177"/>
      <c r="DE60" s="177"/>
      <c r="DF60" s="177"/>
      <c r="DG60" s="177"/>
      <c r="DH60" s="177"/>
      <c r="DI60" s="177"/>
      <c r="DJ60" s="177"/>
      <c r="DK60" s="177"/>
    </row>
    <row r="61" spans="1:115" s="60" customFormat="1" ht="15.75" thickTop="1" thickBot="1" x14ac:dyDescent="0.25">
      <c r="A61" s="57"/>
      <c r="B61" s="57"/>
      <c r="C61" s="592" t="str">
        <f>IF($C$2="English",CW54,CV54)</f>
        <v>Ergebnis nach Steuern</v>
      </c>
      <c r="D61" s="1156">
        <f>D55-D57-D59</f>
        <v>0</v>
      </c>
      <c r="E61" s="1156">
        <f ca="1">E55-E57-E59</f>
        <v>0</v>
      </c>
      <c r="F61" s="1156">
        <f ca="1">F55-F57-F59</f>
        <v>0</v>
      </c>
      <c r="G61" s="1156">
        <f ca="1">G55-G57-G59</f>
        <v>0</v>
      </c>
      <c r="H61" s="1157">
        <f ca="1">H55-H57-H59</f>
        <v>0</v>
      </c>
      <c r="I61" s="221"/>
      <c r="J61" s="57"/>
      <c r="K61" s="57"/>
      <c r="L61" s="57"/>
      <c r="M61" s="57"/>
      <c r="N61" s="57"/>
      <c r="O61" s="57"/>
      <c r="P61" s="57"/>
      <c r="Q61" s="419"/>
      <c r="R61" s="419"/>
      <c r="S61" s="419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95"/>
      <c r="CQ61" s="95"/>
      <c r="CR61" s="95"/>
      <c r="CS61" s="95"/>
      <c r="CT61" s="95"/>
      <c r="CU61" s="95"/>
      <c r="CV61" s="180"/>
      <c r="CW61" s="179"/>
      <c r="CX61" s="836"/>
      <c r="CY61" s="836"/>
      <c r="CZ61" s="836"/>
      <c r="DA61" s="177"/>
      <c r="DB61" s="177"/>
      <c r="DC61" s="177"/>
      <c r="DD61" s="177"/>
      <c r="DE61" s="177"/>
      <c r="DF61" s="177"/>
      <c r="DG61" s="177"/>
      <c r="DH61" s="177"/>
      <c r="DI61" s="177"/>
      <c r="DJ61" s="177"/>
      <c r="DK61" s="177"/>
    </row>
    <row r="62" spans="1:115" s="57" customFormat="1" x14ac:dyDescent="0.2">
      <c r="C62" s="130"/>
      <c r="D62" s="130"/>
      <c r="E62" s="130"/>
      <c r="F62" s="130"/>
      <c r="G62" s="130"/>
      <c r="H62" s="130"/>
      <c r="I62" s="130"/>
      <c r="Q62" s="419"/>
      <c r="R62" s="419"/>
      <c r="S62" s="419"/>
      <c r="CP62" s="95"/>
      <c r="CQ62" s="95"/>
      <c r="CR62" s="95"/>
      <c r="CS62" s="95"/>
      <c r="CT62" s="95"/>
      <c r="CU62" s="95"/>
      <c r="CV62" s="180"/>
      <c r="CW62" s="179"/>
      <c r="CX62" s="836"/>
      <c r="CY62" s="836"/>
      <c r="CZ62" s="836"/>
      <c r="DA62" s="177"/>
      <c r="DB62" s="177"/>
      <c r="DC62" s="177"/>
      <c r="DD62" s="177"/>
      <c r="DE62" s="177"/>
      <c r="DF62" s="177"/>
      <c r="DG62" s="177"/>
      <c r="DH62" s="177"/>
      <c r="DI62" s="177"/>
      <c r="DJ62" s="177"/>
      <c r="DK62" s="177"/>
    </row>
    <row r="63" spans="1:115" s="176" customFormat="1" ht="18" x14ac:dyDescent="0.2">
      <c r="C63" s="224" t="str">
        <f>IF($C$2="English",CW63,CV63)</f>
        <v xml:space="preserve">*) Bis zu einem Gewinn von 24.500 € (Freibetrag) ist keine Gewerbesteuer (zur Berechnung s. auch Bedienungsanleitung </v>
      </c>
      <c r="P63" s="178"/>
      <c r="Q63" s="206"/>
      <c r="R63" s="206"/>
      <c r="S63" s="206"/>
      <c r="CP63" s="177"/>
      <c r="CQ63" s="177"/>
      <c r="CR63" s="177"/>
      <c r="CS63" s="177"/>
      <c r="CT63" s="177"/>
      <c r="CU63" s="177"/>
      <c r="CV63" s="848" t="s">
        <v>599</v>
      </c>
      <c r="CW63" s="179" t="s">
        <v>767</v>
      </c>
      <c r="CX63" s="836"/>
      <c r="CY63" s="836"/>
      <c r="CZ63" s="836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</row>
    <row r="64" spans="1:115" s="176" customFormat="1" ht="15" x14ac:dyDescent="0.2">
      <c r="C64" s="224" t="str">
        <f>IF($C$2="English",CW64,CV64)</f>
        <v xml:space="preserve">Finanzplanungstabellen; Download unter www.Kindermanns.de) zu zahlen. Die Höhe der Gewerbesteuer ist abhängig vom </v>
      </c>
      <c r="P64" s="178"/>
      <c r="Q64" s="206"/>
      <c r="R64" s="206"/>
      <c r="S64" s="206"/>
      <c r="CP64" s="177"/>
      <c r="CQ64" s="177"/>
      <c r="CR64" s="177"/>
      <c r="CS64" s="177"/>
      <c r="CT64" s="177"/>
      <c r="CU64" s="177"/>
      <c r="CV64" s="849" t="s">
        <v>430</v>
      </c>
      <c r="CW64" s="179" t="s">
        <v>768</v>
      </c>
      <c r="CX64" s="836"/>
      <c r="CY64" s="836"/>
      <c r="CZ64" s="836"/>
      <c r="DA64" s="177"/>
      <c r="DB64" s="177"/>
      <c r="DC64" s="177"/>
      <c r="DD64" s="177"/>
      <c r="DE64" s="177"/>
      <c r="DF64" s="177"/>
      <c r="DG64" s="177"/>
      <c r="DH64" s="177"/>
      <c r="DI64" s="177"/>
      <c r="DJ64" s="177"/>
      <c r="DK64" s="177"/>
    </row>
    <row r="65" spans="3:115" s="176" customFormat="1" ht="15" x14ac:dyDescent="0.2">
      <c r="C65" s="224" t="str">
        <f>IF($C$2="English",CW65,CV65)</f>
        <v>"Hebesatz" der jeweiligen Gemeinde.</v>
      </c>
      <c r="P65" s="178"/>
      <c r="Q65" s="206"/>
      <c r="R65" s="206"/>
      <c r="S65" s="206"/>
      <c r="CP65" s="177"/>
      <c r="CQ65" s="177"/>
      <c r="CR65" s="177"/>
      <c r="CS65" s="177"/>
      <c r="CT65" s="177"/>
      <c r="CU65" s="177"/>
      <c r="CV65" s="849" t="s">
        <v>600</v>
      </c>
      <c r="CW65" s="179" t="s">
        <v>173</v>
      </c>
      <c r="CX65" s="836"/>
      <c r="CY65" s="836"/>
      <c r="CZ65" s="836"/>
      <c r="DA65" s="177"/>
      <c r="DB65" s="177"/>
      <c r="DC65" s="177"/>
      <c r="DD65" s="177"/>
      <c r="DE65" s="177"/>
      <c r="DF65" s="177"/>
      <c r="DG65" s="177"/>
      <c r="DH65" s="177"/>
      <c r="DI65" s="177"/>
      <c r="DJ65" s="177"/>
      <c r="DK65" s="177"/>
    </row>
    <row r="66" spans="3:115" s="176" customFormat="1" x14ac:dyDescent="0.2">
      <c r="P66" s="178"/>
      <c r="Q66" s="206"/>
      <c r="R66" s="206"/>
      <c r="S66" s="206"/>
      <c r="CP66" s="177"/>
      <c r="CQ66" s="177"/>
      <c r="CR66" s="177"/>
      <c r="CS66" s="177"/>
      <c r="CT66" s="177"/>
      <c r="CU66" s="177"/>
      <c r="CV66" s="180"/>
      <c r="CW66" s="179"/>
      <c r="CX66" s="836"/>
      <c r="CY66" s="836"/>
      <c r="CZ66" s="836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</row>
    <row r="67" spans="3:115" s="594" customFormat="1" x14ac:dyDescent="0.2">
      <c r="C67" s="225" t="s">
        <v>766</v>
      </c>
      <c r="P67" s="595"/>
      <c r="Q67" s="596"/>
      <c r="R67" s="596"/>
      <c r="S67" s="596"/>
      <c r="CP67" s="175"/>
      <c r="CQ67" s="175"/>
      <c r="CR67" s="175"/>
      <c r="CS67" s="175"/>
      <c r="CT67" s="175"/>
      <c r="CU67" s="175"/>
      <c r="CV67" s="180"/>
      <c r="CW67" s="179"/>
      <c r="CX67" s="836"/>
      <c r="CY67" s="836"/>
      <c r="CZ67" s="836"/>
      <c r="DA67" s="177"/>
      <c r="DB67" s="177"/>
      <c r="DC67" s="177"/>
      <c r="DD67" s="177"/>
      <c r="DE67" s="177"/>
      <c r="DF67" s="177"/>
      <c r="DG67" s="177"/>
      <c r="DH67" s="177"/>
      <c r="DI67" s="177"/>
      <c r="DJ67" s="177"/>
      <c r="DK67" s="177"/>
    </row>
    <row r="68" spans="3:115" s="594" customFormat="1" x14ac:dyDescent="0.2">
      <c r="C68" s="225" t="s">
        <v>764</v>
      </c>
      <c r="D68" s="597"/>
      <c r="E68" s="597"/>
      <c r="F68" s="597"/>
      <c r="G68" s="597"/>
      <c r="H68" s="597"/>
      <c r="I68" s="597"/>
      <c r="Q68" s="596"/>
      <c r="R68" s="596"/>
      <c r="S68" s="596"/>
      <c r="CP68" s="175"/>
      <c r="CQ68" s="175"/>
      <c r="CR68" s="175"/>
      <c r="CS68" s="175"/>
      <c r="CT68" s="175"/>
      <c r="CU68" s="175"/>
      <c r="CV68" s="180"/>
      <c r="CW68" s="179"/>
      <c r="CX68" s="836"/>
      <c r="CY68" s="836"/>
      <c r="CZ68" s="836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</row>
    <row r="69" spans="3:115" s="594" customFormat="1" x14ac:dyDescent="0.2">
      <c r="C69" s="226" t="str">
        <f>IF(C59="Körperschaftsteuer**)","","**) Grobschätzung Einkommensteuer nach Abgabenrechner des Bundesfinanzministerium | Rough estimation of  income tax according to German Federal Ministry of Finance")</f>
        <v>**) Grobschätzung Einkommensteuer nach Abgabenrechner des Bundesfinanzministerium | Rough estimation of  income tax according to German Federal Ministry of Finance</v>
      </c>
      <c r="D69" s="593"/>
      <c r="E69" s="598"/>
      <c r="F69" s="19"/>
      <c r="G69" s="19"/>
      <c r="P69" s="595"/>
      <c r="Q69" s="596"/>
      <c r="R69" s="596"/>
      <c r="S69" s="596"/>
      <c r="CP69" s="175"/>
      <c r="CQ69" s="175"/>
      <c r="CR69" s="175"/>
      <c r="CS69" s="175"/>
      <c r="CT69" s="175"/>
      <c r="CU69" s="175"/>
      <c r="CV69" s="180"/>
      <c r="CW69" s="179"/>
      <c r="CX69" s="836"/>
      <c r="CY69" s="836"/>
      <c r="CZ69" s="836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</row>
    <row r="70" spans="3:115" s="594" customFormat="1" x14ac:dyDescent="0.2">
      <c r="C70" s="226" t="s">
        <v>765</v>
      </c>
      <c r="D70" s="593"/>
      <c r="E70" s="598"/>
      <c r="F70" s="19"/>
      <c r="G70" s="19"/>
      <c r="P70" s="595"/>
      <c r="Q70" s="596"/>
      <c r="R70" s="596"/>
      <c r="S70" s="596"/>
      <c r="CP70" s="175"/>
      <c r="CQ70" s="175"/>
      <c r="CR70" s="175"/>
      <c r="CS70" s="175"/>
      <c r="CT70" s="175"/>
      <c r="CU70" s="175"/>
      <c r="CV70" s="180"/>
      <c r="CW70" s="179"/>
      <c r="CX70" s="836"/>
      <c r="CY70" s="836"/>
      <c r="CZ70" s="836"/>
      <c r="DA70" s="177"/>
      <c r="DB70" s="177"/>
      <c r="DC70" s="177"/>
      <c r="DD70" s="177"/>
      <c r="DE70" s="177"/>
      <c r="DF70" s="177"/>
      <c r="DG70" s="177"/>
      <c r="DH70" s="177"/>
      <c r="DI70" s="177"/>
      <c r="DJ70" s="177"/>
      <c r="DK70" s="177"/>
    </row>
    <row r="71" spans="3:115" s="176" customFormat="1" x14ac:dyDescent="0.2">
      <c r="P71" s="178"/>
      <c r="Q71" s="206"/>
      <c r="R71" s="206"/>
      <c r="S71" s="206"/>
      <c r="CP71" s="177"/>
      <c r="CQ71" s="177"/>
      <c r="CR71" s="177"/>
      <c r="CS71" s="177"/>
      <c r="CT71" s="177"/>
      <c r="CU71" s="177"/>
      <c r="CV71" s="180"/>
      <c r="CW71" s="179"/>
      <c r="CX71" s="836"/>
      <c r="CY71" s="836"/>
      <c r="CZ71" s="836"/>
      <c r="DA71" s="177"/>
      <c r="DB71" s="177"/>
      <c r="DC71" s="177"/>
      <c r="DD71" s="177"/>
      <c r="DE71" s="177"/>
      <c r="DF71" s="177"/>
      <c r="DG71" s="177"/>
      <c r="DH71" s="177"/>
      <c r="DI71" s="177"/>
      <c r="DJ71" s="177"/>
      <c r="DK71" s="177"/>
    </row>
    <row r="72" spans="3:115" s="176" customFormat="1" x14ac:dyDescent="0.2">
      <c r="P72" s="178"/>
      <c r="Q72" s="206"/>
      <c r="R72" s="206"/>
      <c r="S72" s="206"/>
      <c r="CP72" s="177"/>
      <c r="CQ72" s="177"/>
      <c r="CR72" s="177"/>
      <c r="CS72" s="177"/>
      <c r="CT72" s="177"/>
      <c r="CU72" s="177"/>
      <c r="CV72" s="180"/>
      <c r="CW72" s="179"/>
      <c r="CX72" s="836"/>
      <c r="CY72" s="836"/>
      <c r="CZ72" s="836"/>
      <c r="DA72" s="177"/>
      <c r="DB72" s="177"/>
      <c r="DC72" s="177"/>
      <c r="DD72" s="177"/>
      <c r="DE72" s="177"/>
      <c r="DF72" s="177"/>
      <c r="DG72" s="177"/>
      <c r="DH72" s="177"/>
      <c r="DI72" s="177"/>
      <c r="DJ72" s="177"/>
      <c r="DK72" s="177"/>
    </row>
    <row r="73" spans="3:115" s="176" customFormat="1" x14ac:dyDescent="0.2">
      <c r="P73" s="178"/>
      <c r="Q73" s="206"/>
      <c r="R73" s="206"/>
      <c r="S73" s="206"/>
      <c r="CP73" s="177"/>
      <c r="CQ73" s="177"/>
      <c r="CR73" s="177"/>
      <c r="CS73" s="177"/>
      <c r="CT73" s="177"/>
      <c r="CU73" s="177"/>
      <c r="CV73" s="180"/>
      <c r="CW73" s="179"/>
      <c r="CX73" s="836"/>
      <c r="CY73" s="836"/>
      <c r="CZ73" s="836"/>
      <c r="DA73" s="177"/>
      <c r="DB73" s="177"/>
      <c r="DC73" s="177"/>
      <c r="DD73" s="177"/>
      <c r="DE73" s="177"/>
      <c r="DF73" s="177"/>
      <c r="DG73" s="177"/>
      <c r="DH73" s="177"/>
      <c r="DI73" s="177"/>
      <c r="DJ73" s="177"/>
      <c r="DK73" s="177"/>
    </row>
    <row r="74" spans="3:115" s="176" customFormat="1" x14ac:dyDescent="0.2">
      <c r="P74" s="178"/>
      <c r="Q74" s="206"/>
      <c r="R74" s="206"/>
      <c r="S74" s="206"/>
      <c r="CP74" s="177"/>
      <c r="CQ74" s="177"/>
      <c r="CR74" s="177"/>
      <c r="CS74" s="177"/>
      <c r="CT74" s="177"/>
      <c r="CU74" s="177"/>
      <c r="CV74" s="180"/>
      <c r="CW74" s="179"/>
      <c r="CX74" s="836"/>
      <c r="CY74" s="836"/>
      <c r="CZ74" s="836"/>
      <c r="DA74" s="177"/>
      <c r="DB74" s="177"/>
      <c r="DC74" s="177"/>
      <c r="DD74" s="177"/>
      <c r="DE74" s="177"/>
      <c r="DF74" s="177"/>
      <c r="DG74" s="177"/>
      <c r="DH74" s="177"/>
      <c r="DI74" s="177"/>
      <c r="DJ74" s="177"/>
      <c r="DK74" s="177"/>
    </row>
    <row r="75" spans="3:115" s="176" customFormat="1" x14ac:dyDescent="0.2">
      <c r="P75" s="178"/>
      <c r="Q75" s="206"/>
      <c r="R75" s="206"/>
      <c r="S75" s="206"/>
      <c r="CP75" s="177"/>
      <c r="CQ75" s="177"/>
      <c r="CR75" s="177"/>
      <c r="CS75" s="177"/>
      <c r="CT75" s="177"/>
      <c r="CU75" s="177"/>
      <c r="CV75" s="180"/>
      <c r="CW75" s="179"/>
      <c r="CX75" s="836"/>
      <c r="CY75" s="836"/>
      <c r="CZ75" s="836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</row>
    <row r="76" spans="3:115" s="176" customFormat="1" x14ac:dyDescent="0.2">
      <c r="P76" s="178"/>
      <c r="Q76" s="206"/>
      <c r="R76" s="206"/>
      <c r="S76" s="206"/>
      <c r="CP76" s="177"/>
      <c r="CQ76" s="177"/>
      <c r="CR76" s="177"/>
      <c r="CS76" s="177"/>
      <c r="CT76" s="177"/>
      <c r="CU76" s="177"/>
      <c r="CV76" s="180"/>
      <c r="CW76" s="179"/>
      <c r="CX76" s="836"/>
      <c r="CY76" s="836"/>
      <c r="CZ76" s="836"/>
      <c r="DA76" s="177"/>
      <c r="DB76" s="177"/>
      <c r="DC76" s="177"/>
      <c r="DD76" s="177"/>
      <c r="DE76" s="177"/>
      <c r="DF76" s="177"/>
      <c r="DG76" s="177"/>
      <c r="DH76" s="177"/>
      <c r="DI76" s="177"/>
      <c r="DJ76" s="177"/>
      <c r="DK76" s="177"/>
    </row>
    <row r="77" spans="3:115" s="176" customFormat="1" x14ac:dyDescent="0.2">
      <c r="P77" s="178"/>
      <c r="Q77" s="206"/>
      <c r="R77" s="206"/>
      <c r="S77" s="206"/>
      <c r="CP77" s="177"/>
      <c r="CQ77" s="177"/>
      <c r="CR77" s="177"/>
      <c r="CS77" s="177"/>
      <c r="CT77" s="177"/>
      <c r="CU77" s="177"/>
      <c r="CV77" s="180"/>
      <c r="CW77" s="179"/>
      <c r="CX77" s="836"/>
      <c r="CY77" s="836"/>
      <c r="CZ77" s="836"/>
      <c r="DA77" s="177"/>
      <c r="DB77" s="177"/>
      <c r="DC77" s="177"/>
      <c r="DD77" s="177"/>
      <c r="DE77" s="177"/>
      <c r="DF77" s="177"/>
      <c r="DG77" s="177"/>
      <c r="DH77" s="177"/>
      <c r="DI77" s="177"/>
      <c r="DJ77" s="177"/>
      <c r="DK77" s="177"/>
    </row>
    <row r="78" spans="3:115" s="176" customFormat="1" x14ac:dyDescent="0.2">
      <c r="P78" s="178"/>
      <c r="Q78" s="206"/>
      <c r="R78" s="206"/>
      <c r="S78" s="206"/>
      <c r="CP78" s="177"/>
      <c r="CQ78" s="177"/>
      <c r="CR78" s="177"/>
      <c r="CS78" s="177"/>
      <c r="CT78" s="177"/>
      <c r="CU78" s="177"/>
      <c r="CV78" s="180"/>
      <c r="CW78" s="179"/>
      <c r="CX78" s="836"/>
      <c r="CY78" s="836"/>
      <c r="CZ78" s="836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</row>
    <row r="79" spans="3:115" s="176" customFormat="1" x14ac:dyDescent="0.2">
      <c r="P79" s="178"/>
      <c r="Q79" s="206"/>
      <c r="R79" s="206"/>
      <c r="S79" s="206"/>
      <c r="CP79" s="177"/>
      <c r="CQ79" s="177"/>
      <c r="CR79" s="177"/>
      <c r="CS79" s="177"/>
      <c r="CT79" s="177"/>
      <c r="CU79" s="177"/>
      <c r="CV79" s="180"/>
      <c r="CW79" s="179"/>
      <c r="CX79" s="836"/>
      <c r="CY79" s="836"/>
      <c r="CZ79" s="836"/>
      <c r="DA79" s="177"/>
      <c r="DB79" s="177"/>
      <c r="DC79" s="177"/>
      <c r="DD79" s="177"/>
      <c r="DE79" s="177"/>
      <c r="DF79" s="177"/>
      <c r="DG79" s="177"/>
      <c r="DH79" s="177"/>
      <c r="DI79" s="177"/>
      <c r="DJ79" s="177"/>
      <c r="DK79" s="177"/>
    </row>
    <row r="80" spans="3:115" s="176" customFormat="1" x14ac:dyDescent="0.2">
      <c r="P80" s="178"/>
      <c r="Q80" s="206"/>
      <c r="R80" s="206"/>
      <c r="S80" s="206"/>
      <c r="CP80" s="177"/>
      <c r="CQ80" s="177"/>
      <c r="CR80" s="177"/>
      <c r="CS80" s="177"/>
      <c r="CT80" s="177"/>
      <c r="CU80" s="177"/>
      <c r="CV80" s="180"/>
      <c r="CW80" s="179"/>
      <c r="CX80" s="836"/>
      <c r="CY80" s="836"/>
      <c r="CZ80" s="836"/>
      <c r="DA80" s="177"/>
      <c r="DB80" s="177"/>
      <c r="DC80" s="177"/>
      <c r="DD80" s="177"/>
      <c r="DE80" s="177"/>
      <c r="DF80" s="177"/>
      <c r="DG80" s="177"/>
      <c r="DH80" s="177"/>
      <c r="DI80" s="177"/>
      <c r="DJ80" s="177"/>
      <c r="DK80" s="177"/>
    </row>
    <row r="81" spans="16:115" s="176" customFormat="1" x14ac:dyDescent="0.2">
      <c r="P81" s="178"/>
      <c r="Q81" s="206"/>
      <c r="R81" s="206"/>
      <c r="S81" s="206"/>
      <c r="CP81" s="177"/>
      <c r="CQ81" s="177"/>
      <c r="CR81" s="177"/>
      <c r="CS81" s="177"/>
      <c r="CT81" s="177"/>
      <c r="CU81" s="177"/>
      <c r="CV81" s="180"/>
      <c r="CW81" s="179"/>
      <c r="CX81" s="836"/>
      <c r="CY81" s="836"/>
      <c r="CZ81" s="836"/>
      <c r="DA81" s="177"/>
      <c r="DB81" s="177"/>
      <c r="DC81" s="177"/>
      <c r="DD81" s="177"/>
      <c r="DE81" s="177"/>
      <c r="DF81" s="177"/>
      <c r="DG81" s="177"/>
      <c r="DH81" s="177"/>
      <c r="DI81" s="177"/>
      <c r="DJ81" s="177"/>
      <c r="DK81" s="177"/>
    </row>
    <row r="82" spans="16:115" s="176" customFormat="1" x14ac:dyDescent="0.2">
      <c r="P82" s="178"/>
      <c r="Q82" s="206"/>
      <c r="R82" s="206"/>
      <c r="S82" s="206"/>
      <c r="CP82" s="177"/>
      <c r="CQ82" s="177"/>
      <c r="CR82" s="177"/>
      <c r="CS82" s="177"/>
      <c r="CT82" s="177"/>
      <c r="CU82" s="177"/>
      <c r="CV82" s="180"/>
      <c r="CW82" s="179"/>
      <c r="CX82" s="836"/>
      <c r="CY82" s="836"/>
      <c r="CZ82" s="836"/>
      <c r="DA82" s="177"/>
      <c r="DB82" s="177"/>
      <c r="DC82" s="177"/>
      <c r="DD82" s="177"/>
      <c r="DE82" s="177"/>
      <c r="DF82" s="177"/>
      <c r="DG82" s="177"/>
      <c r="DH82" s="177"/>
      <c r="DI82" s="177"/>
      <c r="DJ82" s="177"/>
      <c r="DK82" s="177"/>
    </row>
    <row r="83" spans="16:115" s="176" customFormat="1" x14ac:dyDescent="0.2">
      <c r="P83" s="178"/>
      <c r="Q83" s="206"/>
      <c r="R83" s="206"/>
      <c r="S83" s="206"/>
      <c r="CP83" s="177"/>
      <c r="CQ83" s="177"/>
      <c r="CR83" s="177"/>
      <c r="CS83" s="177"/>
      <c r="CT83" s="177"/>
      <c r="CU83" s="177"/>
      <c r="CV83" s="180"/>
      <c r="CW83" s="179"/>
      <c r="CX83" s="836"/>
      <c r="CY83" s="836"/>
      <c r="CZ83" s="836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</row>
    <row r="84" spans="16:115" s="176" customFormat="1" x14ac:dyDescent="0.2">
      <c r="P84" s="178"/>
      <c r="Q84" s="206"/>
      <c r="R84" s="206"/>
      <c r="S84" s="206"/>
      <c r="CP84" s="177"/>
      <c r="CQ84" s="177"/>
      <c r="CR84" s="177"/>
      <c r="CS84" s="177"/>
      <c r="CT84" s="177"/>
      <c r="CU84" s="177"/>
      <c r="CV84" s="180"/>
      <c r="CW84" s="179"/>
      <c r="CX84" s="836"/>
      <c r="CY84" s="836"/>
      <c r="CZ84" s="836"/>
      <c r="DA84" s="177"/>
      <c r="DB84" s="177"/>
      <c r="DC84" s="177"/>
      <c r="DD84" s="177"/>
      <c r="DE84" s="177"/>
      <c r="DF84" s="177"/>
      <c r="DG84" s="177"/>
      <c r="DH84" s="177"/>
      <c r="DI84" s="177"/>
      <c r="DJ84" s="177"/>
      <c r="DK84" s="177"/>
    </row>
    <row r="85" spans="16:115" s="176" customFormat="1" x14ac:dyDescent="0.2">
      <c r="P85" s="178"/>
      <c r="Q85" s="206"/>
      <c r="R85" s="206"/>
      <c r="S85" s="206"/>
      <c r="CP85" s="177"/>
      <c r="CQ85" s="177"/>
      <c r="CR85" s="177"/>
      <c r="CS85" s="177"/>
      <c r="CT85" s="177"/>
      <c r="CU85" s="177"/>
      <c r="CV85" s="180"/>
      <c r="CW85" s="179"/>
      <c r="CX85" s="836"/>
      <c r="CY85" s="836"/>
      <c r="CZ85" s="836"/>
      <c r="DA85" s="177"/>
      <c r="DB85" s="177"/>
      <c r="DC85" s="177"/>
      <c r="DD85" s="177"/>
      <c r="DE85" s="177"/>
      <c r="DF85" s="177"/>
      <c r="DG85" s="177"/>
      <c r="DH85" s="177"/>
      <c r="DI85" s="177"/>
      <c r="DJ85" s="177"/>
      <c r="DK85" s="177"/>
    </row>
    <row r="86" spans="16:115" s="176" customFormat="1" x14ac:dyDescent="0.2">
      <c r="P86" s="178"/>
      <c r="Q86" s="206"/>
      <c r="R86" s="206"/>
      <c r="S86" s="206"/>
      <c r="CP86" s="177"/>
      <c r="CQ86" s="177"/>
      <c r="CR86" s="177"/>
      <c r="CS86" s="177"/>
      <c r="CT86" s="177"/>
      <c r="CU86" s="177"/>
      <c r="CV86" s="180"/>
      <c r="CW86" s="179"/>
      <c r="CX86" s="836"/>
      <c r="CY86" s="836"/>
      <c r="CZ86" s="836"/>
      <c r="DA86" s="177"/>
      <c r="DB86" s="177"/>
      <c r="DC86" s="177"/>
      <c r="DD86" s="177"/>
      <c r="DE86" s="177"/>
      <c r="DF86" s="177"/>
      <c r="DG86" s="177"/>
      <c r="DH86" s="177"/>
      <c r="DI86" s="177"/>
      <c r="DJ86" s="177"/>
      <c r="DK86" s="177"/>
    </row>
    <row r="87" spans="16:115" s="176" customFormat="1" x14ac:dyDescent="0.2">
      <c r="P87" s="178"/>
      <c r="Q87" s="206"/>
      <c r="R87" s="206"/>
      <c r="S87" s="206"/>
      <c r="CP87" s="177"/>
      <c r="CQ87" s="177"/>
      <c r="CR87" s="177"/>
      <c r="CS87" s="177"/>
      <c r="CT87" s="177"/>
      <c r="CU87" s="177"/>
      <c r="CV87" s="180"/>
      <c r="CW87" s="179"/>
      <c r="CX87" s="836"/>
      <c r="CY87" s="836"/>
      <c r="CZ87" s="836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</row>
    <row r="88" spans="16:115" s="176" customFormat="1" x14ac:dyDescent="0.2">
      <c r="P88" s="178"/>
      <c r="Q88" s="206"/>
      <c r="R88" s="206"/>
      <c r="S88" s="206"/>
      <c r="CP88" s="177"/>
      <c r="CQ88" s="177"/>
      <c r="CR88" s="177"/>
      <c r="CS88" s="177"/>
      <c r="CT88" s="177"/>
      <c r="CU88" s="177"/>
      <c r="CV88" s="180"/>
      <c r="CW88" s="179"/>
      <c r="CX88" s="836"/>
      <c r="CY88" s="836"/>
      <c r="CZ88" s="836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</row>
    <row r="89" spans="16:115" s="176" customFormat="1" x14ac:dyDescent="0.2">
      <c r="P89" s="178"/>
      <c r="Q89" s="206"/>
      <c r="R89" s="206"/>
      <c r="S89" s="206"/>
      <c r="CP89" s="177"/>
      <c r="CQ89" s="177"/>
      <c r="CR89" s="177"/>
      <c r="CS89" s="177"/>
      <c r="CT89" s="177"/>
      <c r="CU89" s="177"/>
      <c r="CV89" s="180"/>
      <c r="CW89" s="179"/>
      <c r="CX89" s="836"/>
      <c r="CY89" s="836"/>
      <c r="CZ89" s="836"/>
      <c r="DA89" s="177"/>
      <c r="DB89" s="177"/>
      <c r="DC89" s="177"/>
      <c r="DD89" s="177"/>
      <c r="DE89" s="177"/>
      <c r="DF89" s="177"/>
      <c r="DG89" s="177"/>
      <c r="DH89" s="177"/>
      <c r="DI89" s="177"/>
      <c r="DJ89" s="177"/>
      <c r="DK89" s="177"/>
    </row>
    <row r="90" spans="16:115" s="176" customFormat="1" x14ac:dyDescent="0.2">
      <c r="P90" s="178"/>
      <c r="Q90" s="206"/>
      <c r="R90" s="206"/>
      <c r="S90" s="206"/>
      <c r="CP90" s="177"/>
      <c r="CQ90" s="177"/>
      <c r="CR90" s="177"/>
      <c r="CS90" s="177"/>
      <c r="CT90" s="177"/>
      <c r="CU90" s="177"/>
      <c r="CV90" s="180"/>
      <c r="CW90" s="179"/>
      <c r="CX90" s="836"/>
      <c r="CY90" s="836"/>
      <c r="CZ90" s="836"/>
      <c r="DA90" s="177"/>
      <c r="DB90" s="177"/>
      <c r="DC90" s="177"/>
      <c r="DD90" s="177"/>
      <c r="DE90" s="177"/>
      <c r="DF90" s="177"/>
      <c r="DG90" s="177"/>
      <c r="DH90" s="177"/>
      <c r="DI90" s="177"/>
      <c r="DJ90" s="177"/>
      <c r="DK90" s="177"/>
    </row>
    <row r="91" spans="16:115" s="176" customFormat="1" x14ac:dyDescent="0.2">
      <c r="P91" s="178"/>
      <c r="Q91" s="206"/>
      <c r="R91" s="206"/>
      <c r="S91" s="206"/>
      <c r="CP91" s="177"/>
      <c r="CQ91" s="177"/>
      <c r="CR91" s="177"/>
      <c r="CS91" s="177"/>
      <c r="CT91" s="177"/>
      <c r="CU91" s="177"/>
      <c r="CV91" s="180"/>
      <c r="CW91" s="179"/>
      <c r="CX91" s="836"/>
      <c r="CY91" s="836"/>
      <c r="CZ91" s="836"/>
      <c r="DA91" s="177"/>
      <c r="DB91" s="177"/>
      <c r="DC91" s="177"/>
      <c r="DD91" s="177"/>
      <c r="DE91" s="177"/>
      <c r="DF91" s="177"/>
      <c r="DG91" s="177"/>
      <c r="DH91" s="177"/>
      <c r="DI91" s="177"/>
      <c r="DJ91" s="177"/>
      <c r="DK91" s="177"/>
    </row>
    <row r="92" spans="16:115" s="176" customFormat="1" x14ac:dyDescent="0.2">
      <c r="P92" s="178"/>
      <c r="Q92" s="206"/>
      <c r="R92" s="206"/>
      <c r="S92" s="206"/>
      <c r="CP92" s="177"/>
      <c r="CQ92" s="177"/>
      <c r="CR92" s="177"/>
      <c r="CS92" s="177"/>
      <c r="CT92" s="177"/>
      <c r="CU92" s="177"/>
      <c r="CV92" s="180"/>
      <c r="CW92" s="179"/>
      <c r="CX92" s="836"/>
      <c r="CY92" s="836"/>
      <c r="CZ92" s="836"/>
      <c r="DA92" s="177"/>
      <c r="DB92" s="177"/>
      <c r="DC92" s="177"/>
      <c r="DD92" s="177"/>
      <c r="DE92" s="177"/>
      <c r="DF92" s="177"/>
      <c r="DG92" s="177"/>
      <c r="DH92" s="177"/>
      <c r="DI92" s="177"/>
      <c r="DJ92" s="177"/>
      <c r="DK92" s="177"/>
    </row>
    <row r="93" spans="16:115" s="176" customFormat="1" x14ac:dyDescent="0.2">
      <c r="P93" s="178"/>
      <c r="Q93" s="206"/>
      <c r="R93" s="206"/>
      <c r="S93" s="206"/>
      <c r="CP93" s="177"/>
      <c r="CQ93" s="177"/>
      <c r="CR93" s="177"/>
      <c r="CS93" s="177"/>
      <c r="CT93" s="177"/>
      <c r="CU93" s="177"/>
      <c r="CV93" s="180"/>
      <c r="CW93" s="179"/>
      <c r="CX93" s="836"/>
      <c r="CY93" s="836"/>
      <c r="CZ93" s="836"/>
      <c r="DA93" s="177"/>
      <c r="DB93" s="177"/>
      <c r="DC93" s="177"/>
      <c r="DD93" s="177"/>
      <c r="DE93" s="177"/>
      <c r="DF93" s="177"/>
      <c r="DG93" s="177"/>
      <c r="DH93" s="177"/>
      <c r="DI93" s="177"/>
      <c r="DJ93" s="177"/>
      <c r="DK93" s="177"/>
    </row>
    <row r="94" spans="16:115" s="176" customFormat="1" x14ac:dyDescent="0.2">
      <c r="P94" s="178"/>
      <c r="Q94" s="206"/>
      <c r="R94" s="206"/>
      <c r="S94" s="206"/>
      <c r="CP94" s="177"/>
      <c r="CQ94" s="177"/>
      <c r="CR94" s="177"/>
      <c r="CS94" s="177"/>
      <c r="CT94" s="177"/>
      <c r="CU94" s="177"/>
      <c r="CV94" s="180"/>
      <c r="CW94" s="179"/>
      <c r="CX94" s="836"/>
      <c r="CY94" s="836"/>
      <c r="CZ94" s="836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</row>
    <row r="95" spans="16:115" s="176" customFormat="1" x14ac:dyDescent="0.2">
      <c r="P95" s="178"/>
      <c r="Q95" s="206"/>
      <c r="R95" s="206"/>
      <c r="S95" s="206"/>
      <c r="CP95" s="177"/>
      <c r="CQ95" s="177"/>
      <c r="CR95" s="177"/>
      <c r="CS95" s="177"/>
      <c r="CT95" s="177"/>
      <c r="CU95" s="177"/>
      <c r="CV95" s="180"/>
      <c r="CW95" s="179"/>
      <c r="CX95" s="836"/>
      <c r="CY95" s="836"/>
      <c r="CZ95" s="836"/>
      <c r="DA95" s="177"/>
      <c r="DB95" s="177"/>
      <c r="DC95" s="177"/>
      <c r="DD95" s="177"/>
      <c r="DE95" s="177"/>
      <c r="DF95" s="177"/>
      <c r="DG95" s="177"/>
      <c r="DH95" s="177"/>
      <c r="DI95" s="177"/>
      <c r="DJ95" s="177"/>
      <c r="DK95" s="177"/>
    </row>
    <row r="96" spans="16:115" s="176" customFormat="1" x14ac:dyDescent="0.2">
      <c r="P96" s="178"/>
      <c r="Q96" s="206"/>
      <c r="R96" s="206"/>
      <c r="S96" s="206"/>
      <c r="CP96" s="177"/>
      <c r="CQ96" s="177"/>
      <c r="CR96" s="177"/>
      <c r="CS96" s="177"/>
      <c r="CT96" s="177"/>
      <c r="CU96" s="177"/>
      <c r="CV96" s="180"/>
      <c r="CW96" s="179"/>
      <c r="CX96" s="836"/>
      <c r="CY96" s="836"/>
      <c r="CZ96" s="836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</row>
    <row r="97" spans="16:115" s="176" customFormat="1" x14ac:dyDescent="0.2">
      <c r="P97" s="178"/>
      <c r="Q97" s="206"/>
      <c r="R97" s="206"/>
      <c r="S97" s="206"/>
      <c r="CP97" s="177"/>
      <c r="CQ97" s="177"/>
      <c r="CR97" s="177"/>
      <c r="CS97" s="177"/>
      <c r="CT97" s="177"/>
      <c r="CU97" s="177"/>
      <c r="CV97" s="180"/>
      <c r="CW97" s="179"/>
      <c r="CX97" s="836"/>
      <c r="CY97" s="836"/>
      <c r="CZ97" s="836"/>
      <c r="DA97" s="177"/>
      <c r="DB97" s="177"/>
      <c r="DC97" s="177"/>
      <c r="DD97" s="177"/>
      <c r="DE97" s="177"/>
      <c r="DF97" s="177"/>
      <c r="DG97" s="177"/>
      <c r="DH97" s="177"/>
      <c r="DI97" s="177"/>
      <c r="DJ97" s="177"/>
      <c r="DK97" s="177"/>
    </row>
    <row r="98" spans="16:115" s="176" customFormat="1" x14ac:dyDescent="0.2">
      <c r="P98" s="178"/>
      <c r="Q98" s="206"/>
      <c r="R98" s="206"/>
      <c r="S98" s="206"/>
      <c r="CP98" s="177"/>
      <c r="CQ98" s="177"/>
      <c r="CR98" s="177"/>
      <c r="CS98" s="177"/>
      <c r="CT98" s="177"/>
      <c r="CU98" s="177"/>
      <c r="CV98" s="180"/>
      <c r="CW98" s="179"/>
      <c r="CX98" s="836"/>
      <c r="CY98" s="836"/>
      <c r="CZ98" s="836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</row>
    <row r="99" spans="16:115" s="176" customFormat="1" x14ac:dyDescent="0.2">
      <c r="P99" s="178"/>
      <c r="Q99" s="206"/>
      <c r="R99" s="206"/>
      <c r="S99" s="206"/>
      <c r="CP99" s="177"/>
      <c r="CQ99" s="177"/>
      <c r="CR99" s="177"/>
      <c r="CS99" s="177"/>
      <c r="CT99" s="177"/>
      <c r="CU99" s="177"/>
      <c r="CV99" s="180"/>
      <c r="CW99" s="179"/>
      <c r="CX99" s="836"/>
      <c r="CY99" s="836"/>
      <c r="CZ99" s="836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</row>
    <row r="100" spans="16:115" s="176" customFormat="1" x14ac:dyDescent="0.2">
      <c r="P100" s="178"/>
      <c r="Q100" s="206"/>
      <c r="R100" s="206"/>
      <c r="S100" s="206"/>
      <c r="CP100" s="177"/>
      <c r="CQ100" s="177"/>
      <c r="CR100" s="177"/>
      <c r="CS100" s="177"/>
      <c r="CT100" s="177"/>
      <c r="CU100" s="177"/>
      <c r="CV100" s="180"/>
      <c r="CW100" s="179"/>
      <c r="CX100" s="836"/>
      <c r="CY100" s="836"/>
      <c r="CZ100" s="836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</row>
    <row r="101" spans="16:115" s="176" customFormat="1" x14ac:dyDescent="0.2">
      <c r="P101" s="178"/>
      <c r="Q101" s="206"/>
      <c r="R101" s="206"/>
      <c r="S101" s="206"/>
      <c r="CP101" s="177"/>
      <c r="CQ101" s="177"/>
      <c r="CR101" s="177"/>
      <c r="CS101" s="177"/>
      <c r="CT101" s="177"/>
      <c r="CU101" s="177"/>
      <c r="CV101" s="180"/>
      <c r="CW101" s="179"/>
      <c r="CX101" s="836"/>
      <c r="CY101" s="836"/>
      <c r="CZ101" s="836"/>
      <c r="DA101" s="177"/>
      <c r="DB101" s="177"/>
      <c r="DC101" s="177"/>
      <c r="DD101" s="177"/>
      <c r="DE101" s="177"/>
      <c r="DF101" s="177"/>
      <c r="DG101" s="177"/>
      <c r="DH101" s="177"/>
      <c r="DI101" s="177"/>
      <c r="DJ101" s="177"/>
      <c r="DK101" s="177"/>
    </row>
    <row r="102" spans="16:115" s="176" customFormat="1" x14ac:dyDescent="0.2">
      <c r="P102" s="178"/>
      <c r="Q102" s="206"/>
      <c r="R102" s="206"/>
      <c r="S102" s="206"/>
      <c r="CP102" s="177"/>
      <c r="CQ102" s="177"/>
      <c r="CR102" s="177"/>
      <c r="CS102" s="177"/>
      <c r="CT102" s="177"/>
      <c r="CU102" s="177"/>
      <c r="CV102" s="180"/>
      <c r="CW102" s="179"/>
      <c r="CX102" s="836"/>
      <c r="CY102" s="836"/>
      <c r="CZ102" s="836"/>
      <c r="DA102" s="177"/>
      <c r="DB102" s="177"/>
      <c r="DC102" s="177"/>
      <c r="DD102" s="177"/>
      <c r="DE102" s="177"/>
      <c r="DF102" s="177"/>
      <c r="DG102" s="177"/>
      <c r="DH102" s="177"/>
      <c r="DI102" s="177"/>
      <c r="DJ102" s="177"/>
      <c r="DK102" s="177"/>
    </row>
    <row r="103" spans="16:115" s="176" customFormat="1" x14ac:dyDescent="0.2">
      <c r="P103" s="178"/>
      <c r="Q103" s="206"/>
      <c r="R103" s="206"/>
      <c r="S103" s="206"/>
      <c r="CP103" s="177"/>
      <c r="CQ103" s="177"/>
      <c r="CR103" s="177"/>
      <c r="CS103" s="177"/>
      <c r="CT103" s="177"/>
      <c r="CU103" s="177"/>
      <c r="CV103" s="180"/>
      <c r="CW103" s="179"/>
      <c r="CX103" s="836"/>
      <c r="CY103" s="836"/>
      <c r="CZ103" s="836"/>
      <c r="DA103" s="177"/>
      <c r="DB103" s="177"/>
      <c r="DC103" s="177"/>
      <c r="DD103" s="177"/>
      <c r="DE103" s="177"/>
      <c r="DF103" s="177"/>
      <c r="DG103" s="177"/>
      <c r="DH103" s="177"/>
      <c r="DI103" s="177"/>
      <c r="DJ103" s="177"/>
      <c r="DK103" s="177"/>
    </row>
    <row r="104" spans="16:115" s="176" customFormat="1" x14ac:dyDescent="0.2">
      <c r="P104" s="178"/>
      <c r="Q104" s="206"/>
      <c r="R104" s="206"/>
      <c r="S104" s="206"/>
      <c r="CP104" s="177"/>
      <c r="CQ104" s="177"/>
      <c r="CR104" s="177"/>
      <c r="CS104" s="177"/>
      <c r="CT104" s="177"/>
      <c r="CU104" s="177"/>
      <c r="CV104" s="180"/>
      <c r="CW104" s="179"/>
      <c r="CX104" s="836"/>
      <c r="CY104" s="836"/>
      <c r="CZ104" s="836"/>
      <c r="DA104" s="177"/>
      <c r="DB104" s="177"/>
      <c r="DC104" s="177"/>
      <c r="DD104" s="177"/>
      <c r="DE104" s="177"/>
      <c r="DF104" s="177"/>
      <c r="DG104" s="177"/>
      <c r="DH104" s="177"/>
      <c r="DI104" s="177"/>
      <c r="DJ104" s="177"/>
      <c r="DK104" s="177"/>
    </row>
    <row r="105" spans="16:115" s="176" customFormat="1" x14ac:dyDescent="0.2">
      <c r="P105" s="178"/>
      <c r="Q105" s="206"/>
      <c r="R105" s="206"/>
      <c r="S105" s="206"/>
      <c r="CP105" s="177"/>
      <c r="CQ105" s="177"/>
      <c r="CR105" s="177"/>
      <c r="CS105" s="177"/>
      <c r="CT105" s="177"/>
      <c r="CU105" s="177"/>
      <c r="CV105" s="180"/>
      <c r="CW105" s="179"/>
      <c r="CX105" s="836"/>
      <c r="CY105" s="836"/>
      <c r="CZ105" s="836"/>
      <c r="DA105" s="177"/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7"/>
    </row>
    <row r="106" spans="16:115" s="176" customFormat="1" x14ac:dyDescent="0.2">
      <c r="P106" s="178"/>
      <c r="Q106" s="206"/>
      <c r="R106" s="206"/>
      <c r="S106" s="206"/>
      <c r="CP106" s="177"/>
      <c r="CQ106" s="177"/>
      <c r="CR106" s="177"/>
      <c r="CS106" s="177"/>
      <c r="CT106" s="177"/>
      <c r="CU106" s="177"/>
      <c r="CV106" s="180"/>
      <c r="CW106" s="179"/>
      <c r="CX106" s="836"/>
      <c r="CY106" s="836"/>
      <c r="CZ106" s="836"/>
      <c r="DA106" s="177"/>
      <c r="DB106" s="177"/>
      <c r="DC106" s="177"/>
      <c r="DD106" s="177"/>
      <c r="DE106" s="177"/>
      <c r="DF106" s="177"/>
      <c r="DG106" s="177"/>
      <c r="DH106" s="177"/>
      <c r="DI106" s="177"/>
      <c r="DJ106" s="177"/>
      <c r="DK106" s="177"/>
    </row>
    <row r="107" spans="16:115" s="176" customFormat="1" x14ac:dyDescent="0.2">
      <c r="P107" s="178"/>
      <c r="Q107" s="206"/>
      <c r="R107" s="206"/>
      <c r="S107" s="206"/>
      <c r="CP107" s="177"/>
      <c r="CQ107" s="177"/>
      <c r="CR107" s="177"/>
      <c r="CS107" s="177"/>
      <c r="CT107" s="177"/>
      <c r="CU107" s="177"/>
      <c r="CV107" s="180"/>
      <c r="CW107" s="179"/>
      <c r="CX107" s="836"/>
      <c r="CY107" s="836"/>
      <c r="CZ107" s="836"/>
      <c r="DA107" s="177"/>
      <c r="DB107" s="177"/>
      <c r="DC107" s="177"/>
      <c r="DD107" s="177"/>
      <c r="DE107" s="177"/>
      <c r="DF107" s="177"/>
      <c r="DG107" s="177"/>
      <c r="DH107" s="177"/>
      <c r="DI107" s="177"/>
      <c r="DJ107" s="177"/>
      <c r="DK107" s="177"/>
    </row>
    <row r="108" spans="16:115" s="176" customFormat="1" x14ac:dyDescent="0.2">
      <c r="P108" s="178"/>
      <c r="Q108" s="206"/>
      <c r="R108" s="206"/>
      <c r="S108" s="206"/>
      <c r="CP108" s="177"/>
      <c r="CQ108" s="177"/>
      <c r="CR108" s="177"/>
      <c r="CS108" s="177"/>
      <c r="CT108" s="177"/>
      <c r="CU108" s="177"/>
      <c r="CV108" s="180"/>
      <c r="CW108" s="179"/>
      <c r="CX108" s="836"/>
      <c r="CY108" s="836"/>
      <c r="CZ108" s="836"/>
      <c r="DA108" s="177"/>
      <c r="DB108" s="177"/>
      <c r="DC108" s="177"/>
      <c r="DD108" s="177"/>
      <c r="DE108" s="177"/>
      <c r="DF108" s="177"/>
      <c r="DG108" s="177"/>
      <c r="DH108" s="177"/>
      <c r="DI108" s="177"/>
      <c r="DJ108" s="177"/>
      <c r="DK108" s="177"/>
    </row>
    <row r="109" spans="16:115" s="176" customFormat="1" x14ac:dyDescent="0.2">
      <c r="P109" s="178"/>
      <c r="Q109" s="206"/>
      <c r="R109" s="206"/>
      <c r="S109" s="206"/>
      <c r="CP109" s="177"/>
      <c r="CQ109" s="177"/>
      <c r="CR109" s="177"/>
      <c r="CS109" s="177"/>
      <c r="CT109" s="177"/>
      <c r="CU109" s="177"/>
      <c r="CV109" s="180"/>
      <c r="CW109" s="179"/>
      <c r="CX109" s="836"/>
      <c r="CY109" s="836"/>
      <c r="CZ109" s="836"/>
      <c r="DA109" s="177"/>
      <c r="DB109" s="177"/>
      <c r="DC109" s="177"/>
      <c r="DD109" s="177"/>
      <c r="DE109" s="177"/>
      <c r="DF109" s="177"/>
      <c r="DG109" s="177"/>
      <c r="DH109" s="177"/>
      <c r="DI109" s="177"/>
      <c r="DJ109" s="177"/>
      <c r="DK109" s="177"/>
    </row>
    <row r="110" spans="16:115" s="176" customFormat="1" x14ac:dyDescent="0.2">
      <c r="P110" s="178"/>
      <c r="Q110" s="206"/>
      <c r="R110" s="206"/>
      <c r="S110" s="206"/>
      <c r="CP110" s="177"/>
      <c r="CQ110" s="177"/>
      <c r="CR110" s="177"/>
      <c r="CS110" s="177"/>
      <c r="CT110" s="177"/>
      <c r="CU110" s="177"/>
      <c r="CV110" s="180"/>
      <c r="CW110" s="179"/>
      <c r="CX110" s="836"/>
      <c r="CY110" s="836"/>
      <c r="CZ110" s="836"/>
      <c r="DA110" s="177"/>
      <c r="DB110" s="177"/>
      <c r="DC110" s="177"/>
      <c r="DD110" s="177"/>
      <c r="DE110" s="177"/>
      <c r="DF110" s="177"/>
      <c r="DG110" s="177"/>
      <c r="DH110" s="177"/>
      <c r="DI110" s="177"/>
      <c r="DJ110" s="177"/>
      <c r="DK110" s="177"/>
    </row>
    <row r="111" spans="16:115" s="176" customFormat="1" x14ac:dyDescent="0.2">
      <c r="P111" s="178"/>
      <c r="Q111" s="206"/>
      <c r="R111" s="206"/>
      <c r="S111" s="206"/>
      <c r="CP111" s="177"/>
      <c r="CQ111" s="177"/>
      <c r="CR111" s="177"/>
      <c r="CS111" s="177"/>
      <c r="CT111" s="177"/>
      <c r="CU111" s="177"/>
      <c r="CV111" s="180"/>
      <c r="CW111" s="179"/>
      <c r="CX111" s="836"/>
      <c r="CY111" s="836"/>
      <c r="CZ111" s="836"/>
      <c r="DA111" s="177"/>
      <c r="DB111" s="177"/>
      <c r="DC111" s="177"/>
      <c r="DD111" s="177"/>
      <c r="DE111" s="177"/>
      <c r="DF111" s="177"/>
      <c r="DG111" s="177"/>
      <c r="DH111" s="177"/>
      <c r="DI111" s="177"/>
      <c r="DJ111" s="177"/>
      <c r="DK111" s="177"/>
    </row>
    <row r="112" spans="16:115" s="176" customFormat="1" x14ac:dyDescent="0.2">
      <c r="P112" s="178"/>
      <c r="Q112" s="206"/>
      <c r="R112" s="206"/>
      <c r="S112" s="206"/>
      <c r="CP112" s="177"/>
      <c r="CQ112" s="177"/>
      <c r="CR112" s="177"/>
      <c r="CS112" s="177"/>
      <c r="CT112" s="177"/>
      <c r="CU112" s="177"/>
      <c r="CV112" s="180"/>
      <c r="CW112" s="179"/>
      <c r="CX112" s="836"/>
      <c r="CY112" s="836"/>
      <c r="CZ112" s="836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</row>
    <row r="113" spans="3:115" s="176" customFormat="1" x14ac:dyDescent="0.2">
      <c r="P113" s="178"/>
      <c r="Q113" s="206"/>
      <c r="R113" s="206"/>
      <c r="S113" s="206"/>
      <c r="CP113" s="177"/>
      <c r="CQ113" s="177"/>
      <c r="CR113" s="177"/>
      <c r="CS113" s="177"/>
      <c r="CT113" s="177"/>
      <c r="CU113" s="177"/>
      <c r="CV113" s="180"/>
      <c r="CW113" s="179"/>
      <c r="CX113" s="836"/>
      <c r="CY113" s="836"/>
      <c r="CZ113" s="836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</row>
    <row r="114" spans="3:115" s="176" customFormat="1" x14ac:dyDescent="0.2">
      <c r="P114" s="178"/>
      <c r="Q114" s="206"/>
      <c r="R114" s="206"/>
      <c r="S114" s="206"/>
      <c r="CP114" s="177"/>
      <c r="CQ114" s="177"/>
      <c r="CR114" s="177"/>
      <c r="CS114" s="177"/>
      <c r="CT114" s="177"/>
      <c r="CU114" s="177"/>
      <c r="CV114" s="180"/>
      <c r="CW114" s="179"/>
      <c r="CX114" s="836"/>
      <c r="CY114" s="836"/>
      <c r="CZ114" s="836"/>
      <c r="DA114" s="177"/>
      <c r="DB114" s="177"/>
      <c r="DC114" s="177"/>
      <c r="DD114" s="177"/>
      <c r="DE114" s="177"/>
      <c r="DF114" s="177"/>
      <c r="DG114" s="177"/>
      <c r="DH114" s="177"/>
      <c r="DI114" s="177"/>
      <c r="DJ114" s="177"/>
      <c r="DK114" s="177"/>
    </row>
    <row r="115" spans="3:115" s="177" customFormat="1" x14ac:dyDescent="0.2">
      <c r="P115" s="363"/>
      <c r="Q115" s="396"/>
      <c r="R115" s="396"/>
      <c r="S115" s="396"/>
      <c r="CV115" s="387"/>
      <c r="CW115" s="836"/>
      <c r="CX115" s="836"/>
      <c r="CY115" s="836"/>
      <c r="CZ115" s="836"/>
    </row>
    <row r="116" spans="3:115" s="396" customFormat="1" x14ac:dyDescent="0.2">
      <c r="P116" s="599"/>
      <c r="CV116" s="387"/>
      <c r="CW116" s="836"/>
      <c r="CX116" s="836"/>
      <c r="CY116" s="836"/>
      <c r="CZ116" s="836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</row>
    <row r="117" spans="3:115" s="396" customFormat="1" x14ac:dyDescent="0.2">
      <c r="C117" s="396" t="str">
        <f>IF(C59="Körperschaftsteuer**)","der zu zahlende Körperschaft-Steuersatz beträgt z.Z. 15 % des zu versteuernden Einkommens","")</f>
        <v/>
      </c>
      <c r="D117" s="575">
        <v>1</v>
      </c>
      <c r="E117" s="575">
        <v>2</v>
      </c>
      <c r="F117" s="575">
        <v>3</v>
      </c>
      <c r="G117" s="575">
        <v>4</v>
      </c>
      <c r="H117" s="575">
        <v>5</v>
      </c>
      <c r="I117" s="575">
        <v>6</v>
      </c>
      <c r="J117" s="575">
        <v>7</v>
      </c>
      <c r="K117" s="575">
        <v>8</v>
      </c>
      <c r="L117" s="575">
        <v>9</v>
      </c>
      <c r="M117" s="575">
        <v>10</v>
      </c>
      <c r="N117" s="575">
        <v>11</v>
      </c>
      <c r="O117" s="575">
        <v>12</v>
      </c>
      <c r="P117" s="575">
        <v>1</v>
      </c>
      <c r="Q117" s="575">
        <v>2</v>
      </c>
      <c r="R117" s="575">
        <v>3</v>
      </c>
      <c r="S117" s="575">
        <v>4</v>
      </c>
      <c r="T117" s="575">
        <v>5</v>
      </c>
      <c r="U117" s="575">
        <v>6</v>
      </c>
      <c r="V117" s="575">
        <v>7</v>
      </c>
      <c r="W117" s="575">
        <v>8</v>
      </c>
      <c r="X117" s="575">
        <v>9</v>
      </c>
      <c r="Y117" s="575">
        <v>10</v>
      </c>
      <c r="Z117" s="575">
        <v>11</v>
      </c>
      <c r="AA117" s="575">
        <v>12</v>
      </c>
      <c r="CV117" s="387"/>
      <c r="CW117" s="836"/>
      <c r="CX117" s="836"/>
      <c r="CY117" s="836"/>
      <c r="CZ117" s="836"/>
      <c r="DA117" s="177"/>
      <c r="DB117" s="177"/>
      <c r="DC117" s="177"/>
      <c r="DD117" s="177"/>
      <c r="DE117" s="177"/>
      <c r="DF117" s="177"/>
      <c r="DG117" s="177"/>
      <c r="DH117" s="177"/>
      <c r="DI117" s="177"/>
      <c r="DJ117" s="177"/>
      <c r="DK117" s="177"/>
    </row>
    <row r="118" spans="3:115" s="396" customFormat="1" x14ac:dyDescent="0.2">
      <c r="D118" s="575" t="str">
        <f ca="1">D117&amp; "."&amp;RIGHT('1 Pers.Ausgaben|Pers Expenses'!$C$4,2)</f>
        <v>1.19</v>
      </c>
      <c r="E118" s="575" t="str">
        <f ca="1">E117&amp; "."&amp;RIGHT('1 Pers.Ausgaben|Pers Expenses'!$C$4,2)</f>
        <v>2.19</v>
      </c>
      <c r="F118" s="575" t="str">
        <f ca="1">F117&amp; "."&amp;RIGHT('1 Pers.Ausgaben|Pers Expenses'!$C$4,2)</f>
        <v>3.19</v>
      </c>
      <c r="G118" s="575" t="str">
        <f ca="1">G117&amp; "."&amp;RIGHT('1 Pers.Ausgaben|Pers Expenses'!$C$4,2)</f>
        <v>4.19</v>
      </c>
      <c r="H118" s="575" t="str">
        <f ca="1">H117&amp; "."&amp;RIGHT('1 Pers.Ausgaben|Pers Expenses'!$C$4,2)</f>
        <v>5.19</v>
      </c>
      <c r="I118" s="575" t="str">
        <f ca="1">I117&amp; "."&amp;RIGHT('1 Pers.Ausgaben|Pers Expenses'!$C$4,2)</f>
        <v>6.19</v>
      </c>
      <c r="J118" s="575" t="str">
        <f ca="1">J117&amp; "."&amp;RIGHT('1 Pers.Ausgaben|Pers Expenses'!$C$4,2)</f>
        <v>7.19</v>
      </c>
      <c r="K118" s="575" t="str">
        <f ca="1">K117&amp; "."&amp;RIGHT('1 Pers.Ausgaben|Pers Expenses'!$C$4,2)</f>
        <v>8.19</v>
      </c>
      <c r="L118" s="575" t="str">
        <f ca="1">L117&amp; "."&amp;RIGHT('1 Pers.Ausgaben|Pers Expenses'!$C$4,2)</f>
        <v>9.19</v>
      </c>
      <c r="M118" s="575" t="str">
        <f ca="1">M117&amp; "."&amp;RIGHT('1 Pers.Ausgaben|Pers Expenses'!$C$4,2)</f>
        <v>10.19</v>
      </c>
      <c r="N118" s="575" t="str">
        <f ca="1">N117&amp; "."&amp;RIGHT('1 Pers.Ausgaben|Pers Expenses'!$C$4,2)</f>
        <v>11.19</v>
      </c>
      <c r="O118" s="575" t="str">
        <f ca="1">O117&amp; "."&amp;RIGHT('1 Pers.Ausgaben|Pers Expenses'!$C$4,2)</f>
        <v>12.19</v>
      </c>
      <c r="P118" s="575" t="str">
        <f ca="1">P117&amp; "."&amp;RIGHT('1 Pers.Ausgaben|Pers Expenses'!$C$4+1,2)</f>
        <v>1.20</v>
      </c>
      <c r="Q118" s="575" t="str">
        <f ca="1">Q117&amp; "."&amp;RIGHT('1 Pers.Ausgaben|Pers Expenses'!$C$4+1,2)</f>
        <v>2.20</v>
      </c>
      <c r="R118" s="575" t="str">
        <f ca="1">R117&amp; "."&amp;RIGHT('1 Pers.Ausgaben|Pers Expenses'!$C$4+1,2)</f>
        <v>3.20</v>
      </c>
      <c r="S118" s="575" t="str">
        <f ca="1">S117&amp; "."&amp;RIGHT('1 Pers.Ausgaben|Pers Expenses'!$C$4+1,2)</f>
        <v>4.20</v>
      </c>
      <c r="T118" s="575" t="str">
        <f ca="1">T117&amp; "."&amp;RIGHT('1 Pers.Ausgaben|Pers Expenses'!$C$4+1,2)</f>
        <v>5.20</v>
      </c>
      <c r="U118" s="575" t="str">
        <f ca="1">U117&amp; "."&amp;RIGHT('1 Pers.Ausgaben|Pers Expenses'!$C$4+1,2)</f>
        <v>6.20</v>
      </c>
      <c r="V118" s="575" t="str">
        <f ca="1">V117&amp; "."&amp;RIGHT('1 Pers.Ausgaben|Pers Expenses'!$C$4+1,2)</f>
        <v>7.20</v>
      </c>
      <c r="W118" s="575" t="str">
        <f ca="1">W117&amp; "."&amp;RIGHT('1 Pers.Ausgaben|Pers Expenses'!$C$4+1,2)</f>
        <v>8.20</v>
      </c>
      <c r="X118" s="575" t="str">
        <f ca="1">X117&amp; "."&amp;RIGHT('1 Pers.Ausgaben|Pers Expenses'!$C$4+1,2)</f>
        <v>9.20</v>
      </c>
      <c r="Y118" s="575" t="str">
        <f ca="1">Y117&amp; "."&amp;RIGHT('1 Pers.Ausgaben|Pers Expenses'!$C$4+1,2)</f>
        <v>10.20</v>
      </c>
      <c r="Z118" s="575" t="str">
        <f ca="1">Z117&amp; "."&amp;RIGHT('1 Pers.Ausgaben|Pers Expenses'!$C$4+1,2)</f>
        <v>11.20</v>
      </c>
      <c r="AA118" s="575" t="str">
        <f ca="1">AA117&amp; "."&amp;RIGHT('1 Pers.Ausgaben|Pers Expenses'!$C$4+1,2)</f>
        <v>12.20</v>
      </c>
      <c r="CV118" s="387"/>
      <c r="CW118" s="836"/>
      <c r="CX118" s="836"/>
      <c r="CY118" s="836"/>
      <c r="CZ118" s="836"/>
      <c r="DA118" s="177"/>
      <c r="DB118" s="177"/>
      <c r="DC118" s="177"/>
      <c r="DD118" s="177"/>
      <c r="DE118" s="177"/>
      <c r="DF118" s="177"/>
      <c r="DG118" s="177"/>
      <c r="DH118" s="177"/>
      <c r="DI118" s="177"/>
      <c r="DJ118" s="177"/>
      <c r="DK118" s="177"/>
    </row>
    <row r="119" spans="3:115" s="396" customFormat="1" x14ac:dyDescent="0.2">
      <c r="C119" s="396" t="s">
        <v>173</v>
      </c>
      <c r="D119" s="575" t="str">
        <f t="shared" ref="D119:O119" si="7">IF(D12&gt;0,D12,"")</f>
        <v/>
      </c>
      <c r="E119" s="575" t="str">
        <f t="shared" si="7"/>
        <v/>
      </c>
      <c r="F119" s="575" t="str">
        <f t="shared" si="7"/>
        <v/>
      </c>
      <c r="G119" s="575" t="str">
        <f t="shared" si="7"/>
        <v/>
      </c>
      <c r="H119" s="575" t="str">
        <f t="shared" si="7"/>
        <v/>
      </c>
      <c r="I119" s="575" t="str">
        <f t="shared" si="7"/>
        <v/>
      </c>
      <c r="J119" s="575" t="str">
        <f t="shared" si="7"/>
        <v/>
      </c>
      <c r="K119" s="575" t="str">
        <f t="shared" si="7"/>
        <v/>
      </c>
      <c r="L119" s="575" t="str">
        <f t="shared" si="7"/>
        <v/>
      </c>
      <c r="M119" s="575" t="str">
        <f t="shared" si="7"/>
        <v/>
      </c>
      <c r="N119" s="575" t="str">
        <f t="shared" si="7"/>
        <v/>
      </c>
      <c r="O119" s="575" t="str">
        <f t="shared" si="7"/>
        <v/>
      </c>
      <c r="P119" s="575" t="str">
        <f t="shared" ref="P119:AA119" ca="1" si="8">IF(D24&gt;0,D24,"")</f>
        <v/>
      </c>
      <c r="Q119" s="575" t="str">
        <f t="shared" ca="1" si="8"/>
        <v/>
      </c>
      <c r="R119" s="575" t="str">
        <f t="shared" ca="1" si="8"/>
        <v/>
      </c>
      <c r="S119" s="575" t="str">
        <f t="shared" ca="1" si="8"/>
        <v/>
      </c>
      <c r="T119" s="575" t="str">
        <f t="shared" ca="1" si="8"/>
        <v/>
      </c>
      <c r="U119" s="575" t="str">
        <f t="shared" ca="1" si="8"/>
        <v/>
      </c>
      <c r="V119" s="575" t="str">
        <f t="shared" ca="1" si="8"/>
        <v/>
      </c>
      <c r="W119" s="575" t="str">
        <f t="shared" ca="1" si="8"/>
        <v/>
      </c>
      <c r="X119" s="575" t="str">
        <f t="shared" ca="1" si="8"/>
        <v/>
      </c>
      <c r="Y119" s="575" t="str">
        <f t="shared" ca="1" si="8"/>
        <v/>
      </c>
      <c r="Z119" s="575" t="str">
        <f t="shared" ca="1" si="8"/>
        <v/>
      </c>
      <c r="AA119" s="575" t="str">
        <f t="shared" ca="1" si="8"/>
        <v/>
      </c>
      <c r="CV119" s="387"/>
      <c r="CW119" s="836"/>
      <c r="CX119" s="836"/>
      <c r="CY119" s="836"/>
      <c r="CZ119" s="836"/>
      <c r="DA119" s="177"/>
      <c r="DB119" s="177"/>
      <c r="DC119" s="177"/>
      <c r="DD119" s="177"/>
      <c r="DE119" s="177"/>
      <c r="DF119" s="177"/>
      <c r="DG119" s="177"/>
      <c r="DH119" s="177"/>
      <c r="DI119" s="177"/>
      <c r="DJ119" s="177"/>
      <c r="DK119" s="177"/>
    </row>
    <row r="120" spans="3:115" s="1041" customFormat="1" x14ac:dyDescent="0.2">
      <c r="C120" s="1039" t="str">
        <f>IF($C$2="English",CW120,CV120)</f>
        <v>+  Monatswerte  -</v>
      </c>
      <c r="D120" s="1040">
        <f t="shared" ref="D120:O120" si="9">IF(D12&lt;=0,D12,"")</f>
        <v>0</v>
      </c>
      <c r="E120" s="1040">
        <f t="shared" si="9"/>
        <v>0</v>
      </c>
      <c r="F120" s="1040">
        <f t="shared" si="9"/>
        <v>0</v>
      </c>
      <c r="G120" s="1040">
        <f t="shared" si="9"/>
        <v>0</v>
      </c>
      <c r="H120" s="1040">
        <f t="shared" si="9"/>
        <v>0</v>
      </c>
      <c r="I120" s="1040">
        <f t="shared" si="9"/>
        <v>0</v>
      </c>
      <c r="J120" s="1040">
        <f t="shared" si="9"/>
        <v>0</v>
      </c>
      <c r="K120" s="1040">
        <f t="shared" si="9"/>
        <v>0</v>
      </c>
      <c r="L120" s="1040">
        <f t="shared" si="9"/>
        <v>0</v>
      </c>
      <c r="M120" s="1040">
        <f t="shared" si="9"/>
        <v>0</v>
      </c>
      <c r="N120" s="1040">
        <f t="shared" si="9"/>
        <v>0</v>
      </c>
      <c r="O120" s="1040">
        <f t="shared" si="9"/>
        <v>0</v>
      </c>
      <c r="P120" s="1040">
        <f t="shared" ref="P120:AA120" ca="1" si="10">IF(D24&lt;=0,D24,"")</f>
        <v>0</v>
      </c>
      <c r="Q120" s="1040">
        <f t="shared" ca="1" si="10"/>
        <v>0</v>
      </c>
      <c r="R120" s="1040">
        <f t="shared" ca="1" si="10"/>
        <v>0</v>
      </c>
      <c r="S120" s="1040">
        <f t="shared" ca="1" si="10"/>
        <v>0</v>
      </c>
      <c r="T120" s="1040">
        <f t="shared" ca="1" si="10"/>
        <v>0</v>
      </c>
      <c r="U120" s="1040">
        <f t="shared" ca="1" si="10"/>
        <v>0</v>
      </c>
      <c r="V120" s="1040">
        <f t="shared" ca="1" si="10"/>
        <v>0</v>
      </c>
      <c r="W120" s="1040">
        <f t="shared" ca="1" si="10"/>
        <v>0</v>
      </c>
      <c r="X120" s="1040">
        <f t="shared" ca="1" si="10"/>
        <v>0</v>
      </c>
      <c r="Y120" s="1040">
        <f t="shared" ca="1" si="10"/>
        <v>0</v>
      </c>
      <c r="Z120" s="1040">
        <f t="shared" ca="1" si="10"/>
        <v>0</v>
      </c>
      <c r="AA120" s="1040">
        <f t="shared" ca="1" si="10"/>
        <v>0</v>
      </c>
      <c r="CV120" s="1383" t="s">
        <v>703</v>
      </c>
      <c r="CW120" s="1384" t="s">
        <v>704</v>
      </c>
      <c r="CX120" s="1043"/>
      <c r="CY120" s="1043"/>
      <c r="CZ120" s="1043"/>
      <c r="DA120" s="731"/>
      <c r="DB120" s="731"/>
      <c r="DC120" s="731"/>
      <c r="DD120" s="731"/>
      <c r="DE120" s="731"/>
      <c r="DF120" s="731"/>
      <c r="DG120" s="731"/>
      <c r="DH120" s="731"/>
      <c r="DI120" s="731"/>
      <c r="DJ120" s="731"/>
      <c r="DK120" s="731"/>
    </row>
    <row r="121" spans="3:115" s="1041" customFormat="1" x14ac:dyDescent="0.2">
      <c r="C121" s="1039" t="str">
        <f>IF($C$2="English",CW121,CV121)</f>
        <v>akkumuliert</v>
      </c>
      <c r="D121" s="1041">
        <f>D13</f>
        <v>0</v>
      </c>
      <c r="E121" s="1041">
        <f t="shared" ref="E121:O121" si="11">E13</f>
        <v>0</v>
      </c>
      <c r="F121" s="1041">
        <f t="shared" si="11"/>
        <v>0</v>
      </c>
      <c r="G121" s="1041">
        <f t="shared" si="11"/>
        <v>0</v>
      </c>
      <c r="H121" s="1041">
        <f t="shared" si="11"/>
        <v>0</v>
      </c>
      <c r="I121" s="1041">
        <f t="shared" si="11"/>
        <v>0</v>
      </c>
      <c r="J121" s="1041">
        <f t="shared" si="11"/>
        <v>0</v>
      </c>
      <c r="K121" s="1041">
        <f t="shared" si="11"/>
        <v>0</v>
      </c>
      <c r="L121" s="1041">
        <f t="shared" si="11"/>
        <v>0</v>
      </c>
      <c r="M121" s="1041">
        <f t="shared" si="11"/>
        <v>0</v>
      </c>
      <c r="N121" s="1041">
        <f t="shared" si="11"/>
        <v>0</v>
      </c>
      <c r="O121" s="1041">
        <f t="shared" si="11"/>
        <v>0</v>
      </c>
      <c r="P121" s="1041">
        <f ca="1">D25</f>
        <v>0</v>
      </c>
      <c r="Q121" s="1041">
        <f t="shared" ref="Q121:AA121" ca="1" si="12">E25</f>
        <v>0</v>
      </c>
      <c r="R121" s="1041">
        <f t="shared" ca="1" si="12"/>
        <v>0</v>
      </c>
      <c r="S121" s="1041">
        <f t="shared" ca="1" si="12"/>
        <v>0</v>
      </c>
      <c r="T121" s="1041">
        <f t="shared" ca="1" si="12"/>
        <v>0</v>
      </c>
      <c r="U121" s="1041">
        <f t="shared" ca="1" si="12"/>
        <v>0</v>
      </c>
      <c r="V121" s="1041">
        <f t="shared" ca="1" si="12"/>
        <v>0</v>
      </c>
      <c r="W121" s="1041">
        <f t="shared" ca="1" si="12"/>
        <v>0</v>
      </c>
      <c r="X121" s="1041">
        <f t="shared" ca="1" si="12"/>
        <v>0</v>
      </c>
      <c r="Y121" s="1041">
        <f t="shared" ca="1" si="12"/>
        <v>0</v>
      </c>
      <c r="Z121" s="1041">
        <f t="shared" ca="1" si="12"/>
        <v>0</v>
      </c>
      <c r="AA121" s="1041">
        <f t="shared" ca="1" si="12"/>
        <v>0</v>
      </c>
      <c r="CV121" s="1226" t="s">
        <v>576</v>
      </c>
      <c r="CW121" s="1227" t="s">
        <v>615</v>
      </c>
    </row>
    <row r="122" spans="3:115" s="1041" customFormat="1" x14ac:dyDescent="0.2">
      <c r="C122" s="1039"/>
      <c r="P122" s="1044"/>
      <c r="CV122" s="1042"/>
      <c r="CW122" s="1043"/>
      <c r="CX122" s="1043"/>
      <c r="CY122" s="1043"/>
      <c r="CZ122" s="1043"/>
      <c r="DA122" s="731"/>
      <c r="DB122" s="731"/>
      <c r="DC122" s="731"/>
      <c r="DD122" s="731"/>
      <c r="DE122" s="731"/>
      <c r="DF122" s="731"/>
      <c r="DG122" s="731"/>
      <c r="DH122" s="731"/>
      <c r="DI122" s="731"/>
      <c r="DJ122" s="731"/>
      <c r="DK122" s="731"/>
    </row>
    <row r="123" spans="3:115" s="1041" customFormat="1" x14ac:dyDescent="0.2">
      <c r="C123" s="1039"/>
      <c r="D123" s="1041">
        <f ca="1">D54</f>
        <v>2019</v>
      </c>
      <c r="E123" s="1041">
        <f ca="1">E54</f>
        <v>2020</v>
      </c>
      <c r="F123" s="1041">
        <f ca="1">F54</f>
        <v>2021</v>
      </c>
      <c r="G123" s="1041">
        <f ca="1">G54</f>
        <v>2022</v>
      </c>
      <c r="H123" s="1041">
        <f ca="1">H54</f>
        <v>2023</v>
      </c>
      <c r="P123" s="1044"/>
      <c r="CV123" s="1042"/>
      <c r="CW123" s="1043"/>
      <c r="CX123" s="1043"/>
      <c r="CY123" s="1043"/>
      <c r="CZ123" s="1043"/>
      <c r="DA123" s="731"/>
      <c r="DB123" s="731"/>
      <c r="DC123" s="731"/>
      <c r="DD123" s="731"/>
      <c r="DE123" s="731"/>
      <c r="DF123" s="731"/>
      <c r="DG123" s="731"/>
      <c r="DH123" s="731"/>
      <c r="DI123" s="731"/>
      <c r="DJ123" s="731"/>
      <c r="DK123" s="731"/>
    </row>
    <row r="124" spans="3:115" s="1041" customFormat="1" x14ac:dyDescent="0.2">
      <c r="C124" s="1039"/>
      <c r="D124" s="1041">
        <f>IF(D47&lt;0,D47,0)</f>
        <v>0</v>
      </c>
      <c r="E124" s="1041">
        <f ca="1">IF(E47&lt;0,E47,0)</f>
        <v>0</v>
      </c>
      <c r="F124" s="1041">
        <f ca="1">IF(F47&lt;0,F47,0)</f>
        <v>0</v>
      </c>
      <c r="G124" s="1041">
        <f ca="1">IF(G47&lt;0,G47,0)</f>
        <v>0</v>
      </c>
      <c r="H124" s="1041">
        <f ca="1">IF(H47&lt;0,H47,0)</f>
        <v>0</v>
      </c>
      <c r="P124" s="1044"/>
      <c r="CV124" s="1042"/>
      <c r="CW124" s="1043"/>
      <c r="CX124" s="1043"/>
      <c r="CY124" s="1043"/>
      <c r="CZ124" s="1043"/>
      <c r="DA124" s="731"/>
      <c r="DB124" s="731"/>
      <c r="DC124" s="731"/>
      <c r="DD124" s="731"/>
      <c r="DE124" s="731"/>
      <c r="DF124" s="731"/>
      <c r="DG124" s="731"/>
      <c r="DH124" s="731"/>
      <c r="DI124" s="731"/>
      <c r="DJ124" s="731"/>
      <c r="DK124" s="731"/>
    </row>
    <row r="125" spans="3:115" s="1041" customFormat="1" x14ac:dyDescent="0.2">
      <c r="C125" s="1039" t="str">
        <f>IF($C$2="English",CW125,CV125)</f>
        <v>+  Jahreswerte  -</v>
      </c>
      <c r="D125" s="1041">
        <f>IF(D47&gt;0,D47,0)</f>
        <v>0</v>
      </c>
      <c r="E125" s="1041">
        <f ca="1">IF(E47&gt;0,E47,0)</f>
        <v>0</v>
      </c>
      <c r="F125" s="1041">
        <f ca="1">IF(F47&gt;0,F47,0)</f>
        <v>0</v>
      </c>
      <c r="G125" s="1041">
        <f ca="1">IF(G47&gt;0,G47,0)</f>
        <v>0</v>
      </c>
      <c r="H125" s="1041">
        <f ca="1">IF(H47&gt;0,H47,0)</f>
        <v>0</v>
      </c>
      <c r="P125" s="1044"/>
      <c r="CV125" s="1383" t="s">
        <v>705</v>
      </c>
      <c r="CW125" s="1384" t="s">
        <v>706</v>
      </c>
      <c r="CX125" s="1043"/>
      <c r="CY125" s="1043"/>
      <c r="CZ125" s="1043"/>
      <c r="DA125" s="731"/>
      <c r="DB125" s="731"/>
      <c r="DC125" s="731"/>
      <c r="DD125" s="731"/>
      <c r="DE125" s="731"/>
      <c r="DF125" s="731"/>
      <c r="DG125" s="731"/>
      <c r="DH125" s="731"/>
      <c r="DI125" s="731"/>
      <c r="DJ125" s="731"/>
      <c r="DK125" s="731"/>
    </row>
    <row r="126" spans="3:115" s="1041" customFormat="1" x14ac:dyDescent="0.2">
      <c r="C126" s="1039" t="str">
        <f>IF($C$2="English",CW126,CV126)</f>
        <v>akkumuliert</v>
      </c>
      <c r="D126" s="1041">
        <f>D48</f>
        <v>0</v>
      </c>
      <c r="E126" s="1041">
        <f ca="1">E48</f>
        <v>0</v>
      </c>
      <c r="F126" s="1041">
        <f ca="1">F48</f>
        <v>0</v>
      </c>
      <c r="G126" s="1041">
        <f ca="1">G48</f>
        <v>0</v>
      </c>
      <c r="H126" s="1041">
        <f ca="1">H48</f>
        <v>0</v>
      </c>
      <c r="P126" s="1044"/>
      <c r="CV126" s="1226" t="s">
        <v>576</v>
      </c>
      <c r="CW126" s="1227" t="s">
        <v>615</v>
      </c>
      <c r="CX126" s="1043"/>
      <c r="CY126" s="1043"/>
      <c r="CZ126" s="1043"/>
      <c r="DA126" s="731"/>
      <c r="DB126" s="731"/>
      <c r="DC126" s="731"/>
      <c r="DD126" s="731"/>
      <c r="DE126" s="731"/>
      <c r="DF126" s="731"/>
      <c r="DG126" s="731"/>
      <c r="DH126" s="731"/>
      <c r="DI126" s="731"/>
      <c r="DJ126" s="731"/>
      <c r="DK126" s="731"/>
    </row>
    <row r="127" spans="3:115" s="396" customFormat="1" x14ac:dyDescent="0.2">
      <c r="P127" s="599"/>
      <c r="CV127" s="387"/>
      <c r="CW127" s="836"/>
      <c r="CX127" s="836"/>
      <c r="CY127" s="836"/>
      <c r="CZ127" s="836"/>
      <c r="DA127" s="177"/>
      <c r="DB127" s="177"/>
      <c r="DC127" s="177"/>
      <c r="DD127" s="177"/>
      <c r="DE127" s="177"/>
      <c r="DF127" s="177"/>
      <c r="DG127" s="177"/>
      <c r="DH127" s="177"/>
      <c r="DI127" s="177"/>
      <c r="DJ127" s="177"/>
      <c r="DK127" s="177"/>
    </row>
    <row r="128" spans="3:115" s="396" customFormat="1" x14ac:dyDescent="0.2">
      <c r="C128" s="206"/>
      <c r="D128" s="206"/>
      <c r="E128" s="206"/>
      <c r="F128" s="206"/>
      <c r="G128" s="206"/>
      <c r="H128" s="206"/>
      <c r="P128" s="599"/>
      <c r="CV128" s="387"/>
      <c r="CW128" s="836"/>
      <c r="CX128" s="836"/>
      <c r="CY128" s="836"/>
      <c r="CZ128" s="836"/>
      <c r="DA128" s="177"/>
      <c r="DB128" s="177"/>
      <c r="DC128" s="177"/>
      <c r="DD128" s="177"/>
      <c r="DE128" s="177"/>
      <c r="DF128" s="177"/>
      <c r="DG128" s="177"/>
      <c r="DH128" s="177"/>
      <c r="DI128" s="177"/>
      <c r="DJ128" s="177"/>
      <c r="DK128" s="177"/>
    </row>
    <row r="129" spans="3:115" s="396" customFormat="1" x14ac:dyDescent="0.2">
      <c r="C129" s="206"/>
      <c r="D129" s="206"/>
      <c r="E129" s="206"/>
      <c r="F129" s="206"/>
      <c r="G129" s="206"/>
      <c r="H129" s="206"/>
      <c r="P129" s="599"/>
      <c r="CV129" s="387"/>
      <c r="CW129" s="836"/>
      <c r="CX129" s="836"/>
      <c r="CY129" s="836"/>
      <c r="CZ129" s="836"/>
      <c r="DA129" s="177"/>
      <c r="DB129" s="177"/>
      <c r="DC129" s="177"/>
      <c r="DD129" s="177"/>
      <c r="DE129" s="177"/>
      <c r="DF129" s="177"/>
      <c r="DG129" s="177"/>
      <c r="DH129" s="177"/>
      <c r="DI129" s="177"/>
      <c r="DJ129" s="177"/>
      <c r="DK129" s="177"/>
    </row>
    <row r="130" spans="3:115" s="396" customFormat="1" x14ac:dyDescent="0.2">
      <c r="P130" s="599"/>
      <c r="CV130" s="387"/>
      <c r="CW130" s="836"/>
      <c r="CX130" s="836"/>
      <c r="CY130" s="836"/>
      <c r="CZ130" s="836"/>
      <c r="DA130" s="177"/>
      <c r="DB130" s="177"/>
      <c r="DC130" s="177"/>
      <c r="DD130" s="177"/>
      <c r="DE130" s="177"/>
      <c r="DF130" s="177"/>
      <c r="DG130" s="177"/>
      <c r="DH130" s="177"/>
      <c r="DI130" s="177"/>
      <c r="DJ130" s="177"/>
      <c r="DK130" s="177"/>
    </row>
    <row r="131" spans="3:115" s="176" customFormat="1" x14ac:dyDescent="0.2">
      <c r="P131" s="178"/>
      <c r="Q131" s="206"/>
      <c r="R131" s="206"/>
      <c r="S131" s="206"/>
      <c r="CP131" s="177"/>
      <c r="CQ131" s="177"/>
      <c r="CR131" s="177"/>
      <c r="CS131" s="177"/>
      <c r="CT131" s="177"/>
      <c r="CU131" s="177"/>
      <c r="CV131" s="180"/>
      <c r="CW131" s="179"/>
      <c r="CX131" s="836"/>
      <c r="CY131" s="836"/>
      <c r="CZ131" s="836"/>
      <c r="DA131" s="177"/>
      <c r="DB131" s="177"/>
      <c r="DC131" s="177"/>
      <c r="DD131" s="177"/>
      <c r="DE131" s="177"/>
      <c r="DF131" s="177"/>
      <c r="DG131" s="177"/>
      <c r="DH131" s="177"/>
      <c r="DI131" s="177"/>
      <c r="DJ131" s="177"/>
      <c r="DK131" s="177"/>
    </row>
    <row r="132" spans="3:115" s="176" customFormat="1" x14ac:dyDescent="0.2">
      <c r="P132" s="178"/>
      <c r="Q132" s="206"/>
      <c r="R132" s="206"/>
      <c r="S132" s="206"/>
      <c r="CP132" s="177"/>
      <c r="CQ132" s="177"/>
      <c r="CR132" s="177"/>
      <c r="CS132" s="177"/>
      <c r="CT132" s="177"/>
      <c r="CU132" s="177"/>
      <c r="CV132" s="180"/>
      <c r="CW132" s="179"/>
      <c r="CX132" s="836"/>
      <c r="CY132" s="836"/>
      <c r="CZ132" s="836"/>
      <c r="DA132" s="177"/>
      <c r="DB132" s="177"/>
      <c r="DC132" s="177"/>
      <c r="DD132" s="177"/>
      <c r="DE132" s="177"/>
      <c r="DF132" s="177"/>
      <c r="DG132" s="177"/>
      <c r="DH132" s="177"/>
      <c r="DI132" s="177"/>
      <c r="DJ132" s="177"/>
      <c r="DK132" s="177"/>
    </row>
    <row r="133" spans="3:115" s="176" customFormat="1" x14ac:dyDescent="0.2">
      <c r="P133" s="178"/>
      <c r="Q133" s="206"/>
      <c r="R133" s="206"/>
      <c r="S133" s="206"/>
      <c r="CP133" s="177"/>
      <c r="CQ133" s="177"/>
      <c r="CR133" s="177"/>
      <c r="CS133" s="177"/>
      <c r="CT133" s="177"/>
      <c r="CU133" s="177"/>
      <c r="CV133" s="180"/>
      <c r="CW133" s="179"/>
      <c r="CX133" s="836"/>
      <c r="CY133" s="836"/>
      <c r="CZ133" s="836"/>
      <c r="DA133" s="177"/>
      <c r="DB133" s="177"/>
      <c r="DC133" s="177"/>
      <c r="DD133" s="177"/>
      <c r="DE133" s="177"/>
      <c r="DF133" s="177"/>
      <c r="DG133" s="177"/>
      <c r="DH133" s="177"/>
      <c r="DI133" s="177"/>
      <c r="DJ133" s="177"/>
      <c r="DK133" s="177"/>
    </row>
    <row r="134" spans="3:115" s="176" customFormat="1" x14ac:dyDescent="0.2">
      <c r="P134" s="178"/>
      <c r="Q134" s="206"/>
      <c r="R134" s="206"/>
      <c r="S134" s="206"/>
      <c r="CP134" s="177"/>
      <c r="CQ134" s="177"/>
      <c r="CR134" s="177"/>
      <c r="CS134" s="177"/>
      <c r="CT134" s="177"/>
      <c r="CU134" s="177"/>
      <c r="CV134" s="180"/>
      <c r="CW134" s="179"/>
      <c r="CX134" s="836"/>
      <c r="CY134" s="836"/>
      <c r="CZ134" s="836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</row>
    <row r="135" spans="3:115" s="176" customFormat="1" x14ac:dyDescent="0.2">
      <c r="P135" s="178"/>
      <c r="Q135" s="206"/>
      <c r="R135" s="206"/>
      <c r="S135" s="206"/>
      <c r="CP135" s="177"/>
      <c r="CQ135" s="177"/>
      <c r="CR135" s="177"/>
      <c r="CS135" s="177"/>
      <c r="CT135" s="177"/>
      <c r="CU135" s="177"/>
      <c r="CV135" s="180"/>
      <c r="CW135" s="179"/>
      <c r="CX135" s="836"/>
      <c r="CY135" s="836"/>
      <c r="CZ135" s="836"/>
      <c r="DA135" s="177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</row>
    <row r="136" spans="3:115" s="176" customFormat="1" x14ac:dyDescent="0.2">
      <c r="P136" s="178"/>
      <c r="Q136" s="206"/>
      <c r="R136" s="206"/>
      <c r="S136" s="206"/>
      <c r="CP136" s="177"/>
      <c r="CQ136" s="177"/>
      <c r="CR136" s="177"/>
      <c r="CS136" s="177"/>
      <c r="CT136" s="177"/>
      <c r="CU136" s="177"/>
      <c r="CV136" s="180"/>
      <c r="CW136" s="179"/>
      <c r="CX136" s="836"/>
      <c r="CY136" s="836"/>
      <c r="CZ136" s="836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</row>
    <row r="137" spans="3:115" s="176" customFormat="1" x14ac:dyDescent="0.2">
      <c r="P137" s="178"/>
      <c r="Q137" s="206"/>
      <c r="R137" s="206"/>
      <c r="S137" s="206"/>
      <c r="CP137" s="177"/>
      <c r="CQ137" s="177"/>
      <c r="CR137" s="177"/>
      <c r="CS137" s="177"/>
      <c r="CT137" s="177"/>
      <c r="CU137" s="177"/>
      <c r="CV137" s="180"/>
      <c r="CW137" s="179"/>
      <c r="CX137" s="836"/>
      <c r="CY137" s="836"/>
      <c r="CZ137" s="836"/>
      <c r="DA137" s="177"/>
      <c r="DB137" s="177"/>
      <c r="DC137" s="177"/>
      <c r="DD137" s="177"/>
      <c r="DE137" s="177"/>
      <c r="DF137" s="177"/>
      <c r="DG137" s="177"/>
      <c r="DH137" s="177"/>
      <c r="DI137" s="177"/>
      <c r="DJ137" s="177"/>
      <c r="DK137" s="177"/>
    </row>
    <row r="138" spans="3:115" s="176" customFormat="1" x14ac:dyDescent="0.2">
      <c r="P138" s="178"/>
      <c r="Q138" s="206"/>
      <c r="R138" s="206"/>
      <c r="S138" s="206"/>
      <c r="CP138" s="177"/>
      <c r="CQ138" s="177"/>
      <c r="CR138" s="177"/>
      <c r="CS138" s="177"/>
      <c r="CT138" s="177"/>
      <c r="CU138" s="177"/>
      <c r="CV138" s="180"/>
      <c r="CW138" s="179"/>
      <c r="CX138" s="836"/>
      <c r="CY138" s="836"/>
      <c r="CZ138" s="836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</row>
    <row r="139" spans="3:115" s="176" customFormat="1" x14ac:dyDescent="0.2">
      <c r="P139" s="178"/>
      <c r="Q139" s="206"/>
      <c r="R139" s="206"/>
      <c r="S139" s="206"/>
      <c r="CP139" s="177"/>
      <c r="CQ139" s="177"/>
      <c r="CR139" s="177"/>
      <c r="CS139" s="177"/>
      <c r="CT139" s="177"/>
      <c r="CU139" s="177"/>
      <c r="CV139" s="180"/>
      <c r="CW139" s="179"/>
      <c r="CX139" s="836"/>
      <c r="CY139" s="836"/>
      <c r="CZ139" s="836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</row>
    <row r="140" spans="3:115" s="176" customFormat="1" x14ac:dyDescent="0.2">
      <c r="P140" s="178"/>
      <c r="Q140" s="206"/>
      <c r="R140" s="206"/>
      <c r="S140" s="206"/>
      <c r="CP140" s="177"/>
      <c r="CQ140" s="177"/>
      <c r="CR140" s="177"/>
      <c r="CS140" s="177"/>
      <c r="CT140" s="177"/>
      <c r="CU140" s="177"/>
      <c r="CV140" s="180"/>
      <c r="CW140" s="179"/>
      <c r="CX140" s="836"/>
      <c r="CY140" s="836"/>
      <c r="CZ140" s="836"/>
      <c r="DA140" s="177"/>
      <c r="DB140" s="177"/>
      <c r="DC140" s="177"/>
      <c r="DD140" s="177"/>
      <c r="DE140" s="177"/>
      <c r="DF140" s="177"/>
      <c r="DG140" s="177"/>
      <c r="DH140" s="177"/>
      <c r="DI140" s="177"/>
      <c r="DJ140" s="177"/>
      <c r="DK140" s="177"/>
    </row>
    <row r="141" spans="3:115" s="176" customFormat="1" x14ac:dyDescent="0.2">
      <c r="P141" s="178"/>
      <c r="Q141" s="206"/>
      <c r="R141" s="206"/>
      <c r="S141" s="206"/>
      <c r="CP141" s="177"/>
      <c r="CQ141" s="177"/>
      <c r="CR141" s="177"/>
      <c r="CS141" s="177"/>
      <c r="CT141" s="177"/>
      <c r="CU141" s="177"/>
      <c r="CV141" s="180"/>
      <c r="CW141" s="179"/>
      <c r="CX141" s="836"/>
      <c r="CY141" s="836"/>
      <c r="CZ141" s="836"/>
      <c r="DA141" s="177"/>
      <c r="DB141" s="177"/>
      <c r="DC141" s="177"/>
      <c r="DD141" s="177"/>
      <c r="DE141" s="177"/>
      <c r="DF141" s="177"/>
      <c r="DG141" s="177"/>
      <c r="DH141" s="177"/>
      <c r="DI141" s="177"/>
      <c r="DJ141" s="177"/>
      <c r="DK141" s="177"/>
    </row>
    <row r="142" spans="3:115" s="176" customFormat="1" x14ac:dyDescent="0.2">
      <c r="P142" s="178"/>
      <c r="Q142" s="206"/>
      <c r="R142" s="206"/>
      <c r="S142" s="206"/>
      <c r="CP142" s="177"/>
      <c r="CQ142" s="177"/>
      <c r="CR142" s="177"/>
      <c r="CS142" s="177"/>
      <c r="CT142" s="177"/>
      <c r="CU142" s="177"/>
      <c r="CV142" s="180"/>
      <c r="CW142" s="179"/>
      <c r="CX142" s="836"/>
      <c r="CY142" s="836"/>
      <c r="CZ142" s="836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</row>
    <row r="143" spans="3:115" s="176" customFormat="1" x14ac:dyDescent="0.2">
      <c r="P143" s="178"/>
      <c r="Q143" s="206"/>
      <c r="R143" s="206"/>
      <c r="S143" s="206"/>
      <c r="CP143" s="177"/>
      <c r="CQ143" s="177"/>
      <c r="CR143" s="177"/>
      <c r="CS143" s="177"/>
      <c r="CT143" s="177"/>
      <c r="CU143" s="177"/>
      <c r="CV143" s="180"/>
      <c r="CW143" s="179"/>
      <c r="CX143" s="836"/>
      <c r="CY143" s="836"/>
      <c r="CZ143" s="836"/>
      <c r="DA143" s="177"/>
      <c r="DB143" s="177"/>
      <c r="DC143" s="177"/>
      <c r="DD143" s="177"/>
      <c r="DE143" s="177"/>
      <c r="DF143" s="177"/>
      <c r="DG143" s="177"/>
      <c r="DH143" s="177"/>
      <c r="DI143" s="177"/>
      <c r="DJ143" s="177"/>
      <c r="DK143" s="177"/>
    </row>
    <row r="144" spans="3:115" s="176" customFormat="1" x14ac:dyDescent="0.2">
      <c r="P144" s="178"/>
      <c r="Q144" s="206"/>
      <c r="R144" s="206"/>
      <c r="S144" s="206"/>
      <c r="CP144" s="177"/>
      <c r="CQ144" s="177"/>
      <c r="CR144" s="177"/>
      <c r="CS144" s="177"/>
      <c r="CT144" s="177"/>
      <c r="CU144" s="177"/>
      <c r="CV144" s="180"/>
      <c r="CW144" s="179"/>
      <c r="CX144" s="836"/>
      <c r="CY144" s="836"/>
      <c r="CZ144" s="836"/>
      <c r="DA144" s="177"/>
      <c r="DB144" s="177"/>
      <c r="DC144" s="177"/>
      <c r="DD144" s="177"/>
      <c r="DE144" s="177"/>
      <c r="DF144" s="177"/>
      <c r="DG144" s="177"/>
      <c r="DH144" s="177"/>
      <c r="DI144" s="177"/>
      <c r="DJ144" s="177"/>
      <c r="DK144" s="177"/>
    </row>
    <row r="145" spans="16:115" s="176" customFormat="1" x14ac:dyDescent="0.2">
      <c r="P145" s="178"/>
      <c r="Q145" s="206"/>
      <c r="R145" s="206"/>
      <c r="S145" s="206"/>
      <c r="CP145" s="177"/>
      <c r="CQ145" s="177"/>
      <c r="CR145" s="177"/>
      <c r="CS145" s="177"/>
      <c r="CT145" s="177"/>
      <c r="CU145" s="177"/>
      <c r="CV145" s="180"/>
      <c r="CW145" s="179"/>
      <c r="CX145" s="836"/>
      <c r="CY145" s="836"/>
      <c r="CZ145" s="836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</row>
    <row r="146" spans="16:115" s="176" customFormat="1" x14ac:dyDescent="0.2">
      <c r="P146" s="178"/>
      <c r="Q146" s="206"/>
      <c r="R146" s="206"/>
      <c r="S146" s="206"/>
      <c r="CP146" s="177"/>
      <c r="CQ146" s="177"/>
      <c r="CR146" s="177"/>
      <c r="CS146" s="177"/>
      <c r="CT146" s="177"/>
      <c r="CU146" s="177"/>
      <c r="CV146" s="180"/>
      <c r="CW146" s="179"/>
      <c r="CX146" s="836"/>
      <c r="CY146" s="836"/>
      <c r="CZ146" s="836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</row>
    <row r="147" spans="16:115" s="176" customFormat="1" x14ac:dyDescent="0.2">
      <c r="P147" s="178"/>
      <c r="Q147" s="206"/>
      <c r="R147" s="206"/>
      <c r="S147" s="206"/>
      <c r="CP147" s="177"/>
      <c r="CQ147" s="177"/>
      <c r="CR147" s="177"/>
      <c r="CS147" s="177"/>
      <c r="CT147" s="177"/>
      <c r="CU147" s="177"/>
      <c r="CV147" s="180"/>
      <c r="CW147" s="179"/>
      <c r="CX147" s="836"/>
      <c r="CY147" s="836"/>
      <c r="CZ147" s="836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</row>
    <row r="148" spans="16:115" s="176" customFormat="1" x14ac:dyDescent="0.2">
      <c r="P148" s="178"/>
      <c r="Q148" s="206"/>
      <c r="R148" s="206"/>
      <c r="S148" s="206"/>
      <c r="CP148" s="177"/>
      <c r="CQ148" s="177"/>
      <c r="CR148" s="177"/>
      <c r="CS148" s="177"/>
      <c r="CT148" s="177"/>
      <c r="CU148" s="177"/>
      <c r="CV148" s="180"/>
      <c r="CW148" s="179"/>
      <c r="CX148" s="836"/>
      <c r="CY148" s="836"/>
      <c r="CZ148" s="836"/>
      <c r="DA148" s="177"/>
      <c r="DB148" s="177"/>
      <c r="DC148" s="177"/>
      <c r="DD148" s="177"/>
      <c r="DE148" s="177"/>
      <c r="DF148" s="177"/>
      <c r="DG148" s="177"/>
      <c r="DH148" s="177"/>
      <c r="DI148" s="177"/>
      <c r="DJ148" s="177"/>
      <c r="DK148" s="177"/>
    </row>
    <row r="149" spans="16:115" s="176" customFormat="1" x14ac:dyDescent="0.2">
      <c r="P149" s="178"/>
      <c r="Q149" s="206"/>
      <c r="R149" s="206"/>
      <c r="S149" s="206"/>
      <c r="CP149" s="177"/>
      <c r="CQ149" s="177"/>
      <c r="CR149" s="177"/>
      <c r="CS149" s="177"/>
      <c r="CT149" s="177"/>
      <c r="CU149" s="177"/>
      <c r="CV149" s="180"/>
      <c r="CW149" s="179"/>
      <c r="CX149" s="836"/>
      <c r="CY149" s="836"/>
      <c r="CZ149" s="836"/>
      <c r="DA149" s="177"/>
      <c r="DB149" s="177"/>
      <c r="DC149" s="177"/>
      <c r="DD149" s="177"/>
      <c r="DE149" s="177"/>
      <c r="DF149" s="177"/>
      <c r="DG149" s="177"/>
      <c r="DH149" s="177"/>
      <c r="DI149" s="177"/>
      <c r="DJ149" s="177"/>
      <c r="DK149" s="177"/>
    </row>
    <row r="150" spans="16:115" s="176" customFormat="1" x14ac:dyDescent="0.2">
      <c r="P150" s="178"/>
      <c r="Q150" s="206"/>
      <c r="R150" s="206"/>
      <c r="S150" s="206"/>
      <c r="CP150" s="177"/>
      <c r="CQ150" s="177"/>
      <c r="CR150" s="177"/>
      <c r="CS150" s="177"/>
      <c r="CT150" s="177"/>
      <c r="CU150" s="177"/>
      <c r="CV150" s="180"/>
      <c r="CW150" s="179"/>
      <c r="CX150" s="836"/>
      <c r="CY150" s="836"/>
      <c r="CZ150" s="836"/>
      <c r="DA150" s="177"/>
      <c r="DB150" s="177"/>
      <c r="DC150" s="177"/>
      <c r="DD150" s="177"/>
      <c r="DE150" s="177"/>
      <c r="DF150" s="177"/>
      <c r="DG150" s="177"/>
      <c r="DH150" s="177"/>
      <c r="DI150" s="177"/>
      <c r="DJ150" s="177"/>
      <c r="DK150" s="177"/>
    </row>
    <row r="151" spans="16:115" s="176" customFormat="1" x14ac:dyDescent="0.2">
      <c r="P151" s="178"/>
      <c r="Q151" s="206"/>
      <c r="R151" s="206"/>
      <c r="S151" s="206"/>
      <c r="CP151" s="177"/>
      <c r="CQ151" s="177"/>
      <c r="CR151" s="177"/>
      <c r="CS151" s="177"/>
      <c r="CT151" s="177"/>
      <c r="CU151" s="177"/>
      <c r="CV151" s="180"/>
      <c r="CW151" s="179"/>
      <c r="CX151" s="836"/>
      <c r="CY151" s="836"/>
      <c r="CZ151" s="836"/>
      <c r="DA151" s="177"/>
      <c r="DB151" s="177"/>
      <c r="DC151" s="177"/>
      <c r="DD151" s="177"/>
      <c r="DE151" s="177"/>
      <c r="DF151" s="177"/>
      <c r="DG151" s="177"/>
      <c r="DH151" s="177"/>
      <c r="DI151" s="177"/>
      <c r="DJ151" s="177"/>
      <c r="DK151" s="177"/>
    </row>
    <row r="152" spans="16:115" s="176" customFormat="1" x14ac:dyDescent="0.2">
      <c r="P152" s="178"/>
      <c r="Q152" s="206"/>
      <c r="R152" s="206"/>
      <c r="S152" s="206"/>
      <c r="CP152" s="177"/>
      <c r="CQ152" s="177"/>
      <c r="CR152" s="177"/>
      <c r="CS152" s="177"/>
      <c r="CT152" s="177"/>
      <c r="CU152" s="177"/>
      <c r="CV152" s="180"/>
      <c r="CW152" s="179"/>
      <c r="CX152" s="836"/>
      <c r="CY152" s="836"/>
      <c r="CZ152" s="836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</row>
    <row r="153" spans="16:115" s="176" customFormat="1" x14ac:dyDescent="0.2">
      <c r="P153" s="178"/>
      <c r="Q153" s="206"/>
      <c r="R153" s="206"/>
      <c r="S153" s="206"/>
      <c r="CP153" s="177"/>
      <c r="CQ153" s="177"/>
      <c r="CR153" s="177"/>
      <c r="CS153" s="177"/>
      <c r="CT153" s="177"/>
      <c r="CU153" s="177"/>
      <c r="CV153" s="180"/>
      <c r="CW153" s="179"/>
      <c r="CX153" s="836"/>
      <c r="CY153" s="836"/>
      <c r="CZ153" s="836"/>
      <c r="DA153" s="177"/>
      <c r="DB153" s="177"/>
      <c r="DC153" s="177"/>
      <c r="DD153" s="177"/>
      <c r="DE153" s="177"/>
      <c r="DF153" s="177"/>
      <c r="DG153" s="177"/>
      <c r="DH153" s="177"/>
      <c r="DI153" s="177"/>
      <c r="DJ153" s="177"/>
      <c r="DK153" s="177"/>
    </row>
    <row r="154" spans="16:115" s="176" customFormat="1" x14ac:dyDescent="0.2">
      <c r="P154" s="178"/>
      <c r="Q154" s="206"/>
      <c r="R154" s="206"/>
      <c r="S154" s="206"/>
      <c r="CP154" s="177"/>
      <c r="CQ154" s="177"/>
      <c r="CR154" s="177"/>
      <c r="CS154" s="177"/>
      <c r="CT154" s="177"/>
      <c r="CU154" s="177"/>
      <c r="CV154" s="180"/>
      <c r="CW154" s="179"/>
      <c r="CX154" s="836"/>
      <c r="CY154" s="836"/>
      <c r="CZ154" s="836"/>
      <c r="DA154" s="177"/>
      <c r="DB154" s="177"/>
      <c r="DC154" s="177"/>
      <c r="DD154" s="177"/>
      <c r="DE154" s="177"/>
      <c r="DF154" s="177"/>
      <c r="DG154" s="177"/>
      <c r="DH154" s="177"/>
      <c r="DI154" s="177"/>
      <c r="DJ154" s="177"/>
      <c r="DK154" s="177"/>
    </row>
    <row r="155" spans="16:115" s="176" customFormat="1" x14ac:dyDescent="0.2">
      <c r="P155" s="178"/>
      <c r="Q155" s="206"/>
      <c r="R155" s="206"/>
      <c r="S155" s="206"/>
      <c r="CP155" s="177"/>
      <c r="CQ155" s="177"/>
      <c r="CR155" s="177"/>
      <c r="CS155" s="177"/>
      <c r="CT155" s="177"/>
      <c r="CU155" s="177"/>
      <c r="CV155" s="180"/>
      <c r="CW155" s="179"/>
      <c r="CX155" s="836"/>
      <c r="CY155" s="836"/>
      <c r="CZ155" s="836"/>
      <c r="DA155" s="177"/>
      <c r="DB155" s="177"/>
      <c r="DC155" s="177"/>
      <c r="DD155" s="177"/>
      <c r="DE155" s="177"/>
      <c r="DF155" s="177"/>
      <c r="DG155" s="177"/>
      <c r="DH155" s="177"/>
      <c r="DI155" s="177"/>
      <c r="DJ155" s="177"/>
      <c r="DK155" s="177"/>
    </row>
    <row r="156" spans="16:115" s="176" customFormat="1" x14ac:dyDescent="0.2">
      <c r="P156" s="178"/>
      <c r="Q156" s="206"/>
      <c r="R156" s="206"/>
      <c r="S156" s="206"/>
      <c r="CP156" s="177"/>
      <c r="CQ156" s="177"/>
      <c r="CR156" s="177"/>
      <c r="CS156" s="177"/>
      <c r="CT156" s="177"/>
      <c r="CU156" s="177"/>
      <c r="CV156" s="180"/>
      <c r="CW156" s="179"/>
      <c r="CX156" s="836"/>
      <c r="CY156" s="836"/>
      <c r="CZ156" s="836"/>
      <c r="DA156" s="177"/>
      <c r="DB156" s="177"/>
      <c r="DC156" s="177"/>
      <c r="DD156" s="177"/>
      <c r="DE156" s="177"/>
      <c r="DF156" s="177"/>
      <c r="DG156" s="177"/>
      <c r="DH156" s="177"/>
      <c r="DI156" s="177"/>
      <c r="DJ156" s="177"/>
      <c r="DK156" s="177"/>
    </row>
    <row r="157" spans="16:115" s="176" customFormat="1" x14ac:dyDescent="0.2">
      <c r="P157" s="178"/>
      <c r="Q157" s="206"/>
      <c r="R157" s="206"/>
      <c r="S157" s="206"/>
      <c r="CP157" s="177"/>
      <c r="CQ157" s="177"/>
      <c r="CR157" s="177"/>
      <c r="CS157" s="177"/>
      <c r="CT157" s="177"/>
      <c r="CU157" s="177"/>
      <c r="CV157" s="180"/>
      <c r="CW157" s="179"/>
      <c r="CX157" s="836"/>
      <c r="CY157" s="836"/>
      <c r="CZ157" s="836"/>
      <c r="DA157" s="177"/>
      <c r="DB157" s="177"/>
      <c r="DC157" s="177"/>
      <c r="DD157" s="177"/>
      <c r="DE157" s="177"/>
      <c r="DF157" s="177"/>
      <c r="DG157" s="177"/>
      <c r="DH157" s="177"/>
      <c r="DI157" s="177"/>
      <c r="DJ157" s="177"/>
      <c r="DK157" s="177"/>
    </row>
    <row r="158" spans="16:115" s="176" customFormat="1" x14ac:dyDescent="0.2">
      <c r="P158" s="178"/>
      <c r="Q158" s="206"/>
      <c r="R158" s="206"/>
      <c r="S158" s="206"/>
      <c r="CP158" s="177"/>
      <c r="CQ158" s="177"/>
      <c r="CR158" s="177"/>
      <c r="CS158" s="177"/>
      <c r="CT158" s="177"/>
      <c r="CU158" s="177"/>
      <c r="CV158" s="180"/>
      <c r="CW158" s="179"/>
      <c r="CX158" s="836"/>
      <c r="CY158" s="836"/>
      <c r="CZ158" s="836"/>
      <c r="DA158" s="177"/>
      <c r="DB158" s="177"/>
      <c r="DC158" s="177"/>
      <c r="DD158" s="177"/>
      <c r="DE158" s="177"/>
      <c r="DF158" s="177"/>
      <c r="DG158" s="177"/>
      <c r="DH158" s="177"/>
      <c r="DI158" s="177"/>
      <c r="DJ158" s="177"/>
      <c r="DK158" s="177"/>
    </row>
    <row r="159" spans="16:115" s="176" customFormat="1" x14ac:dyDescent="0.2">
      <c r="P159" s="178"/>
      <c r="Q159" s="206"/>
      <c r="R159" s="206"/>
      <c r="S159" s="206"/>
      <c r="CP159" s="177"/>
      <c r="CQ159" s="177"/>
      <c r="CR159" s="177"/>
      <c r="CS159" s="177"/>
      <c r="CT159" s="177"/>
      <c r="CU159" s="177"/>
      <c r="CV159" s="180"/>
      <c r="CW159" s="179"/>
      <c r="CX159" s="836"/>
      <c r="CY159" s="836"/>
      <c r="CZ159" s="836"/>
      <c r="DA159" s="177"/>
      <c r="DB159" s="177"/>
      <c r="DC159" s="177"/>
      <c r="DD159" s="177"/>
      <c r="DE159" s="177"/>
      <c r="DF159" s="177"/>
      <c r="DG159" s="177"/>
      <c r="DH159" s="177"/>
      <c r="DI159" s="177"/>
      <c r="DJ159" s="177"/>
      <c r="DK159" s="177"/>
    </row>
    <row r="160" spans="16:115" s="176" customFormat="1" x14ac:dyDescent="0.2">
      <c r="P160" s="178"/>
      <c r="Q160" s="206"/>
      <c r="R160" s="206"/>
      <c r="S160" s="206"/>
      <c r="CP160" s="177"/>
      <c r="CQ160" s="177"/>
      <c r="CR160" s="177"/>
      <c r="CS160" s="177"/>
      <c r="CT160" s="177"/>
      <c r="CU160" s="177"/>
      <c r="CV160" s="180"/>
      <c r="CW160" s="179"/>
      <c r="CX160" s="836"/>
      <c r="CY160" s="836"/>
      <c r="CZ160" s="836"/>
      <c r="DA160" s="177"/>
      <c r="DB160" s="177"/>
      <c r="DC160" s="177"/>
      <c r="DD160" s="177"/>
      <c r="DE160" s="177"/>
      <c r="DF160" s="177"/>
      <c r="DG160" s="177"/>
      <c r="DH160" s="177"/>
      <c r="DI160" s="177"/>
      <c r="DJ160" s="177"/>
      <c r="DK160" s="177"/>
    </row>
    <row r="161" spans="16:115" s="176" customFormat="1" x14ac:dyDescent="0.2">
      <c r="P161" s="178"/>
      <c r="Q161" s="206"/>
      <c r="R161" s="206"/>
      <c r="S161" s="206"/>
      <c r="CP161" s="177"/>
      <c r="CQ161" s="177"/>
      <c r="CR161" s="177"/>
      <c r="CS161" s="177"/>
      <c r="CT161" s="177"/>
      <c r="CU161" s="177"/>
      <c r="CV161" s="180"/>
      <c r="CW161" s="179"/>
      <c r="CX161" s="836"/>
      <c r="CY161" s="836"/>
      <c r="CZ161" s="836"/>
      <c r="DA161" s="177"/>
      <c r="DB161" s="177"/>
      <c r="DC161" s="177"/>
      <c r="DD161" s="177"/>
      <c r="DE161" s="177"/>
      <c r="DF161" s="177"/>
      <c r="DG161" s="177"/>
      <c r="DH161" s="177"/>
      <c r="DI161" s="177"/>
      <c r="DJ161" s="177"/>
      <c r="DK161" s="177"/>
    </row>
    <row r="162" spans="16:115" s="176" customFormat="1" x14ac:dyDescent="0.2">
      <c r="P162" s="178"/>
      <c r="Q162" s="206"/>
      <c r="R162" s="206"/>
      <c r="S162" s="206"/>
      <c r="CP162" s="177"/>
      <c r="CQ162" s="177"/>
      <c r="CR162" s="177"/>
      <c r="CS162" s="177"/>
      <c r="CT162" s="177"/>
      <c r="CU162" s="177"/>
      <c r="CV162" s="180"/>
      <c r="CW162" s="179"/>
      <c r="CX162" s="836"/>
      <c r="CY162" s="836"/>
      <c r="CZ162" s="836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</row>
    <row r="163" spans="16:115" s="176" customFormat="1" x14ac:dyDescent="0.2">
      <c r="P163" s="178"/>
      <c r="Q163" s="206"/>
      <c r="R163" s="206"/>
      <c r="S163" s="206"/>
      <c r="CP163" s="177"/>
      <c r="CQ163" s="177"/>
      <c r="CR163" s="177"/>
      <c r="CS163" s="177"/>
      <c r="CT163" s="177"/>
      <c r="CU163" s="177"/>
      <c r="CV163" s="180"/>
      <c r="CW163" s="179"/>
      <c r="CX163" s="836"/>
      <c r="CY163" s="836"/>
      <c r="CZ163" s="836"/>
      <c r="DA163" s="177"/>
      <c r="DB163" s="177"/>
      <c r="DC163" s="177"/>
      <c r="DD163" s="177"/>
      <c r="DE163" s="177"/>
      <c r="DF163" s="177"/>
      <c r="DG163" s="177"/>
      <c r="DH163" s="177"/>
      <c r="DI163" s="177"/>
      <c r="DJ163" s="177"/>
      <c r="DK163" s="177"/>
    </row>
    <row r="164" spans="16:115" s="176" customFormat="1" x14ac:dyDescent="0.2">
      <c r="P164" s="178"/>
      <c r="Q164" s="206"/>
      <c r="R164" s="206"/>
      <c r="S164" s="206"/>
      <c r="CP164" s="177"/>
      <c r="CQ164" s="177"/>
      <c r="CR164" s="177"/>
      <c r="CS164" s="177"/>
      <c r="CT164" s="177"/>
      <c r="CU164" s="177"/>
      <c r="CV164" s="180"/>
      <c r="CW164" s="179"/>
      <c r="CX164" s="836"/>
      <c r="CY164" s="836"/>
      <c r="CZ164" s="836"/>
      <c r="DA164" s="177"/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7"/>
    </row>
    <row r="165" spans="16:115" s="176" customFormat="1" x14ac:dyDescent="0.2">
      <c r="P165" s="178"/>
      <c r="Q165" s="206"/>
      <c r="R165" s="206"/>
      <c r="S165" s="206"/>
      <c r="CP165" s="177"/>
      <c r="CQ165" s="177"/>
      <c r="CR165" s="177"/>
      <c r="CS165" s="177"/>
      <c r="CT165" s="177"/>
      <c r="CU165" s="177"/>
      <c r="CV165" s="180"/>
      <c r="CW165" s="179"/>
      <c r="CX165" s="836"/>
      <c r="CY165" s="836"/>
      <c r="CZ165" s="836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</row>
    <row r="166" spans="16:115" s="176" customFormat="1" x14ac:dyDescent="0.2">
      <c r="P166" s="178"/>
      <c r="Q166" s="206"/>
      <c r="R166" s="206"/>
      <c r="S166" s="206"/>
      <c r="CP166" s="177"/>
      <c r="CQ166" s="177"/>
      <c r="CR166" s="177"/>
      <c r="CS166" s="177"/>
      <c r="CT166" s="177"/>
      <c r="CU166" s="177"/>
      <c r="CV166" s="180"/>
      <c r="CW166" s="179"/>
      <c r="CX166" s="836"/>
      <c r="CY166" s="836"/>
      <c r="CZ166" s="836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</row>
    <row r="167" spans="16:115" s="176" customFormat="1" x14ac:dyDescent="0.2">
      <c r="P167" s="178"/>
      <c r="Q167" s="206"/>
      <c r="R167" s="206"/>
      <c r="S167" s="206"/>
      <c r="CP167" s="177"/>
      <c r="CQ167" s="177"/>
      <c r="CR167" s="177"/>
      <c r="CS167" s="177"/>
      <c r="CT167" s="177"/>
      <c r="CU167" s="177"/>
      <c r="CV167" s="180"/>
      <c r="CW167" s="179"/>
      <c r="CX167" s="836"/>
      <c r="CY167" s="836"/>
      <c r="CZ167" s="836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</row>
    <row r="168" spans="16:115" s="176" customFormat="1" x14ac:dyDescent="0.2">
      <c r="P168" s="178"/>
      <c r="Q168" s="206"/>
      <c r="R168" s="206"/>
      <c r="S168" s="206"/>
      <c r="CP168" s="177"/>
      <c r="CQ168" s="177"/>
      <c r="CR168" s="177"/>
      <c r="CS168" s="177"/>
      <c r="CT168" s="177"/>
      <c r="CU168" s="177"/>
      <c r="CV168" s="180"/>
      <c r="CW168" s="179"/>
      <c r="CX168" s="836"/>
      <c r="CY168" s="836"/>
      <c r="CZ168" s="836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</row>
    <row r="169" spans="16:115" s="176" customFormat="1" x14ac:dyDescent="0.2">
      <c r="P169" s="178"/>
      <c r="Q169" s="206"/>
      <c r="R169" s="206"/>
      <c r="S169" s="206"/>
      <c r="CP169" s="177"/>
      <c r="CQ169" s="177"/>
      <c r="CR169" s="177"/>
      <c r="CS169" s="177"/>
      <c r="CT169" s="177"/>
      <c r="CU169" s="177"/>
      <c r="CV169" s="180"/>
      <c r="CW169" s="179"/>
      <c r="CX169" s="836"/>
      <c r="CY169" s="836"/>
      <c r="CZ169" s="836"/>
      <c r="DA169" s="177"/>
      <c r="DB169" s="177"/>
      <c r="DC169" s="177"/>
      <c r="DD169" s="177"/>
      <c r="DE169" s="177"/>
      <c r="DF169" s="177"/>
      <c r="DG169" s="177"/>
      <c r="DH169" s="177"/>
      <c r="DI169" s="177"/>
      <c r="DJ169" s="177"/>
      <c r="DK169" s="177"/>
    </row>
    <row r="170" spans="16:115" s="176" customFormat="1" x14ac:dyDescent="0.2">
      <c r="P170" s="178"/>
      <c r="Q170" s="206"/>
      <c r="R170" s="206"/>
      <c r="S170" s="206"/>
      <c r="CP170" s="177"/>
      <c r="CQ170" s="177"/>
      <c r="CR170" s="177"/>
      <c r="CS170" s="177"/>
      <c r="CT170" s="177"/>
      <c r="CU170" s="177"/>
      <c r="CV170" s="180"/>
      <c r="CW170" s="179"/>
      <c r="CX170" s="836"/>
      <c r="CY170" s="836"/>
      <c r="CZ170" s="836"/>
      <c r="DA170" s="177"/>
      <c r="DB170" s="177"/>
      <c r="DC170" s="177"/>
      <c r="DD170" s="177"/>
      <c r="DE170" s="177"/>
      <c r="DF170" s="177"/>
      <c r="DG170" s="177"/>
      <c r="DH170" s="177"/>
      <c r="DI170" s="177"/>
      <c r="DJ170" s="177"/>
      <c r="DK170" s="177"/>
    </row>
    <row r="171" spans="16:115" s="176" customFormat="1" x14ac:dyDescent="0.2">
      <c r="P171" s="178"/>
      <c r="Q171" s="206"/>
      <c r="R171" s="206"/>
      <c r="S171" s="206"/>
      <c r="CP171" s="177"/>
      <c r="CQ171" s="177"/>
      <c r="CR171" s="177"/>
      <c r="CS171" s="177"/>
      <c r="CT171" s="177"/>
      <c r="CU171" s="177"/>
      <c r="CV171" s="180"/>
      <c r="CW171" s="179"/>
      <c r="CX171" s="836"/>
      <c r="CY171" s="836"/>
      <c r="CZ171" s="836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</row>
    <row r="172" spans="16:115" s="176" customFormat="1" x14ac:dyDescent="0.2">
      <c r="P172" s="178"/>
      <c r="Q172" s="206"/>
      <c r="R172" s="206"/>
      <c r="S172" s="206"/>
      <c r="CP172" s="177"/>
      <c r="CQ172" s="177"/>
      <c r="CR172" s="177"/>
      <c r="CS172" s="177"/>
      <c r="CT172" s="177"/>
      <c r="CU172" s="177"/>
      <c r="CV172" s="180"/>
      <c r="CW172" s="179"/>
      <c r="CX172" s="836"/>
      <c r="CY172" s="836"/>
      <c r="CZ172" s="836"/>
      <c r="DA172" s="177"/>
      <c r="DB172" s="177"/>
      <c r="DC172" s="177"/>
      <c r="DD172" s="177"/>
      <c r="DE172" s="177"/>
      <c r="DF172" s="177"/>
      <c r="DG172" s="177"/>
      <c r="DH172" s="177"/>
      <c r="DI172" s="177"/>
      <c r="DJ172" s="177"/>
      <c r="DK172" s="177"/>
    </row>
    <row r="173" spans="16:115" s="176" customFormat="1" x14ac:dyDescent="0.2">
      <c r="P173" s="178"/>
      <c r="Q173" s="206"/>
      <c r="R173" s="206"/>
      <c r="S173" s="206"/>
      <c r="CP173" s="177"/>
      <c r="CQ173" s="177"/>
      <c r="CR173" s="177"/>
      <c r="CS173" s="177"/>
      <c r="CT173" s="177"/>
      <c r="CU173" s="177"/>
      <c r="CV173" s="180"/>
      <c r="CW173" s="179"/>
      <c r="CX173" s="836"/>
      <c r="CY173" s="836"/>
      <c r="CZ173" s="836"/>
      <c r="DA173" s="177"/>
      <c r="DB173" s="177"/>
      <c r="DC173" s="177"/>
      <c r="DD173" s="177"/>
      <c r="DE173" s="177"/>
      <c r="DF173" s="177"/>
      <c r="DG173" s="177"/>
      <c r="DH173" s="177"/>
      <c r="DI173" s="177"/>
      <c r="DJ173" s="177"/>
      <c r="DK173" s="177"/>
    </row>
    <row r="174" spans="16:115" s="176" customFormat="1" x14ac:dyDescent="0.2">
      <c r="P174" s="178"/>
      <c r="Q174" s="206"/>
      <c r="R174" s="206"/>
      <c r="S174" s="206"/>
      <c r="CP174" s="177"/>
      <c r="CQ174" s="177"/>
      <c r="CR174" s="177"/>
      <c r="CS174" s="177"/>
      <c r="CT174" s="177"/>
      <c r="CU174" s="177"/>
      <c r="CV174" s="180"/>
      <c r="CW174" s="179"/>
      <c r="CX174" s="836"/>
      <c r="CY174" s="836"/>
      <c r="CZ174" s="836"/>
      <c r="DA174" s="177"/>
      <c r="DB174" s="177"/>
      <c r="DC174" s="177"/>
      <c r="DD174" s="177"/>
      <c r="DE174" s="177"/>
      <c r="DF174" s="177"/>
      <c r="DG174" s="177"/>
      <c r="DH174" s="177"/>
      <c r="DI174" s="177"/>
      <c r="DJ174" s="177"/>
      <c r="DK174" s="177"/>
    </row>
    <row r="175" spans="16:115" s="176" customFormat="1" x14ac:dyDescent="0.2">
      <c r="P175" s="178"/>
      <c r="Q175" s="206"/>
      <c r="R175" s="206"/>
      <c r="S175" s="206"/>
      <c r="CP175" s="177"/>
      <c r="CQ175" s="177"/>
      <c r="CR175" s="177"/>
      <c r="CS175" s="177"/>
      <c r="CT175" s="177"/>
      <c r="CU175" s="177"/>
      <c r="CV175" s="180"/>
      <c r="CW175" s="179"/>
      <c r="CX175" s="836"/>
      <c r="CY175" s="836"/>
      <c r="CZ175" s="836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</row>
    <row r="176" spans="16:115" s="176" customFormat="1" x14ac:dyDescent="0.2">
      <c r="P176" s="178"/>
      <c r="Q176" s="206"/>
      <c r="R176" s="206"/>
      <c r="S176" s="206"/>
      <c r="CP176" s="177"/>
      <c r="CQ176" s="177"/>
      <c r="CR176" s="177"/>
      <c r="CS176" s="177"/>
      <c r="CT176" s="177"/>
      <c r="CU176" s="177"/>
      <c r="CV176" s="180"/>
      <c r="CW176" s="179"/>
      <c r="CX176" s="836"/>
      <c r="CY176" s="836"/>
      <c r="CZ176" s="836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</row>
    <row r="177" spans="16:115" s="176" customFormat="1" x14ac:dyDescent="0.2">
      <c r="P177" s="178"/>
      <c r="Q177" s="206"/>
      <c r="R177" s="206"/>
      <c r="S177" s="206"/>
      <c r="CP177" s="177"/>
      <c r="CQ177" s="177"/>
      <c r="CR177" s="177"/>
      <c r="CS177" s="177"/>
      <c r="CT177" s="177"/>
      <c r="CU177" s="177"/>
      <c r="CV177" s="180"/>
      <c r="CW177" s="179"/>
      <c r="CX177" s="836"/>
      <c r="CY177" s="836"/>
      <c r="CZ177" s="836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</row>
    <row r="178" spans="16:115" s="176" customFormat="1" x14ac:dyDescent="0.2">
      <c r="P178" s="178"/>
      <c r="Q178" s="206"/>
      <c r="R178" s="206"/>
      <c r="S178" s="206"/>
      <c r="CP178" s="177"/>
      <c r="CQ178" s="177"/>
      <c r="CR178" s="177"/>
      <c r="CS178" s="177"/>
      <c r="CT178" s="177"/>
      <c r="CU178" s="177"/>
      <c r="CV178" s="180"/>
      <c r="CW178" s="179"/>
      <c r="CX178" s="836"/>
      <c r="CY178" s="836"/>
      <c r="CZ178" s="836"/>
      <c r="DA178" s="177"/>
      <c r="DB178" s="177"/>
      <c r="DC178" s="177"/>
      <c r="DD178" s="177"/>
      <c r="DE178" s="177"/>
      <c r="DF178" s="177"/>
      <c r="DG178" s="177"/>
      <c r="DH178" s="177"/>
      <c r="DI178" s="177"/>
      <c r="DJ178" s="177"/>
      <c r="DK178" s="177"/>
    </row>
    <row r="179" spans="16:115" s="176" customFormat="1" x14ac:dyDescent="0.2">
      <c r="P179" s="178"/>
      <c r="Q179" s="206"/>
      <c r="R179" s="206"/>
      <c r="S179" s="206"/>
      <c r="CP179" s="177"/>
      <c r="CQ179" s="177"/>
      <c r="CR179" s="177"/>
      <c r="CS179" s="177"/>
      <c r="CT179" s="177"/>
      <c r="CU179" s="177"/>
      <c r="CV179" s="180"/>
      <c r="CW179" s="179"/>
      <c r="CX179" s="836"/>
      <c r="CY179" s="836"/>
      <c r="CZ179" s="836"/>
      <c r="DA179" s="177"/>
      <c r="DB179" s="177"/>
      <c r="DC179" s="177"/>
      <c r="DD179" s="177"/>
      <c r="DE179" s="177"/>
      <c r="DF179" s="177"/>
      <c r="DG179" s="177"/>
      <c r="DH179" s="177"/>
      <c r="DI179" s="177"/>
      <c r="DJ179" s="177"/>
      <c r="DK179" s="177"/>
    </row>
    <row r="180" spans="16:115" s="176" customFormat="1" x14ac:dyDescent="0.2">
      <c r="P180" s="178"/>
      <c r="Q180" s="206"/>
      <c r="R180" s="206"/>
      <c r="S180" s="206"/>
      <c r="CP180" s="177"/>
      <c r="CQ180" s="177"/>
      <c r="CR180" s="177"/>
      <c r="CS180" s="177"/>
      <c r="CT180" s="177"/>
      <c r="CU180" s="177"/>
      <c r="CV180" s="180"/>
      <c r="CW180" s="179"/>
      <c r="CX180" s="836"/>
      <c r="CY180" s="836"/>
      <c r="CZ180" s="836"/>
      <c r="DA180" s="177"/>
      <c r="DB180" s="177"/>
      <c r="DC180" s="177"/>
      <c r="DD180" s="177"/>
      <c r="DE180" s="177"/>
      <c r="DF180" s="177"/>
      <c r="DG180" s="177"/>
      <c r="DH180" s="177"/>
      <c r="DI180" s="177"/>
      <c r="DJ180" s="177"/>
      <c r="DK180" s="177"/>
    </row>
    <row r="181" spans="16:115" s="176" customFormat="1" x14ac:dyDescent="0.2">
      <c r="P181" s="178"/>
      <c r="Q181" s="206"/>
      <c r="R181" s="206"/>
      <c r="S181" s="206"/>
      <c r="CP181" s="177"/>
      <c r="CQ181" s="177"/>
      <c r="CR181" s="177"/>
      <c r="CS181" s="177"/>
      <c r="CT181" s="177"/>
      <c r="CU181" s="177"/>
      <c r="CV181" s="180"/>
      <c r="CW181" s="179"/>
      <c r="CX181" s="836"/>
      <c r="CY181" s="836"/>
      <c r="CZ181" s="836"/>
      <c r="DA181" s="177"/>
      <c r="DB181" s="177"/>
      <c r="DC181" s="177"/>
      <c r="DD181" s="177"/>
      <c r="DE181" s="177"/>
      <c r="DF181" s="177"/>
      <c r="DG181" s="177"/>
      <c r="DH181" s="177"/>
      <c r="DI181" s="177"/>
      <c r="DJ181" s="177"/>
      <c r="DK181" s="177"/>
    </row>
    <row r="182" spans="16:115" s="176" customFormat="1" x14ac:dyDescent="0.2">
      <c r="P182" s="178"/>
      <c r="Q182" s="206"/>
      <c r="R182" s="206"/>
      <c r="S182" s="206"/>
      <c r="CP182" s="177"/>
      <c r="CQ182" s="177"/>
      <c r="CR182" s="177"/>
      <c r="CS182" s="177"/>
      <c r="CT182" s="177"/>
      <c r="CU182" s="177"/>
      <c r="CV182" s="180"/>
      <c r="CW182" s="179"/>
      <c r="CX182" s="836"/>
      <c r="CY182" s="836"/>
      <c r="CZ182" s="836"/>
      <c r="DA182" s="177"/>
      <c r="DB182" s="177"/>
      <c r="DC182" s="177"/>
      <c r="DD182" s="177"/>
      <c r="DE182" s="177"/>
      <c r="DF182" s="177"/>
      <c r="DG182" s="177"/>
      <c r="DH182" s="177"/>
      <c r="DI182" s="177"/>
      <c r="DJ182" s="177"/>
      <c r="DK182" s="177"/>
    </row>
    <row r="183" spans="16:115" s="176" customFormat="1" x14ac:dyDescent="0.2">
      <c r="P183" s="178"/>
      <c r="Q183" s="206"/>
      <c r="R183" s="206"/>
      <c r="S183" s="206"/>
      <c r="CP183" s="177"/>
      <c r="CQ183" s="177"/>
      <c r="CR183" s="177"/>
      <c r="CS183" s="177"/>
      <c r="CT183" s="177"/>
      <c r="CU183" s="177"/>
      <c r="CV183" s="180"/>
      <c r="CW183" s="179"/>
      <c r="CX183" s="836"/>
      <c r="CY183" s="836"/>
      <c r="CZ183" s="836"/>
      <c r="DA183" s="177"/>
      <c r="DB183" s="177"/>
      <c r="DC183" s="177"/>
      <c r="DD183" s="177"/>
      <c r="DE183" s="177"/>
      <c r="DF183" s="177"/>
      <c r="DG183" s="177"/>
      <c r="DH183" s="177"/>
      <c r="DI183" s="177"/>
      <c r="DJ183" s="177"/>
      <c r="DK183" s="177"/>
    </row>
    <row r="184" spans="16:115" s="176" customFormat="1" x14ac:dyDescent="0.2">
      <c r="P184" s="178"/>
      <c r="Q184" s="206"/>
      <c r="R184" s="206"/>
      <c r="S184" s="206"/>
      <c r="CP184" s="177"/>
      <c r="CQ184" s="177"/>
      <c r="CR184" s="177"/>
      <c r="CS184" s="177"/>
      <c r="CT184" s="177"/>
      <c r="CU184" s="177"/>
      <c r="CV184" s="180"/>
      <c r="CW184" s="179"/>
      <c r="CX184" s="836"/>
      <c r="CY184" s="836"/>
      <c r="CZ184" s="836"/>
      <c r="DA184" s="177"/>
      <c r="DB184" s="177"/>
      <c r="DC184" s="177"/>
      <c r="DD184" s="177"/>
      <c r="DE184" s="177"/>
      <c r="DF184" s="177"/>
      <c r="DG184" s="177"/>
      <c r="DH184" s="177"/>
      <c r="DI184" s="177"/>
      <c r="DJ184" s="177"/>
      <c r="DK184" s="177"/>
    </row>
    <row r="185" spans="16:115" s="176" customFormat="1" x14ac:dyDescent="0.2">
      <c r="P185" s="178"/>
      <c r="Q185" s="206"/>
      <c r="R185" s="206"/>
      <c r="S185" s="206"/>
      <c r="CP185" s="177"/>
      <c r="CQ185" s="177"/>
      <c r="CR185" s="177"/>
      <c r="CS185" s="177"/>
      <c r="CT185" s="177"/>
      <c r="CU185" s="177"/>
      <c r="CV185" s="180"/>
      <c r="CW185" s="179"/>
      <c r="CX185" s="836"/>
      <c r="CY185" s="836"/>
      <c r="CZ185" s="836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</row>
    <row r="186" spans="16:115" s="176" customFormat="1" x14ac:dyDescent="0.2">
      <c r="P186" s="178"/>
      <c r="Q186" s="206"/>
      <c r="R186" s="206"/>
      <c r="S186" s="206"/>
      <c r="CP186" s="177"/>
      <c r="CQ186" s="177"/>
      <c r="CR186" s="177"/>
      <c r="CS186" s="177"/>
      <c r="CT186" s="177"/>
      <c r="CU186" s="177"/>
      <c r="CV186" s="180"/>
      <c r="CW186" s="179"/>
      <c r="CX186" s="836"/>
      <c r="CY186" s="836"/>
      <c r="CZ186" s="836"/>
      <c r="DA186" s="177"/>
      <c r="DB186" s="177"/>
      <c r="DC186" s="177"/>
      <c r="DD186" s="177"/>
      <c r="DE186" s="177"/>
      <c r="DF186" s="177"/>
      <c r="DG186" s="177"/>
      <c r="DH186" s="177"/>
      <c r="DI186" s="177"/>
      <c r="DJ186" s="177"/>
      <c r="DK186" s="177"/>
    </row>
    <row r="187" spans="16:115" s="176" customFormat="1" x14ac:dyDescent="0.2">
      <c r="P187" s="178"/>
      <c r="Q187" s="206"/>
      <c r="R187" s="206"/>
      <c r="S187" s="206"/>
      <c r="CP187" s="177"/>
      <c r="CQ187" s="177"/>
      <c r="CR187" s="177"/>
      <c r="CS187" s="177"/>
      <c r="CT187" s="177"/>
      <c r="CU187" s="177"/>
      <c r="CV187" s="180"/>
      <c r="CW187" s="179"/>
      <c r="CX187" s="836"/>
      <c r="CY187" s="836"/>
      <c r="CZ187" s="836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</row>
    <row r="188" spans="16:115" s="176" customFormat="1" x14ac:dyDescent="0.2">
      <c r="P188" s="178"/>
      <c r="Q188" s="206"/>
      <c r="R188" s="206"/>
      <c r="S188" s="206"/>
      <c r="CP188" s="177"/>
      <c r="CQ188" s="177"/>
      <c r="CR188" s="177"/>
      <c r="CS188" s="177"/>
      <c r="CT188" s="177"/>
      <c r="CU188" s="177"/>
      <c r="CV188" s="180"/>
      <c r="CW188" s="179"/>
      <c r="CX188" s="836"/>
      <c r="CY188" s="836"/>
      <c r="CZ188" s="836"/>
      <c r="DA188" s="177"/>
      <c r="DB188" s="177"/>
      <c r="DC188" s="177"/>
      <c r="DD188" s="177"/>
      <c r="DE188" s="177"/>
      <c r="DF188" s="177"/>
      <c r="DG188" s="177"/>
      <c r="DH188" s="177"/>
      <c r="DI188" s="177"/>
      <c r="DJ188" s="177"/>
      <c r="DK188" s="177"/>
    </row>
    <row r="189" spans="16:115" s="176" customFormat="1" x14ac:dyDescent="0.2">
      <c r="P189" s="178"/>
      <c r="Q189" s="206"/>
      <c r="R189" s="206"/>
      <c r="S189" s="206"/>
      <c r="CP189" s="177"/>
      <c r="CQ189" s="177"/>
      <c r="CR189" s="177"/>
      <c r="CS189" s="177"/>
      <c r="CT189" s="177"/>
      <c r="CU189" s="177"/>
      <c r="CV189" s="180"/>
      <c r="CW189" s="179"/>
      <c r="CX189" s="836"/>
      <c r="CY189" s="836"/>
      <c r="CZ189" s="836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</row>
    <row r="190" spans="16:115" s="176" customFormat="1" x14ac:dyDescent="0.2">
      <c r="P190" s="178"/>
      <c r="Q190" s="206"/>
      <c r="R190" s="206"/>
      <c r="S190" s="206"/>
      <c r="CP190" s="177"/>
      <c r="CQ190" s="177"/>
      <c r="CR190" s="177"/>
      <c r="CS190" s="177"/>
      <c r="CT190" s="177"/>
      <c r="CU190" s="177"/>
      <c r="CV190" s="180"/>
      <c r="CW190" s="179"/>
      <c r="CX190" s="836"/>
      <c r="CY190" s="836"/>
      <c r="CZ190" s="836"/>
      <c r="DA190" s="177"/>
      <c r="DB190" s="177"/>
      <c r="DC190" s="177"/>
      <c r="DD190" s="177"/>
      <c r="DE190" s="177"/>
      <c r="DF190" s="177"/>
      <c r="DG190" s="177"/>
      <c r="DH190" s="177"/>
      <c r="DI190" s="177"/>
      <c r="DJ190" s="177"/>
      <c r="DK190" s="177"/>
    </row>
    <row r="191" spans="16:115" s="176" customFormat="1" x14ac:dyDescent="0.2">
      <c r="P191" s="178"/>
      <c r="Q191" s="206"/>
      <c r="R191" s="206"/>
      <c r="S191" s="188"/>
      <c r="CP191" s="177"/>
      <c r="CQ191" s="177"/>
      <c r="CR191" s="177"/>
      <c r="CS191" s="177"/>
      <c r="CT191" s="177"/>
      <c r="CU191" s="177"/>
      <c r="CV191" s="180"/>
      <c r="CW191" s="179"/>
      <c r="CX191" s="836"/>
      <c r="CY191" s="836"/>
      <c r="CZ191" s="836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</row>
    <row r="192" spans="16:115" s="176" customFormat="1" x14ac:dyDescent="0.2">
      <c r="P192" s="178"/>
      <c r="Q192" s="206"/>
      <c r="R192" s="206"/>
      <c r="S192" s="188"/>
      <c r="CP192" s="177"/>
      <c r="CQ192" s="177"/>
      <c r="CR192" s="177"/>
      <c r="CS192" s="177"/>
      <c r="CT192" s="177"/>
      <c r="CU192" s="177"/>
      <c r="CV192" s="180"/>
      <c r="CW192" s="179"/>
      <c r="CX192" s="836"/>
      <c r="CY192" s="836"/>
      <c r="CZ192" s="836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</row>
    <row r="193" spans="16:115" s="176" customFormat="1" x14ac:dyDescent="0.2">
      <c r="P193" s="178"/>
      <c r="Q193" s="206"/>
      <c r="R193" s="206"/>
      <c r="S193" s="188"/>
      <c r="CP193" s="177"/>
      <c r="CQ193" s="177"/>
      <c r="CR193" s="177"/>
      <c r="CS193" s="177"/>
      <c r="CT193" s="177"/>
      <c r="CU193" s="177"/>
      <c r="CV193" s="180"/>
      <c r="CW193" s="179"/>
      <c r="CX193" s="836"/>
      <c r="CY193" s="836"/>
      <c r="CZ193" s="836"/>
      <c r="DA193" s="177"/>
      <c r="DB193" s="177"/>
      <c r="DC193" s="177"/>
      <c r="DD193" s="177"/>
      <c r="DE193" s="177"/>
      <c r="DF193" s="177"/>
      <c r="DG193" s="177"/>
      <c r="DH193" s="177"/>
      <c r="DI193" s="177"/>
      <c r="DJ193" s="177"/>
      <c r="DK193" s="177"/>
    </row>
    <row r="194" spans="16:115" s="176" customFormat="1" x14ac:dyDescent="0.2">
      <c r="P194" s="178"/>
      <c r="Q194" s="206"/>
      <c r="R194" s="206"/>
      <c r="S194" s="188"/>
      <c r="CP194" s="177"/>
      <c r="CQ194" s="177"/>
      <c r="CR194" s="177"/>
      <c r="CS194" s="177"/>
      <c r="CT194" s="177"/>
      <c r="CU194" s="177"/>
      <c r="CV194" s="180"/>
      <c r="CW194" s="179"/>
      <c r="CX194" s="836"/>
      <c r="CY194" s="836"/>
      <c r="CZ194" s="836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</row>
    <row r="195" spans="16:115" s="176" customFormat="1" x14ac:dyDescent="0.2">
      <c r="P195" s="178"/>
      <c r="Q195" s="206"/>
      <c r="R195" s="206"/>
      <c r="S195" s="188"/>
      <c r="CP195" s="177"/>
      <c r="CQ195" s="177"/>
      <c r="CR195" s="177"/>
      <c r="CS195" s="177"/>
      <c r="CT195" s="177"/>
      <c r="CU195" s="177"/>
      <c r="CV195" s="180"/>
      <c r="CW195" s="179"/>
      <c r="CX195" s="836"/>
      <c r="CY195" s="836"/>
      <c r="CZ195" s="836"/>
      <c r="DA195" s="177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7"/>
    </row>
    <row r="196" spans="16:115" s="176" customFormat="1" x14ac:dyDescent="0.2">
      <c r="P196" s="178"/>
      <c r="Q196" s="206"/>
      <c r="R196" s="206"/>
      <c r="S196" s="188"/>
      <c r="CP196" s="177"/>
      <c r="CQ196" s="177"/>
      <c r="CR196" s="177"/>
      <c r="CS196" s="177"/>
      <c r="CT196" s="177"/>
      <c r="CU196" s="177"/>
      <c r="CV196" s="180"/>
      <c r="CW196" s="179"/>
      <c r="CX196" s="836"/>
      <c r="CY196" s="836"/>
      <c r="CZ196" s="836"/>
      <c r="DA196" s="177"/>
      <c r="DB196" s="177"/>
      <c r="DC196" s="177"/>
      <c r="DD196" s="177"/>
      <c r="DE196" s="177"/>
      <c r="DF196" s="177"/>
      <c r="DG196" s="177"/>
      <c r="DH196" s="177"/>
      <c r="DI196" s="177"/>
      <c r="DJ196" s="177"/>
      <c r="DK196" s="177"/>
    </row>
    <row r="197" spans="16:115" s="176" customFormat="1" x14ac:dyDescent="0.2">
      <c r="P197" s="178"/>
      <c r="Q197" s="206"/>
      <c r="R197" s="206"/>
      <c r="S197" s="188"/>
      <c r="CP197" s="177"/>
      <c r="CQ197" s="177"/>
      <c r="CR197" s="177"/>
      <c r="CS197" s="177"/>
      <c r="CT197" s="177"/>
      <c r="CU197" s="177"/>
      <c r="CV197" s="180"/>
      <c r="CW197" s="179"/>
      <c r="CX197" s="836"/>
      <c r="CY197" s="836"/>
      <c r="CZ197" s="836"/>
      <c r="DA197" s="177"/>
      <c r="DB197" s="177"/>
      <c r="DC197" s="177"/>
      <c r="DD197" s="177"/>
      <c r="DE197" s="177"/>
      <c r="DF197" s="177"/>
      <c r="DG197" s="177"/>
      <c r="DH197" s="177"/>
      <c r="DI197" s="177"/>
      <c r="DJ197" s="177"/>
      <c r="DK197" s="177"/>
    </row>
    <row r="198" spans="16:115" s="176" customFormat="1" x14ac:dyDescent="0.2">
      <c r="P198" s="178"/>
      <c r="Q198" s="206"/>
      <c r="R198" s="206"/>
      <c r="S198" s="188"/>
      <c r="CP198" s="177"/>
      <c r="CQ198" s="177"/>
      <c r="CR198" s="177"/>
      <c r="CS198" s="177"/>
      <c r="CT198" s="177"/>
      <c r="CU198" s="177"/>
      <c r="CV198" s="180"/>
      <c r="CW198" s="179"/>
      <c r="CX198" s="836"/>
      <c r="CY198" s="836"/>
      <c r="CZ198" s="836"/>
      <c r="DA198" s="177"/>
      <c r="DB198" s="177"/>
      <c r="DC198" s="177"/>
      <c r="DD198" s="177"/>
      <c r="DE198" s="177"/>
      <c r="DF198" s="177"/>
      <c r="DG198" s="177"/>
      <c r="DH198" s="177"/>
      <c r="DI198" s="177"/>
      <c r="DJ198" s="177"/>
      <c r="DK198" s="177"/>
    </row>
    <row r="199" spans="16:115" s="176" customFormat="1" x14ac:dyDescent="0.2">
      <c r="P199" s="178"/>
      <c r="Q199" s="206"/>
      <c r="R199" s="206"/>
      <c r="S199" s="188"/>
      <c r="CP199" s="177"/>
      <c r="CQ199" s="177"/>
      <c r="CR199" s="177"/>
      <c r="CS199" s="177"/>
      <c r="CT199" s="177"/>
      <c r="CU199" s="177"/>
      <c r="CV199" s="180"/>
      <c r="CW199" s="179"/>
      <c r="CX199" s="836"/>
      <c r="CY199" s="836"/>
      <c r="CZ199" s="836"/>
      <c r="DA199" s="177"/>
      <c r="DB199" s="177"/>
      <c r="DC199" s="177"/>
      <c r="DD199" s="177"/>
      <c r="DE199" s="177"/>
      <c r="DF199" s="177"/>
      <c r="DG199" s="177"/>
      <c r="DH199" s="177"/>
      <c r="DI199" s="177"/>
      <c r="DJ199" s="177"/>
      <c r="DK199" s="177"/>
    </row>
    <row r="200" spans="16:115" s="176" customFormat="1" x14ac:dyDescent="0.2">
      <c r="P200" s="178"/>
      <c r="Q200" s="206"/>
      <c r="R200" s="206"/>
      <c r="S200" s="188"/>
      <c r="CP200" s="177"/>
      <c r="CQ200" s="177"/>
      <c r="CR200" s="177"/>
      <c r="CS200" s="177"/>
      <c r="CT200" s="177"/>
      <c r="CU200" s="177"/>
      <c r="CV200" s="180"/>
      <c r="CW200" s="179"/>
      <c r="CX200" s="836"/>
      <c r="CY200" s="836"/>
      <c r="CZ200" s="836"/>
      <c r="DA200" s="177"/>
      <c r="DB200" s="177"/>
      <c r="DC200" s="177"/>
      <c r="DD200" s="177"/>
      <c r="DE200" s="177"/>
      <c r="DF200" s="177"/>
      <c r="DG200" s="177"/>
      <c r="DH200" s="177"/>
      <c r="DI200" s="177"/>
      <c r="DJ200" s="177"/>
      <c r="DK200" s="177"/>
    </row>
    <row r="201" spans="16:115" s="176" customFormat="1" x14ac:dyDescent="0.2">
      <c r="P201" s="178"/>
      <c r="Q201" s="206"/>
      <c r="R201" s="206"/>
      <c r="S201" s="188"/>
      <c r="CP201" s="177"/>
      <c r="CQ201" s="177"/>
      <c r="CR201" s="177"/>
      <c r="CS201" s="177"/>
      <c r="CT201" s="177"/>
      <c r="CU201" s="177"/>
      <c r="CV201" s="180"/>
      <c r="CW201" s="179"/>
      <c r="CX201" s="836"/>
      <c r="CY201" s="836"/>
      <c r="CZ201" s="836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</row>
    <row r="202" spans="16:115" s="176" customFormat="1" x14ac:dyDescent="0.2">
      <c r="P202" s="178"/>
      <c r="Q202" s="206"/>
      <c r="R202" s="206"/>
      <c r="S202" s="188"/>
      <c r="CP202" s="177"/>
      <c r="CQ202" s="177"/>
      <c r="CR202" s="177"/>
      <c r="CS202" s="177"/>
      <c r="CT202" s="177"/>
      <c r="CU202" s="177"/>
      <c r="CV202" s="180"/>
      <c r="CW202" s="179"/>
      <c r="CX202" s="836"/>
      <c r="CY202" s="836"/>
      <c r="CZ202" s="836"/>
      <c r="DA202" s="177"/>
      <c r="DB202" s="177"/>
      <c r="DC202" s="177"/>
      <c r="DD202" s="177"/>
      <c r="DE202" s="177"/>
      <c r="DF202" s="177"/>
      <c r="DG202" s="177"/>
      <c r="DH202" s="177"/>
      <c r="DI202" s="177"/>
      <c r="DJ202" s="177"/>
      <c r="DK202" s="177"/>
    </row>
    <row r="203" spans="16:115" s="176" customFormat="1" x14ac:dyDescent="0.2">
      <c r="P203" s="178"/>
      <c r="Q203" s="206"/>
      <c r="R203" s="206"/>
      <c r="S203" s="188"/>
      <c r="CP203" s="177"/>
      <c r="CQ203" s="177"/>
      <c r="CR203" s="177"/>
      <c r="CS203" s="177"/>
      <c r="CT203" s="177"/>
      <c r="CU203" s="177"/>
      <c r="CV203" s="180"/>
      <c r="CW203" s="179"/>
      <c r="CX203" s="836"/>
      <c r="CY203" s="836"/>
      <c r="CZ203" s="836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</row>
    <row r="204" spans="16:115" s="176" customFormat="1" x14ac:dyDescent="0.2">
      <c r="P204" s="178"/>
      <c r="Q204" s="206"/>
      <c r="R204" s="206"/>
      <c r="S204" s="188"/>
      <c r="CP204" s="177"/>
      <c r="CQ204" s="177"/>
      <c r="CR204" s="177"/>
      <c r="CS204" s="177"/>
      <c r="CT204" s="177"/>
      <c r="CU204" s="177"/>
      <c r="CV204" s="180"/>
      <c r="CW204" s="179"/>
      <c r="CX204" s="836"/>
      <c r="CY204" s="836"/>
      <c r="CZ204" s="836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</row>
    <row r="205" spans="16:115" s="176" customFormat="1" x14ac:dyDescent="0.2">
      <c r="P205" s="178"/>
      <c r="Q205" s="206"/>
      <c r="R205" s="206"/>
      <c r="S205" s="188"/>
      <c r="CP205" s="177"/>
      <c r="CQ205" s="177"/>
      <c r="CR205" s="177"/>
      <c r="CS205" s="177"/>
      <c r="CT205" s="177"/>
      <c r="CU205" s="177"/>
      <c r="CV205" s="180"/>
      <c r="CW205" s="179"/>
      <c r="CX205" s="836"/>
      <c r="CY205" s="836"/>
      <c r="CZ205" s="836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</row>
    <row r="206" spans="16:115" s="176" customFormat="1" x14ac:dyDescent="0.2">
      <c r="P206" s="178"/>
      <c r="Q206" s="206"/>
      <c r="R206" s="206"/>
      <c r="S206" s="188"/>
      <c r="CP206" s="177"/>
      <c r="CQ206" s="177"/>
      <c r="CR206" s="177"/>
      <c r="CS206" s="177"/>
      <c r="CT206" s="177"/>
      <c r="CU206" s="177"/>
      <c r="CV206" s="180"/>
      <c r="CW206" s="179"/>
      <c r="CX206" s="836"/>
      <c r="CY206" s="836"/>
      <c r="CZ206" s="836"/>
      <c r="DA206" s="177"/>
      <c r="DB206" s="177"/>
      <c r="DC206" s="177"/>
      <c r="DD206" s="177"/>
      <c r="DE206" s="177"/>
      <c r="DF206" s="177"/>
      <c r="DG206" s="177"/>
      <c r="DH206" s="177"/>
      <c r="DI206" s="177"/>
      <c r="DJ206" s="177"/>
      <c r="DK206" s="177"/>
    </row>
    <row r="207" spans="16:115" s="176" customFormat="1" x14ac:dyDescent="0.2">
      <c r="P207" s="178"/>
      <c r="Q207" s="206"/>
      <c r="R207" s="206"/>
      <c r="S207" s="188"/>
      <c r="CP207" s="177"/>
      <c r="CQ207" s="177"/>
      <c r="CR207" s="177"/>
      <c r="CS207" s="177"/>
      <c r="CT207" s="177"/>
      <c r="CU207" s="177"/>
      <c r="CV207" s="180"/>
      <c r="CW207" s="179"/>
      <c r="CX207" s="836"/>
      <c r="CY207" s="836"/>
      <c r="CZ207" s="836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</row>
    <row r="208" spans="16:115" s="176" customFormat="1" x14ac:dyDescent="0.2">
      <c r="P208" s="178"/>
      <c r="Q208" s="206"/>
      <c r="R208" s="206"/>
      <c r="S208" s="188"/>
      <c r="CP208" s="177"/>
      <c r="CQ208" s="177"/>
      <c r="CR208" s="177"/>
      <c r="CS208" s="177"/>
      <c r="CT208" s="177"/>
      <c r="CU208" s="177"/>
      <c r="CV208" s="180"/>
      <c r="CW208" s="179"/>
      <c r="CX208" s="836"/>
      <c r="CY208" s="836"/>
      <c r="CZ208" s="836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</row>
    <row r="209" spans="16:115" s="176" customFormat="1" x14ac:dyDescent="0.2">
      <c r="P209" s="178"/>
      <c r="Q209" s="206"/>
      <c r="R209" s="206"/>
      <c r="S209" s="188"/>
      <c r="CP209" s="177"/>
      <c r="CQ209" s="177"/>
      <c r="CR209" s="177"/>
      <c r="CS209" s="177"/>
      <c r="CT209" s="177"/>
      <c r="CU209" s="177"/>
      <c r="CV209" s="180"/>
      <c r="CW209" s="179"/>
      <c r="CX209" s="836"/>
      <c r="CY209" s="836"/>
      <c r="CZ209" s="836"/>
      <c r="DA209" s="177"/>
      <c r="DB209" s="177"/>
      <c r="DC209" s="177"/>
      <c r="DD209" s="177"/>
      <c r="DE209" s="177"/>
      <c r="DF209" s="177"/>
      <c r="DG209" s="177"/>
      <c r="DH209" s="177"/>
      <c r="DI209" s="177"/>
      <c r="DJ209" s="177"/>
      <c r="DK209" s="177"/>
    </row>
    <row r="210" spans="16:115" s="176" customFormat="1" x14ac:dyDescent="0.2">
      <c r="P210" s="178"/>
      <c r="Q210" s="206"/>
      <c r="R210" s="206"/>
      <c r="S210" s="188"/>
      <c r="CP210" s="177"/>
      <c r="CQ210" s="177"/>
      <c r="CR210" s="177"/>
      <c r="CS210" s="177"/>
      <c r="CT210" s="177"/>
      <c r="CU210" s="177"/>
      <c r="CV210" s="180"/>
      <c r="CW210" s="179"/>
      <c r="CX210" s="836"/>
      <c r="CY210" s="836"/>
      <c r="CZ210" s="836"/>
      <c r="DA210" s="177"/>
      <c r="DB210" s="177"/>
      <c r="DC210" s="177"/>
      <c r="DD210" s="177"/>
      <c r="DE210" s="177"/>
      <c r="DF210" s="177"/>
      <c r="DG210" s="177"/>
      <c r="DH210" s="177"/>
      <c r="DI210" s="177"/>
      <c r="DJ210" s="177"/>
      <c r="DK210" s="177"/>
    </row>
    <row r="211" spans="16:115" s="176" customFormat="1" x14ac:dyDescent="0.2">
      <c r="P211" s="178"/>
      <c r="Q211" s="206"/>
      <c r="R211" s="206"/>
      <c r="S211" s="188"/>
      <c r="CP211" s="177"/>
      <c r="CQ211" s="177"/>
      <c r="CR211" s="177"/>
      <c r="CS211" s="177"/>
      <c r="CT211" s="177"/>
      <c r="CU211" s="177"/>
      <c r="CV211" s="180"/>
      <c r="CW211" s="179"/>
      <c r="CX211" s="836"/>
      <c r="CY211" s="836"/>
      <c r="CZ211" s="836"/>
      <c r="DA211" s="177"/>
      <c r="DB211" s="177"/>
      <c r="DC211" s="177"/>
      <c r="DD211" s="177"/>
      <c r="DE211" s="177"/>
      <c r="DF211" s="177"/>
      <c r="DG211" s="177"/>
      <c r="DH211" s="177"/>
      <c r="DI211" s="177"/>
      <c r="DJ211" s="177"/>
      <c r="DK211" s="177"/>
    </row>
    <row r="212" spans="16:115" s="176" customFormat="1" x14ac:dyDescent="0.2">
      <c r="P212" s="178"/>
      <c r="Q212" s="206"/>
      <c r="R212" s="206"/>
      <c r="S212" s="188"/>
      <c r="CP212" s="177"/>
      <c r="CQ212" s="177"/>
      <c r="CR212" s="177"/>
      <c r="CS212" s="177"/>
      <c r="CT212" s="177"/>
      <c r="CU212" s="177"/>
      <c r="CV212" s="180"/>
      <c r="CW212" s="179"/>
      <c r="CX212" s="836"/>
      <c r="CY212" s="836"/>
      <c r="CZ212" s="836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</row>
    <row r="213" spans="16:115" s="176" customFormat="1" x14ac:dyDescent="0.2">
      <c r="P213" s="178"/>
      <c r="Q213" s="206"/>
      <c r="R213" s="206"/>
      <c r="S213" s="188"/>
      <c r="CP213" s="177"/>
      <c r="CQ213" s="177"/>
      <c r="CR213" s="177"/>
      <c r="CS213" s="177"/>
      <c r="CT213" s="177"/>
      <c r="CU213" s="177"/>
      <c r="CV213" s="180"/>
      <c r="CW213" s="179"/>
      <c r="CX213" s="836"/>
      <c r="CY213" s="836"/>
      <c r="CZ213" s="836"/>
      <c r="DA213" s="177"/>
      <c r="DB213" s="177"/>
      <c r="DC213" s="177"/>
      <c r="DD213" s="177"/>
      <c r="DE213" s="177"/>
      <c r="DF213" s="177"/>
      <c r="DG213" s="177"/>
      <c r="DH213" s="177"/>
      <c r="DI213" s="177"/>
      <c r="DJ213" s="177"/>
      <c r="DK213" s="177"/>
    </row>
    <row r="214" spans="16:115" s="176" customFormat="1" x14ac:dyDescent="0.2">
      <c r="P214" s="178"/>
      <c r="Q214" s="206"/>
      <c r="R214" s="206"/>
      <c r="S214" s="188"/>
      <c r="CP214" s="177"/>
      <c r="CQ214" s="177"/>
      <c r="CR214" s="177"/>
      <c r="CS214" s="177"/>
      <c r="CT214" s="177"/>
      <c r="CU214" s="177"/>
      <c r="CV214" s="180"/>
      <c r="CW214" s="179"/>
      <c r="CX214" s="836"/>
      <c r="CY214" s="836"/>
      <c r="CZ214" s="836"/>
      <c r="DA214" s="177"/>
      <c r="DB214" s="177"/>
      <c r="DC214" s="177"/>
      <c r="DD214" s="177"/>
      <c r="DE214" s="177"/>
      <c r="DF214" s="177"/>
      <c r="DG214" s="177"/>
      <c r="DH214" s="177"/>
      <c r="DI214" s="177"/>
      <c r="DJ214" s="177"/>
      <c r="DK214" s="177"/>
    </row>
    <row r="215" spans="16:115" s="176" customFormat="1" x14ac:dyDescent="0.2">
      <c r="P215" s="178"/>
      <c r="Q215" s="206"/>
      <c r="R215" s="206"/>
      <c r="S215" s="188"/>
      <c r="CP215" s="177"/>
      <c r="CQ215" s="177"/>
      <c r="CR215" s="177"/>
      <c r="CS215" s="177"/>
      <c r="CT215" s="177"/>
      <c r="CU215" s="177"/>
      <c r="CV215" s="180"/>
      <c r="CW215" s="179"/>
      <c r="CX215" s="836"/>
      <c r="CY215" s="836"/>
      <c r="CZ215" s="836"/>
      <c r="DA215" s="177"/>
      <c r="DB215" s="177"/>
      <c r="DC215" s="177"/>
      <c r="DD215" s="177"/>
      <c r="DE215" s="177"/>
      <c r="DF215" s="177"/>
      <c r="DG215" s="177"/>
      <c r="DH215" s="177"/>
      <c r="DI215" s="177"/>
      <c r="DJ215" s="177"/>
      <c r="DK215" s="177"/>
    </row>
    <row r="216" spans="16:115" s="176" customFormat="1" x14ac:dyDescent="0.2">
      <c r="P216" s="178"/>
      <c r="Q216" s="206"/>
      <c r="R216" s="206"/>
      <c r="S216" s="188"/>
      <c r="CP216" s="177"/>
      <c r="CQ216" s="177"/>
      <c r="CR216" s="177"/>
      <c r="CS216" s="177"/>
      <c r="CT216" s="177"/>
      <c r="CU216" s="177"/>
      <c r="CV216" s="180"/>
      <c r="CW216" s="179"/>
      <c r="CX216" s="836"/>
      <c r="CY216" s="836"/>
      <c r="CZ216" s="836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</row>
    <row r="217" spans="16:115" s="176" customFormat="1" x14ac:dyDescent="0.2">
      <c r="P217" s="178"/>
      <c r="Q217" s="206"/>
      <c r="R217" s="206"/>
      <c r="S217" s="188"/>
      <c r="CP217" s="177"/>
      <c r="CQ217" s="177"/>
      <c r="CR217" s="177"/>
      <c r="CS217" s="177"/>
      <c r="CT217" s="177"/>
      <c r="CU217" s="177"/>
      <c r="CV217" s="180"/>
      <c r="CW217" s="179"/>
      <c r="CX217" s="836"/>
      <c r="CY217" s="836"/>
      <c r="CZ217" s="836"/>
      <c r="DA217" s="177"/>
      <c r="DB217" s="177"/>
      <c r="DC217" s="177"/>
      <c r="DD217" s="177"/>
      <c r="DE217" s="177"/>
      <c r="DF217" s="177"/>
      <c r="DG217" s="177"/>
      <c r="DH217" s="177"/>
      <c r="DI217" s="177"/>
      <c r="DJ217" s="177"/>
      <c r="DK217" s="177"/>
    </row>
    <row r="218" spans="16:115" s="176" customFormat="1" x14ac:dyDescent="0.2">
      <c r="P218" s="178"/>
      <c r="Q218" s="206"/>
      <c r="R218" s="206"/>
      <c r="S218" s="188"/>
      <c r="CP218" s="177"/>
      <c r="CQ218" s="177"/>
      <c r="CR218" s="177"/>
      <c r="CS218" s="177"/>
      <c r="CT218" s="177"/>
      <c r="CU218" s="177"/>
      <c r="CV218" s="180"/>
      <c r="CW218" s="179"/>
      <c r="CX218" s="836"/>
      <c r="CY218" s="836"/>
      <c r="CZ218" s="836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</row>
    <row r="219" spans="16:115" s="176" customFormat="1" x14ac:dyDescent="0.2">
      <c r="P219" s="178"/>
      <c r="Q219" s="206"/>
      <c r="R219" s="206"/>
      <c r="S219" s="188"/>
      <c r="CP219" s="177"/>
      <c r="CQ219" s="177"/>
      <c r="CR219" s="177"/>
      <c r="CS219" s="177"/>
      <c r="CT219" s="177"/>
      <c r="CU219" s="177"/>
      <c r="CV219" s="180"/>
      <c r="CW219" s="179"/>
      <c r="CX219" s="836"/>
      <c r="CY219" s="836"/>
      <c r="CZ219" s="836"/>
      <c r="DA219" s="177"/>
      <c r="DB219" s="177"/>
      <c r="DC219" s="177"/>
      <c r="DD219" s="177"/>
      <c r="DE219" s="177"/>
      <c r="DF219" s="177"/>
      <c r="DG219" s="177"/>
      <c r="DH219" s="177"/>
      <c r="DI219" s="177"/>
      <c r="DJ219" s="177"/>
      <c r="DK219" s="177"/>
    </row>
    <row r="220" spans="16:115" s="176" customFormat="1" x14ac:dyDescent="0.2">
      <c r="P220" s="178"/>
      <c r="Q220" s="206"/>
      <c r="R220" s="206"/>
      <c r="S220" s="188"/>
      <c r="CP220" s="177"/>
      <c r="CQ220" s="177"/>
      <c r="CR220" s="177"/>
      <c r="CS220" s="177"/>
      <c r="CT220" s="177"/>
      <c r="CU220" s="177"/>
      <c r="CV220" s="180"/>
      <c r="CW220" s="179"/>
      <c r="CX220" s="836"/>
      <c r="CY220" s="836"/>
      <c r="CZ220" s="836"/>
      <c r="DA220" s="177"/>
      <c r="DB220" s="177"/>
      <c r="DC220" s="177"/>
      <c r="DD220" s="177"/>
      <c r="DE220" s="177"/>
      <c r="DF220" s="177"/>
      <c r="DG220" s="177"/>
      <c r="DH220" s="177"/>
      <c r="DI220" s="177"/>
      <c r="DJ220" s="177"/>
      <c r="DK220" s="177"/>
    </row>
    <row r="221" spans="16:115" s="176" customFormat="1" x14ac:dyDescent="0.2">
      <c r="P221" s="178"/>
      <c r="Q221" s="206"/>
      <c r="R221" s="206"/>
      <c r="S221" s="188"/>
      <c r="CP221" s="177"/>
      <c r="CQ221" s="177"/>
      <c r="CR221" s="177"/>
      <c r="CS221" s="177"/>
      <c r="CT221" s="177"/>
      <c r="CU221" s="177"/>
      <c r="CV221" s="180"/>
      <c r="CW221" s="179"/>
      <c r="CX221" s="836"/>
      <c r="CY221" s="836"/>
      <c r="CZ221" s="836"/>
      <c r="DA221" s="177"/>
      <c r="DB221" s="177"/>
      <c r="DC221" s="177"/>
      <c r="DD221" s="177"/>
      <c r="DE221" s="177"/>
      <c r="DF221" s="177"/>
      <c r="DG221" s="177"/>
      <c r="DH221" s="177"/>
      <c r="DI221" s="177"/>
      <c r="DJ221" s="177"/>
      <c r="DK221" s="177"/>
    </row>
    <row r="222" spans="16:115" s="176" customFormat="1" x14ac:dyDescent="0.2">
      <c r="P222" s="178"/>
      <c r="Q222" s="206"/>
      <c r="R222" s="206"/>
      <c r="S222" s="188"/>
      <c r="CP222" s="177"/>
      <c r="CQ222" s="177"/>
      <c r="CR222" s="177"/>
      <c r="CS222" s="177"/>
      <c r="CT222" s="177"/>
      <c r="CU222" s="177"/>
      <c r="CV222" s="180"/>
      <c r="CW222" s="179"/>
      <c r="CX222" s="836"/>
      <c r="CY222" s="836"/>
      <c r="CZ222" s="836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</row>
    <row r="223" spans="16:115" s="176" customFormat="1" x14ac:dyDescent="0.2">
      <c r="P223" s="178"/>
      <c r="Q223" s="206"/>
      <c r="R223" s="206"/>
      <c r="S223" s="188"/>
      <c r="CP223" s="177"/>
      <c r="CQ223" s="177"/>
      <c r="CR223" s="177"/>
      <c r="CS223" s="177"/>
      <c r="CT223" s="177"/>
      <c r="CU223" s="177"/>
      <c r="CV223" s="180"/>
      <c r="CW223" s="179"/>
      <c r="CX223" s="836"/>
      <c r="CY223" s="836"/>
      <c r="CZ223" s="836"/>
      <c r="DA223" s="177"/>
      <c r="DB223" s="177"/>
      <c r="DC223" s="177"/>
      <c r="DD223" s="177"/>
      <c r="DE223" s="177"/>
      <c r="DF223" s="177"/>
      <c r="DG223" s="177"/>
      <c r="DH223" s="177"/>
      <c r="DI223" s="177"/>
      <c r="DJ223" s="177"/>
      <c r="DK223" s="177"/>
    </row>
    <row r="224" spans="16:115" s="176" customFormat="1" x14ac:dyDescent="0.2">
      <c r="P224" s="178"/>
      <c r="Q224" s="206"/>
      <c r="R224" s="206"/>
      <c r="S224" s="188"/>
      <c r="CP224" s="177"/>
      <c r="CQ224" s="177"/>
      <c r="CR224" s="177"/>
      <c r="CS224" s="177"/>
      <c r="CT224" s="177"/>
      <c r="CU224" s="177"/>
      <c r="CV224" s="180"/>
      <c r="CW224" s="179"/>
      <c r="CX224" s="836"/>
      <c r="CY224" s="836"/>
      <c r="CZ224" s="836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</row>
    <row r="225" spans="16:115" s="176" customFormat="1" x14ac:dyDescent="0.2">
      <c r="P225" s="178"/>
      <c r="Q225" s="206"/>
      <c r="R225" s="206"/>
      <c r="S225" s="188"/>
      <c r="CP225" s="177"/>
      <c r="CQ225" s="177"/>
      <c r="CR225" s="177"/>
      <c r="CS225" s="177"/>
      <c r="CT225" s="177"/>
      <c r="CU225" s="177"/>
      <c r="CV225" s="180"/>
      <c r="CW225" s="179"/>
      <c r="CX225" s="836"/>
      <c r="CY225" s="836"/>
      <c r="CZ225" s="836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</row>
    <row r="226" spans="16:115" s="176" customFormat="1" x14ac:dyDescent="0.2">
      <c r="P226" s="178"/>
      <c r="Q226" s="206"/>
      <c r="R226" s="206"/>
      <c r="S226" s="188"/>
      <c r="CP226" s="177"/>
      <c r="CQ226" s="177"/>
      <c r="CR226" s="177"/>
      <c r="CS226" s="177"/>
      <c r="CT226" s="177"/>
      <c r="CU226" s="177"/>
      <c r="CV226" s="180"/>
      <c r="CW226" s="179"/>
      <c r="CX226" s="836"/>
      <c r="CY226" s="836"/>
      <c r="CZ226" s="836"/>
      <c r="DA226" s="177"/>
      <c r="DB226" s="177"/>
      <c r="DC226" s="177"/>
      <c r="DD226" s="177"/>
      <c r="DE226" s="177"/>
      <c r="DF226" s="177"/>
      <c r="DG226" s="177"/>
      <c r="DH226" s="177"/>
      <c r="DI226" s="177"/>
      <c r="DJ226" s="177"/>
      <c r="DK226" s="177"/>
    </row>
    <row r="227" spans="16:115" s="176" customFormat="1" x14ac:dyDescent="0.2">
      <c r="P227" s="178"/>
      <c r="Q227" s="206"/>
      <c r="R227" s="206"/>
      <c r="S227" s="188"/>
      <c r="CP227" s="177"/>
      <c r="CQ227" s="177"/>
      <c r="CR227" s="177"/>
      <c r="CS227" s="177"/>
      <c r="CT227" s="177"/>
      <c r="CU227" s="177"/>
      <c r="CV227" s="180"/>
      <c r="CW227" s="179"/>
      <c r="CX227" s="836"/>
      <c r="CY227" s="836"/>
      <c r="CZ227" s="836"/>
      <c r="DA227" s="177"/>
      <c r="DB227" s="177"/>
      <c r="DC227" s="177"/>
      <c r="DD227" s="177"/>
      <c r="DE227" s="177"/>
      <c r="DF227" s="177"/>
      <c r="DG227" s="177"/>
      <c r="DH227" s="177"/>
      <c r="DI227" s="177"/>
      <c r="DJ227" s="177"/>
      <c r="DK227" s="177"/>
    </row>
    <row r="228" spans="16:115" s="176" customFormat="1" x14ac:dyDescent="0.2">
      <c r="P228" s="178"/>
      <c r="Q228" s="206"/>
      <c r="R228" s="206"/>
      <c r="S228" s="188"/>
      <c r="CP228" s="177"/>
      <c r="CQ228" s="177"/>
      <c r="CR228" s="177"/>
      <c r="CS228" s="177"/>
      <c r="CT228" s="177"/>
      <c r="CU228" s="177"/>
      <c r="CV228" s="180"/>
      <c r="CW228" s="179"/>
      <c r="CX228" s="836"/>
      <c r="CY228" s="836"/>
      <c r="CZ228" s="836"/>
      <c r="DA228" s="177"/>
      <c r="DB228" s="177"/>
      <c r="DC228" s="177"/>
      <c r="DD228" s="177"/>
      <c r="DE228" s="177"/>
      <c r="DF228" s="177"/>
      <c r="DG228" s="177"/>
      <c r="DH228" s="177"/>
      <c r="DI228" s="177"/>
      <c r="DJ228" s="177"/>
      <c r="DK228" s="177"/>
    </row>
    <row r="229" spans="16:115" s="176" customFormat="1" x14ac:dyDescent="0.2">
      <c r="P229" s="178"/>
      <c r="Q229" s="206"/>
      <c r="R229" s="206"/>
      <c r="S229" s="188"/>
      <c r="CP229" s="177"/>
      <c r="CQ229" s="177"/>
      <c r="CR229" s="177"/>
      <c r="CS229" s="177"/>
      <c r="CT229" s="177"/>
      <c r="CU229" s="177"/>
      <c r="CV229" s="180"/>
      <c r="CW229" s="179"/>
      <c r="CX229" s="836"/>
      <c r="CY229" s="836"/>
      <c r="CZ229" s="836"/>
      <c r="DA229" s="177"/>
      <c r="DB229" s="177"/>
      <c r="DC229" s="177"/>
      <c r="DD229" s="177"/>
      <c r="DE229" s="177"/>
      <c r="DF229" s="177"/>
      <c r="DG229" s="177"/>
      <c r="DH229" s="177"/>
      <c r="DI229" s="177"/>
      <c r="DJ229" s="177"/>
      <c r="DK229" s="177"/>
    </row>
    <row r="230" spans="16:115" s="176" customFormat="1" x14ac:dyDescent="0.2">
      <c r="P230" s="178"/>
      <c r="Q230" s="206"/>
      <c r="R230" s="206"/>
      <c r="S230" s="188"/>
      <c r="CP230" s="177"/>
      <c r="CQ230" s="177"/>
      <c r="CR230" s="177"/>
      <c r="CS230" s="177"/>
      <c r="CT230" s="177"/>
      <c r="CU230" s="177"/>
      <c r="CV230" s="180"/>
      <c r="CW230" s="179"/>
      <c r="CX230" s="836"/>
      <c r="CY230" s="836"/>
      <c r="CZ230" s="836"/>
      <c r="DA230" s="177"/>
      <c r="DB230" s="177"/>
      <c r="DC230" s="177"/>
      <c r="DD230" s="177"/>
      <c r="DE230" s="177"/>
      <c r="DF230" s="177"/>
      <c r="DG230" s="177"/>
      <c r="DH230" s="177"/>
      <c r="DI230" s="177"/>
      <c r="DJ230" s="177"/>
      <c r="DK230" s="177"/>
    </row>
    <row r="231" spans="16:115" s="176" customFormat="1" x14ac:dyDescent="0.2">
      <c r="P231" s="178"/>
      <c r="Q231" s="206"/>
      <c r="R231" s="206"/>
      <c r="S231" s="188"/>
      <c r="CP231" s="177"/>
      <c r="CQ231" s="177"/>
      <c r="CR231" s="177"/>
      <c r="CS231" s="177"/>
      <c r="CT231" s="177"/>
      <c r="CU231" s="177"/>
      <c r="CV231" s="180"/>
      <c r="CW231" s="179"/>
      <c r="CX231" s="836"/>
      <c r="CY231" s="836"/>
      <c r="CZ231" s="836"/>
      <c r="DA231" s="177"/>
      <c r="DB231" s="177"/>
      <c r="DC231" s="177"/>
      <c r="DD231" s="177"/>
      <c r="DE231" s="177"/>
      <c r="DF231" s="177"/>
      <c r="DG231" s="177"/>
      <c r="DH231" s="177"/>
      <c r="DI231" s="177"/>
      <c r="DJ231" s="177"/>
      <c r="DK231" s="177"/>
    </row>
    <row r="232" spans="16:115" s="176" customFormat="1" x14ac:dyDescent="0.2">
      <c r="P232" s="178"/>
      <c r="Q232" s="206"/>
      <c r="R232" s="206"/>
      <c r="S232" s="188"/>
      <c r="CP232" s="177"/>
      <c r="CQ232" s="177"/>
      <c r="CR232" s="177"/>
      <c r="CS232" s="177"/>
      <c r="CT232" s="177"/>
      <c r="CU232" s="177"/>
      <c r="CV232" s="180"/>
      <c r="CW232" s="179"/>
      <c r="CX232" s="836"/>
      <c r="CY232" s="836"/>
      <c r="CZ232" s="836"/>
      <c r="DA232" s="177"/>
      <c r="DB232" s="177"/>
      <c r="DC232" s="177"/>
      <c r="DD232" s="177"/>
      <c r="DE232" s="177"/>
      <c r="DF232" s="177"/>
      <c r="DG232" s="177"/>
      <c r="DH232" s="177"/>
      <c r="DI232" s="177"/>
      <c r="DJ232" s="177"/>
      <c r="DK232" s="177"/>
    </row>
    <row r="233" spans="16:115" s="176" customFormat="1" x14ac:dyDescent="0.2">
      <c r="P233" s="178"/>
      <c r="Q233" s="206"/>
      <c r="R233" s="206"/>
      <c r="S233" s="188"/>
      <c r="CP233" s="177"/>
      <c r="CQ233" s="177"/>
      <c r="CR233" s="177"/>
      <c r="CS233" s="177"/>
      <c r="CT233" s="177"/>
      <c r="CU233" s="177"/>
      <c r="CV233" s="180"/>
      <c r="CW233" s="179"/>
      <c r="CX233" s="836"/>
      <c r="CY233" s="836"/>
      <c r="CZ233" s="836"/>
      <c r="DA233" s="177"/>
      <c r="DB233" s="177"/>
      <c r="DC233" s="177"/>
      <c r="DD233" s="177"/>
      <c r="DE233" s="177"/>
      <c r="DF233" s="177"/>
      <c r="DG233" s="177"/>
      <c r="DH233" s="177"/>
      <c r="DI233" s="177"/>
      <c r="DJ233" s="177"/>
      <c r="DK233" s="177"/>
    </row>
    <row r="234" spans="16:115" s="176" customFormat="1" x14ac:dyDescent="0.2">
      <c r="P234" s="178"/>
      <c r="Q234" s="206"/>
      <c r="R234" s="206"/>
      <c r="S234" s="188"/>
      <c r="CP234" s="177"/>
      <c r="CQ234" s="177"/>
      <c r="CR234" s="177"/>
      <c r="CS234" s="177"/>
      <c r="CT234" s="177"/>
      <c r="CU234" s="177"/>
      <c r="CV234" s="180"/>
      <c r="CW234" s="179"/>
      <c r="CX234" s="836"/>
      <c r="CY234" s="836"/>
      <c r="CZ234" s="836"/>
      <c r="DA234" s="177"/>
      <c r="DB234" s="177"/>
      <c r="DC234" s="177"/>
      <c r="DD234" s="177"/>
      <c r="DE234" s="177"/>
      <c r="DF234" s="177"/>
      <c r="DG234" s="177"/>
      <c r="DH234" s="177"/>
      <c r="DI234" s="177"/>
      <c r="DJ234" s="177"/>
      <c r="DK234" s="177"/>
    </row>
    <row r="235" spans="16:115" s="176" customFormat="1" x14ac:dyDescent="0.2">
      <c r="P235" s="178"/>
      <c r="Q235" s="206"/>
      <c r="R235" s="206"/>
      <c r="S235" s="188"/>
      <c r="CP235" s="177"/>
      <c r="CQ235" s="177"/>
      <c r="CR235" s="177"/>
      <c r="CS235" s="177"/>
      <c r="CT235" s="177"/>
      <c r="CU235" s="177"/>
      <c r="CV235" s="180"/>
      <c r="CW235" s="179"/>
      <c r="CX235" s="836"/>
      <c r="CY235" s="836"/>
      <c r="CZ235" s="836"/>
      <c r="DA235" s="177"/>
      <c r="DB235" s="177"/>
      <c r="DC235" s="177"/>
      <c r="DD235" s="177"/>
      <c r="DE235" s="177"/>
      <c r="DF235" s="177"/>
      <c r="DG235" s="177"/>
      <c r="DH235" s="177"/>
      <c r="DI235" s="177"/>
      <c r="DJ235" s="177"/>
      <c r="DK235" s="177"/>
    </row>
    <row r="236" spans="16:115" s="176" customFormat="1" x14ac:dyDescent="0.2">
      <c r="P236" s="178"/>
      <c r="Q236" s="206"/>
      <c r="R236" s="206"/>
      <c r="S236" s="188"/>
      <c r="CP236" s="177"/>
      <c r="CQ236" s="177"/>
      <c r="CR236" s="177"/>
      <c r="CS236" s="177"/>
      <c r="CT236" s="177"/>
      <c r="CU236" s="177"/>
      <c r="CV236" s="180"/>
      <c r="CW236" s="179"/>
      <c r="CX236" s="836"/>
      <c r="CY236" s="836"/>
      <c r="CZ236" s="836"/>
      <c r="DA236" s="177"/>
      <c r="DB236" s="177"/>
      <c r="DC236" s="177"/>
      <c r="DD236" s="177"/>
      <c r="DE236" s="177"/>
      <c r="DF236" s="177"/>
      <c r="DG236" s="177"/>
      <c r="DH236" s="177"/>
      <c r="DI236" s="177"/>
      <c r="DJ236" s="177"/>
      <c r="DK236" s="177"/>
    </row>
    <row r="237" spans="16:115" x14ac:dyDescent="0.2">
      <c r="DA237" s="177"/>
      <c r="DB237" s="177"/>
      <c r="DC237" s="177"/>
      <c r="DD237" s="177"/>
      <c r="DE237" s="177"/>
      <c r="DF237" s="177"/>
      <c r="DG237" s="177"/>
      <c r="DH237" s="177"/>
      <c r="DI237" s="177"/>
      <c r="DJ237" s="177"/>
      <c r="DK237" s="177"/>
    </row>
    <row r="238" spans="16:115" x14ac:dyDescent="0.2">
      <c r="DA238" s="177"/>
      <c r="DB238" s="177"/>
      <c r="DC238" s="177"/>
      <c r="DD238" s="177"/>
      <c r="DE238" s="177"/>
      <c r="DF238" s="177"/>
      <c r="DG238" s="177"/>
      <c r="DH238" s="177"/>
      <c r="DI238" s="177"/>
      <c r="DJ238" s="177"/>
      <c r="DK238" s="177"/>
    </row>
    <row r="239" spans="16:115" x14ac:dyDescent="0.2">
      <c r="DA239" s="177"/>
      <c r="DB239" s="177"/>
      <c r="DC239" s="177"/>
      <c r="DD239" s="177"/>
      <c r="DE239" s="177"/>
      <c r="DF239" s="177"/>
      <c r="DG239" s="177"/>
      <c r="DH239" s="177"/>
      <c r="DI239" s="177"/>
      <c r="DJ239" s="177"/>
      <c r="DK239" s="177"/>
    </row>
    <row r="240" spans="16:115" x14ac:dyDescent="0.2">
      <c r="DA240" s="177"/>
      <c r="DB240" s="177"/>
      <c r="DC240" s="177"/>
      <c r="DD240" s="177"/>
      <c r="DE240" s="177"/>
      <c r="DF240" s="177"/>
      <c r="DG240" s="177"/>
      <c r="DH240" s="177"/>
      <c r="DI240" s="177"/>
      <c r="DJ240" s="177"/>
      <c r="DK240" s="177"/>
    </row>
    <row r="241" spans="105:115" x14ac:dyDescent="0.2">
      <c r="DA241" s="177"/>
      <c r="DB241" s="177"/>
      <c r="DC241" s="177"/>
      <c r="DD241" s="177"/>
      <c r="DE241" s="177"/>
      <c r="DF241" s="177"/>
      <c r="DG241" s="177"/>
      <c r="DH241" s="177"/>
      <c r="DI241" s="177"/>
      <c r="DJ241" s="177"/>
      <c r="DK241" s="177"/>
    </row>
    <row r="242" spans="105:115" x14ac:dyDescent="0.2">
      <c r="DA242" s="177"/>
      <c r="DB242" s="177"/>
      <c r="DC242" s="177"/>
      <c r="DD242" s="177"/>
      <c r="DE242" s="177"/>
      <c r="DF242" s="177"/>
      <c r="DG242" s="177"/>
      <c r="DH242" s="177"/>
      <c r="DI242" s="177"/>
      <c r="DJ242" s="177"/>
      <c r="DK242" s="177"/>
    </row>
    <row r="243" spans="105:115" x14ac:dyDescent="0.2">
      <c r="DA243" s="177"/>
      <c r="DB243" s="177"/>
      <c r="DC243" s="177"/>
      <c r="DD243" s="177"/>
      <c r="DE243" s="177"/>
      <c r="DF243" s="177"/>
      <c r="DG243" s="177"/>
      <c r="DH243" s="177"/>
      <c r="DI243" s="177"/>
      <c r="DJ243" s="177"/>
      <c r="DK243" s="177"/>
    </row>
    <row r="244" spans="105:115" x14ac:dyDescent="0.2">
      <c r="DA244" s="177"/>
      <c r="DB244" s="177"/>
      <c r="DC244" s="177"/>
      <c r="DD244" s="177"/>
      <c r="DE244" s="177"/>
      <c r="DF244" s="177"/>
      <c r="DG244" s="177"/>
      <c r="DH244" s="177"/>
      <c r="DI244" s="177"/>
      <c r="DJ244" s="177"/>
      <c r="DK244" s="177"/>
    </row>
    <row r="245" spans="105:115" x14ac:dyDescent="0.2">
      <c r="DA245" s="177"/>
      <c r="DB245" s="177"/>
      <c r="DC245" s="177"/>
      <c r="DD245" s="177"/>
      <c r="DE245" s="177"/>
      <c r="DF245" s="177"/>
      <c r="DG245" s="177"/>
      <c r="DH245" s="177"/>
      <c r="DI245" s="177"/>
      <c r="DJ245" s="177"/>
      <c r="DK245" s="177"/>
    </row>
    <row r="246" spans="105:115" x14ac:dyDescent="0.2">
      <c r="DA246" s="177"/>
      <c r="DB246" s="177"/>
      <c r="DC246" s="177"/>
      <c r="DD246" s="177"/>
      <c r="DE246" s="177"/>
      <c r="DF246" s="177"/>
      <c r="DG246" s="177"/>
      <c r="DH246" s="177"/>
      <c r="DI246" s="177"/>
      <c r="DJ246" s="177"/>
      <c r="DK246" s="177"/>
    </row>
    <row r="247" spans="105:115" x14ac:dyDescent="0.2">
      <c r="DA247" s="177"/>
      <c r="DB247" s="177"/>
      <c r="DC247" s="177"/>
      <c r="DD247" s="177"/>
      <c r="DE247" s="177"/>
      <c r="DF247" s="177"/>
      <c r="DG247" s="177"/>
      <c r="DH247" s="177"/>
      <c r="DI247" s="177"/>
      <c r="DJ247" s="177"/>
      <c r="DK247" s="177"/>
    </row>
    <row r="248" spans="105:115" x14ac:dyDescent="0.2">
      <c r="DA248" s="177"/>
      <c r="DB248" s="177"/>
      <c r="DC248" s="177"/>
      <c r="DD248" s="177"/>
      <c r="DE248" s="177"/>
      <c r="DF248" s="177"/>
      <c r="DG248" s="177"/>
      <c r="DH248" s="177"/>
      <c r="DI248" s="177"/>
      <c r="DJ248" s="177"/>
      <c r="DK248" s="177"/>
    </row>
    <row r="249" spans="105:115" x14ac:dyDescent="0.2">
      <c r="DA249" s="177"/>
      <c r="DB249" s="177"/>
      <c r="DC249" s="177"/>
      <c r="DD249" s="177"/>
      <c r="DE249" s="177"/>
      <c r="DF249" s="177"/>
      <c r="DG249" s="177"/>
      <c r="DH249" s="177"/>
      <c r="DI249" s="177"/>
      <c r="DJ249" s="177"/>
      <c r="DK249" s="177"/>
    </row>
    <row r="250" spans="105:115" x14ac:dyDescent="0.2">
      <c r="DA250" s="177"/>
      <c r="DB250" s="177"/>
      <c r="DC250" s="177"/>
      <c r="DD250" s="177"/>
      <c r="DE250" s="177"/>
      <c r="DF250" s="177"/>
      <c r="DG250" s="177"/>
      <c r="DH250" s="177"/>
      <c r="DI250" s="177"/>
      <c r="DJ250" s="177"/>
      <c r="DK250" s="177"/>
    </row>
    <row r="251" spans="105:115" x14ac:dyDescent="0.2">
      <c r="DA251" s="177"/>
      <c r="DB251" s="177"/>
      <c r="DC251" s="177"/>
      <c r="DD251" s="177"/>
      <c r="DE251" s="177"/>
      <c r="DF251" s="177"/>
      <c r="DG251" s="177"/>
      <c r="DH251" s="177"/>
      <c r="DI251" s="177"/>
      <c r="DJ251" s="177"/>
      <c r="DK251" s="177"/>
    </row>
    <row r="252" spans="105:115" x14ac:dyDescent="0.2">
      <c r="DA252" s="177"/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7"/>
    </row>
    <row r="253" spans="105:115" x14ac:dyDescent="0.2">
      <c r="DA253" s="177"/>
      <c r="DB253" s="177"/>
      <c r="DC253" s="177"/>
      <c r="DD253" s="177"/>
      <c r="DE253" s="177"/>
      <c r="DF253" s="177"/>
      <c r="DG253" s="177"/>
      <c r="DH253" s="177"/>
      <c r="DI253" s="177"/>
      <c r="DJ253" s="177"/>
      <c r="DK253" s="177"/>
    </row>
    <row r="254" spans="105:115" x14ac:dyDescent="0.2">
      <c r="DA254" s="177"/>
      <c r="DB254" s="177"/>
      <c r="DC254" s="177"/>
      <c r="DD254" s="177"/>
      <c r="DE254" s="177"/>
      <c r="DF254" s="177"/>
      <c r="DG254" s="177"/>
      <c r="DH254" s="177"/>
      <c r="DI254" s="177"/>
      <c r="DJ254" s="177"/>
      <c r="DK254" s="177"/>
    </row>
    <row r="255" spans="105:115" x14ac:dyDescent="0.2">
      <c r="DA255" s="177"/>
      <c r="DB255" s="177"/>
      <c r="DC255" s="177"/>
      <c r="DD255" s="177"/>
      <c r="DE255" s="177"/>
      <c r="DF255" s="177"/>
      <c r="DG255" s="177"/>
      <c r="DH255" s="177"/>
      <c r="DI255" s="177"/>
      <c r="DJ255" s="177"/>
      <c r="DK255" s="177"/>
    </row>
    <row r="256" spans="105:115" x14ac:dyDescent="0.2">
      <c r="DA256" s="177"/>
      <c r="DB256" s="177"/>
      <c r="DC256" s="177"/>
      <c r="DD256" s="177"/>
      <c r="DE256" s="177"/>
      <c r="DF256" s="177"/>
      <c r="DG256" s="177"/>
      <c r="DH256" s="177"/>
      <c r="DI256" s="177"/>
      <c r="DJ256" s="177"/>
      <c r="DK256" s="177"/>
    </row>
    <row r="257" spans="105:115" x14ac:dyDescent="0.2">
      <c r="DA257" s="177"/>
      <c r="DB257" s="177"/>
      <c r="DC257" s="177"/>
      <c r="DD257" s="177"/>
      <c r="DE257" s="177"/>
      <c r="DF257" s="177"/>
      <c r="DG257" s="177"/>
      <c r="DH257" s="177"/>
      <c r="DI257" s="177"/>
      <c r="DJ257" s="177"/>
      <c r="DK257" s="177"/>
    </row>
    <row r="258" spans="105:115" x14ac:dyDescent="0.2">
      <c r="DA258" s="177"/>
      <c r="DB258" s="177"/>
      <c r="DC258" s="177"/>
      <c r="DD258" s="177"/>
      <c r="DE258" s="177"/>
      <c r="DF258" s="177"/>
      <c r="DG258" s="177"/>
      <c r="DH258" s="177"/>
      <c r="DI258" s="177"/>
      <c r="DJ258" s="177"/>
      <c r="DK258" s="177"/>
    </row>
    <row r="259" spans="105:115" x14ac:dyDescent="0.2">
      <c r="DA259" s="177"/>
      <c r="DB259" s="177"/>
      <c r="DC259" s="177"/>
      <c r="DD259" s="177"/>
      <c r="DE259" s="177"/>
      <c r="DF259" s="177"/>
      <c r="DG259" s="177"/>
      <c r="DH259" s="177"/>
      <c r="DI259" s="177"/>
      <c r="DJ259" s="177"/>
      <c r="DK259" s="177"/>
    </row>
    <row r="260" spans="105:115" x14ac:dyDescent="0.2">
      <c r="DA260" s="177"/>
      <c r="DB260" s="177"/>
      <c r="DC260" s="177"/>
      <c r="DD260" s="177"/>
      <c r="DE260" s="177"/>
      <c r="DF260" s="177"/>
      <c r="DG260" s="177"/>
      <c r="DH260" s="177"/>
      <c r="DI260" s="177"/>
      <c r="DJ260" s="177"/>
      <c r="DK260" s="177"/>
    </row>
    <row r="261" spans="105:115" x14ac:dyDescent="0.2">
      <c r="DA261" s="177"/>
      <c r="DB261" s="177"/>
      <c r="DC261" s="177"/>
      <c r="DD261" s="177"/>
      <c r="DE261" s="177"/>
      <c r="DF261" s="177"/>
      <c r="DG261" s="177"/>
      <c r="DH261" s="177"/>
      <c r="DI261" s="177"/>
      <c r="DJ261" s="177"/>
      <c r="DK261" s="177"/>
    </row>
    <row r="262" spans="105:115" x14ac:dyDescent="0.2">
      <c r="DA262" s="177"/>
      <c r="DB262" s="177"/>
      <c r="DC262" s="177"/>
      <c r="DD262" s="177"/>
      <c r="DE262" s="177"/>
      <c r="DF262" s="177"/>
      <c r="DG262" s="177"/>
      <c r="DH262" s="177"/>
      <c r="DI262" s="177"/>
      <c r="DJ262" s="177"/>
      <c r="DK262" s="177"/>
    </row>
    <row r="263" spans="105:115" x14ac:dyDescent="0.2">
      <c r="DA263" s="177"/>
      <c r="DB263" s="177"/>
      <c r="DC263" s="177"/>
      <c r="DD263" s="177"/>
      <c r="DE263" s="177"/>
      <c r="DF263" s="177"/>
      <c r="DG263" s="177"/>
      <c r="DH263" s="177"/>
      <c r="DI263" s="177"/>
      <c r="DJ263" s="177"/>
      <c r="DK263" s="177"/>
    </row>
    <row r="264" spans="105:115" x14ac:dyDescent="0.2">
      <c r="DA264" s="177"/>
      <c r="DB264" s="177"/>
      <c r="DC264" s="177"/>
      <c r="DD264" s="177"/>
      <c r="DE264" s="177"/>
      <c r="DF264" s="177"/>
      <c r="DG264" s="177"/>
      <c r="DH264" s="177"/>
      <c r="DI264" s="177"/>
      <c r="DJ264" s="177"/>
      <c r="DK264" s="177"/>
    </row>
    <row r="265" spans="105:115" x14ac:dyDescent="0.2">
      <c r="DA265" s="177"/>
      <c r="DB265" s="177"/>
      <c r="DC265" s="177"/>
      <c r="DD265" s="177"/>
      <c r="DE265" s="177"/>
      <c r="DF265" s="177"/>
      <c r="DG265" s="177"/>
      <c r="DH265" s="177"/>
      <c r="DI265" s="177"/>
      <c r="DJ265" s="177"/>
      <c r="DK265" s="177"/>
    </row>
    <row r="266" spans="105:115" x14ac:dyDescent="0.2">
      <c r="DA266" s="177"/>
      <c r="DB266" s="177"/>
      <c r="DC266" s="177"/>
      <c r="DD266" s="177"/>
      <c r="DE266" s="177"/>
      <c r="DF266" s="177"/>
      <c r="DG266" s="177"/>
      <c r="DH266" s="177"/>
      <c r="DI266" s="177"/>
      <c r="DJ266" s="177"/>
      <c r="DK266" s="177"/>
    </row>
    <row r="267" spans="105:115" x14ac:dyDescent="0.2">
      <c r="DA267" s="177"/>
      <c r="DB267" s="177"/>
      <c r="DC267" s="177"/>
      <c r="DD267" s="177"/>
      <c r="DE267" s="177"/>
      <c r="DF267" s="177"/>
      <c r="DG267" s="177"/>
      <c r="DH267" s="177"/>
      <c r="DI267" s="177"/>
      <c r="DJ267" s="177"/>
      <c r="DK267" s="177"/>
    </row>
    <row r="268" spans="105:115" x14ac:dyDescent="0.2">
      <c r="DA268" s="177"/>
      <c r="DB268" s="177"/>
      <c r="DC268" s="177"/>
      <c r="DD268" s="177"/>
      <c r="DE268" s="177"/>
      <c r="DF268" s="177"/>
      <c r="DG268" s="177"/>
      <c r="DH268" s="177"/>
      <c r="DI268" s="177"/>
      <c r="DJ268" s="177"/>
      <c r="DK268" s="177"/>
    </row>
    <row r="269" spans="105:115" x14ac:dyDescent="0.2">
      <c r="DA269" s="177"/>
      <c r="DB269" s="177"/>
      <c r="DC269" s="177"/>
      <c r="DD269" s="177"/>
      <c r="DE269" s="177"/>
      <c r="DF269" s="177"/>
      <c r="DG269" s="177"/>
      <c r="DH269" s="177"/>
      <c r="DI269" s="177"/>
      <c r="DJ269" s="177"/>
      <c r="DK269" s="177"/>
    </row>
    <row r="270" spans="105:115" x14ac:dyDescent="0.2">
      <c r="DA270" s="177"/>
      <c r="DB270" s="177"/>
      <c r="DC270" s="177"/>
      <c r="DD270" s="177"/>
      <c r="DE270" s="177"/>
      <c r="DF270" s="177"/>
      <c r="DG270" s="177"/>
      <c r="DH270" s="177"/>
      <c r="DI270" s="177"/>
      <c r="DJ270" s="177"/>
      <c r="DK270" s="177"/>
    </row>
    <row r="271" spans="105:115" x14ac:dyDescent="0.2">
      <c r="DA271" s="177"/>
      <c r="DB271" s="177"/>
      <c r="DC271" s="177"/>
      <c r="DD271" s="177"/>
      <c r="DE271" s="177"/>
      <c r="DF271" s="177"/>
      <c r="DG271" s="177"/>
      <c r="DH271" s="177"/>
      <c r="DI271" s="177"/>
      <c r="DJ271" s="177"/>
      <c r="DK271" s="177"/>
    </row>
    <row r="272" spans="105:115" x14ac:dyDescent="0.2">
      <c r="DA272" s="177"/>
      <c r="DB272" s="177"/>
      <c r="DC272" s="177"/>
      <c r="DD272" s="177"/>
      <c r="DE272" s="177"/>
      <c r="DF272" s="177"/>
      <c r="DG272" s="177"/>
      <c r="DH272" s="177"/>
      <c r="DI272" s="177"/>
      <c r="DJ272" s="177"/>
      <c r="DK272" s="177"/>
    </row>
    <row r="273" spans="105:115" x14ac:dyDescent="0.2">
      <c r="DA273" s="177"/>
      <c r="DB273" s="177"/>
      <c r="DC273" s="177"/>
      <c r="DD273" s="177"/>
      <c r="DE273" s="177"/>
      <c r="DF273" s="177"/>
      <c r="DG273" s="177"/>
      <c r="DH273" s="177"/>
      <c r="DI273" s="177"/>
      <c r="DJ273" s="177"/>
      <c r="DK273" s="177"/>
    </row>
    <row r="274" spans="105:115" x14ac:dyDescent="0.2">
      <c r="DA274" s="177"/>
      <c r="DB274" s="177"/>
      <c r="DC274" s="177"/>
      <c r="DD274" s="177"/>
      <c r="DE274" s="177"/>
      <c r="DF274" s="177"/>
      <c r="DG274" s="177"/>
      <c r="DH274" s="177"/>
      <c r="DI274" s="177"/>
      <c r="DJ274" s="177"/>
      <c r="DK274" s="177"/>
    </row>
    <row r="275" spans="105:115" x14ac:dyDescent="0.2">
      <c r="DA275" s="177"/>
      <c r="DB275" s="177"/>
      <c r="DC275" s="177"/>
      <c r="DD275" s="177"/>
      <c r="DE275" s="177"/>
      <c r="DF275" s="177"/>
      <c r="DG275" s="177"/>
      <c r="DH275" s="177"/>
      <c r="DI275" s="177"/>
      <c r="DJ275" s="177"/>
      <c r="DK275" s="177"/>
    </row>
    <row r="276" spans="105:115" x14ac:dyDescent="0.2">
      <c r="DA276" s="177"/>
      <c r="DB276" s="177"/>
      <c r="DC276" s="177"/>
      <c r="DD276" s="177"/>
      <c r="DE276" s="177"/>
      <c r="DF276" s="177"/>
      <c r="DG276" s="177"/>
      <c r="DH276" s="177"/>
      <c r="DI276" s="177"/>
      <c r="DJ276" s="177"/>
      <c r="DK276" s="177"/>
    </row>
    <row r="277" spans="105:115" x14ac:dyDescent="0.2">
      <c r="DA277" s="177"/>
      <c r="DB277" s="177"/>
      <c r="DC277" s="177"/>
      <c r="DD277" s="177"/>
      <c r="DE277" s="177"/>
      <c r="DF277" s="177"/>
      <c r="DG277" s="177"/>
      <c r="DH277" s="177"/>
      <c r="DI277" s="177"/>
      <c r="DJ277" s="177"/>
      <c r="DK277" s="177"/>
    </row>
    <row r="278" spans="105:115" x14ac:dyDescent="0.2">
      <c r="DA278" s="177"/>
      <c r="DB278" s="177"/>
      <c r="DC278" s="177"/>
      <c r="DD278" s="177"/>
      <c r="DE278" s="177"/>
      <c r="DF278" s="177"/>
      <c r="DG278" s="177"/>
      <c r="DH278" s="177"/>
      <c r="DI278" s="177"/>
      <c r="DJ278" s="177"/>
      <c r="DK278" s="177"/>
    </row>
    <row r="279" spans="105:115" x14ac:dyDescent="0.2">
      <c r="DA279" s="177"/>
      <c r="DB279" s="177"/>
      <c r="DC279" s="177"/>
      <c r="DD279" s="177"/>
      <c r="DE279" s="177"/>
      <c r="DF279" s="177"/>
      <c r="DG279" s="177"/>
      <c r="DH279" s="177"/>
      <c r="DI279" s="177"/>
      <c r="DJ279" s="177"/>
      <c r="DK279" s="177"/>
    </row>
    <row r="280" spans="105:115" x14ac:dyDescent="0.2">
      <c r="DA280" s="177"/>
      <c r="DB280" s="177"/>
      <c r="DC280" s="177"/>
      <c r="DD280" s="177"/>
      <c r="DE280" s="177"/>
      <c r="DF280" s="177"/>
      <c r="DG280" s="177"/>
      <c r="DH280" s="177"/>
      <c r="DI280" s="177"/>
      <c r="DJ280" s="177"/>
      <c r="DK280" s="177"/>
    </row>
    <row r="281" spans="105:115" x14ac:dyDescent="0.2">
      <c r="DA281" s="177"/>
      <c r="DB281" s="177"/>
      <c r="DC281" s="177"/>
      <c r="DD281" s="177"/>
      <c r="DE281" s="177"/>
      <c r="DF281" s="177"/>
      <c r="DG281" s="177"/>
      <c r="DH281" s="177"/>
      <c r="DI281" s="177"/>
      <c r="DJ281" s="177"/>
      <c r="DK281" s="177"/>
    </row>
    <row r="282" spans="105:115" x14ac:dyDescent="0.2">
      <c r="DA282" s="177"/>
      <c r="DB282" s="177"/>
      <c r="DC282" s="177"/>
      <c r="DD282" s="177"/>
      <c r="DE282" s="177"/>
      <c r="DF282" s="177"/>
      <c r="DG282" s="177"/>
      <c r="DH282" s="177"/>
      <c r="DI282" s="177"/>
      <c r="DJ282" s="177"/>
      <c r="DK282" s="177"/>
    </row>
    <row r="283" spans="105:115" x14ac:dyDescent="0.2">
      <c r="DA283" s="177"/>
      <c r="DB283" s="177"/>
      <c r="DC283" s="177"/>
      <c r="DD283" s="177"/>
      <c r="DE283" s="177"/>
      <c r="DF283" s="177"/>
      <c r="DG283" s="177"/>
      <c r="DH283" s="177"/>
      <c r="DI283" s="177"/>
      <c r="DJ283" s="177"/>
      <c r="DK283" s="177"/>
    </row>
    <row r="284" spans="105:115" x14ac:dyDescent="0.2">
      <c r="DA284" s="177"/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7"/>
    </row>
    <row r="285" spans="105:115" x14ac:dyDescent="0.2">
      <c r="DA285" s="177"/>
      <c r="DB285" s="177"/>
      <c r="DC285" s="177"/>
      <c r="DD285" s="177"/>
      <c r="DE285" s="177"/>
      <c r="DF285" s="177"/>
      <c r="DG285" s="177"/>
      <c r="DH285" s="177"/>
      <c r="DI285" s="177"/>
      <c r="DJ285" s="177"/>
      <c r="DK285" s="177"/>
    </row>
    <row r="286" spans="105:115" x14ac:dyDescent="0.2"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</row>
    <row r="287" spans="105:115" x14ac:dyDescent="0.2">
      <c r="DA287" s="177"/>
      <c r="DB287" s="177"/>
      <c r="DC287" s="177"/>
      <c r="DD287" s="177"/>
      <c r="DE287" s="177"/>
      <c r="DF287" s="177"/>
      <c r="DG287" s="177"/>
      <c r="DH287" s="177"/>
      <c r="DI287" s="177"/>
      <c r="DJ287" s="177"/>
      <c r="DK287" s="177"/>
    </row>
    <row r="288" spans="105:115" x14ac:dyDescent="0.2">
      <c r="DA288" s="177"/>
      <c r="DB288" s="177"/>
      <c r="DC288" s="177"/>
      <c r="DD288" s="177"/>
      <c r="DE288" s="177"/>
      <c r="DF288" s="177"/>
      <c r="DG288" s="177"/>
      <c r="DH288" s="177"/>
      <c r="DI288" s="177"/>
      <c r="DJ288" s="177"/>
      <c r="DK288" s="177"/>
    </row>
    <row r="289" spans="105:115" x14ac:dyDescent="0.2">
      <c r="DA289" s="177"/>
      <c r="DB289" s="177"/>
      <c r="DC289" s="177"/>
      <c r="DD289" s="177"/>
      <c r="DE289" s="177"/>
      <c r="DF289" s="177"/>
      <c r="DG289" s="177"/>
      <c r="DH289" s="177"/>
      <c r="DI289" s="177"/>
      <c r="DJ289" s="177"/>
      <c r="DK289" s="177"/>
    </row>
    <row r="290" spans="105:115" x14ac:dyDescent="0.2">
      <c r="DA290" s="177"/>
      <c r="DB290" s="177"/>
      <c r="DC290" s="177"/>
      <c r="DD290" s="177"/>
      <c r="DE290" s="177"/>
      <c r="DF290" s="177"/>
      <c r="DG290" s="177"/>
      <c r="DH290" s="177"/>
      <c r="DI290" s="177"/>
      <c r="DJ290" s="177"/>
      <c r="DK290" s="177"/>
    </row>
    <row r="291" spans="105:115" x14ac:dyDescent="0.2">
      <c r="DA291" s="177"/>
      <c r="DB291" s="177"/>
      <c r="DC291" s="177"/>
      <c r="DD291" s="177"/>
      <c r="DE291" s="177"/>
      <c r="DF291" s="177"/>
      <c r="DG291" s="177"/>
      <c r="DH291" s="177"/>
      <c r="DI291" s="177"/>
      <c r="DJ291" s="177"/>
      <c r="DK291" s="177"/>
    </row>
    <row r="292" spans="105:115" x14ac:dyDescent="0.2">
      <c r="DA292" s="177"/>
      <c r="DB292" s="177"/>
      <c r="DC292" s="177"/>
      <c r="DD292" s="177"/>
      <c r="DE292" s="177"/>
      <c r="DF292" s="177"/>
      <c r="DG292" s="177"/>
      <c r="DH292" s="177"/>
      <c r="DI292" s="177"/>
      <c r="DJ292" s="177"/>
      <c r="DK292" s="177"/>
    </row>
    <row r="293" spans="105:115" x14ac:dyDescent="0.2">
      <c r="DA293" s="177"/>
      <c r="DB293" s="177"/>
      <c r="DC293" s="177"/>
      <c r="DD293" s="177"/>
      <c r="DE293" s="177"/>
      <c r="DF293" s="177"/>
      <c r="DG293" s="177"/>
      <c r="DH293" s="177"/>
      <c r="DI293" s="177"/>
      <c r="DJ293" s="177"/>
      <c r="DK293" s="177"/>
    </row>
    <row r="294" spans="105:115" x14ac:dyDescent="0.2">
      <c r="DA294" s="177"/>
      <c r="DB294" s="177"/>
      <c r="DC294" s="177"/>
      <c r="DD294" s="177"/>
      <c r="DE294" s="177"/>
      <c r="DF294" s="177"/>
      <c r="DG294" s="177"/>
      <c r="DH294" s="177"/>
      <c r="DI294" s="177"/>
      <c r="DJ294" s="177"/>
      <c r="DK294" s="177"/>
    </row>
    <row r="295" spans="105:115" x14ac:dyDescent="0.2">
      <c r="DA295" s="177"/>
      <c r="DB295" s="177"/>
      <c r="DC295" s="177"/>
      <c r="DD295" s="177"/>
      <c r="DE295" s="177"/>
      <c r="DF295" s="177"/>
      <c r="DG295" s="177"/>
      <c r="DH295" s="177"/>
      <c r="DI295" s="177"/>
      <c r="DJ295" s="177"/>
      <c r="DK295" s="177"/>
    </row>
    <row r="296" spans="105:115" x14ac:dyDescent="0.2">
      <c r="DA296" s="177"/>
      <c r="DB296" s="177"/>
      <c r="DC296" s="177"/>
      <c r="DD296" s="177"/>
      <c r="DE296" s="177"/>
      <c r="DF296" s="177"/>
      <c r="DG296" s="177"/>
      <c r="DH296" s="177"/>
      <c r="DI296" s="177"/>
      <c r="DJ296" s="177"/>
      <c r="DK296" s="177"/>
    </row>
    <row r="297" spans="105:115" x14ac:dyDescent="0.2">
      <c r="DA297" s="177"/>
      <c r="DB297" s="177"/>
      <c r="DC297" s="177"/>
      <c r="DD297" s="177"/>
      <c r="DE297" s="177"/>
      <c r="DF297" s="177"/>
      <c r="DG297" s="177"/>
      <c r="DH297" s="177"/>
      <c r="DI297" s="177"/>
      <c r="DJ297" s="177"/>
      <c r="DK297" s="177"/>
    </row>
    <row r="298" spans="105:115" x14ac:dyDescent="0.2">
      <c r="DA298" s="177"/>
      <c r="DB298" s="177"/>
      <c r="DC298" s="177"/>
      <c r="DD298" s="177"/>
      <c r="DE298" s="177"/>
      <c r="DF298" s="177"/>
      <c r="DG298" s="177"/>
      <c r="DH298" s="177"/>
      <c r="DI298" s="177"/>
      <c r="DJ298" s="177"/>
      <c r="DK298" s="177"/>
    </row>
    <row r="299" spans="105:115" x14ac:dyDescent="0.2">
      <c r="DA299" s="177"/>
      <c r="DB299" s="177"/>
      <c r="DC299" s="177"/>
      <c r="DD299" s="177"/>
      <c r="DE299" s="177"/>
      <c r="DF299" s="177"/>
      <c r="DG299" s="177"/>
      <c r="DH299" s="177"/>
      <c r="DI299" s="177"/>
      <c r="DJ299" s="177"/>
      <c r="DK299" s="177"/>
    </row>
    <row r="300" spans="105:115" x14ac:dyDescent="0.2">
      <c r="DA300" s="177"/>
      <c r="DB300" s="177"/>
      <c r="DC300" s="177"/>
      <c r="DD300" s="177"/>
      <c r="DE300" s="177"/>
      <c r="DF300" s="177"/>
      <c r="DG300" s="177"/>
      <c r="DH300" s="177"/>
      <c r="DI300" s="177"/>
      <c r="DJ300" s="177"/>
      <c r="DK300" s="177"/>
    </row>
    <row r="301" spans="105:115" x14ac:dyDescent="0.2">
      <c r="DA301" s="177"/>
      <c r="DB301" s="177"/>
      <c r="DC301" s="177"/>
      <c r="DD301" s="177"/>
      <c r="DE301" s="177"/>
      <c r="DF301" s="177"/>
      <c r="DG301" s="177"/>
      <c r="DH301" s="177"/>
      <c r="DI301" s="177"/>
      <c r="DJ301" s="177"/>
      <c r="DK301" s="177"/>
    </row>
    <row r="302" spans="105:115" x14ac:dyDescent="0.2">
      <c r="DA302" s="177"/>
      <c r="DB302" s="177"/>
      <c r="DC302" s="177"/>
      <c r="DD302" s="177"/>
      <c r="DE302" s="177"/>
      <c r="DF302" s="177"/>
      <c r="DG302" s="177"/>
      <c r="DH302" s="177"/>
      <c r="DI302" s="177"/>
      <c r="DJ302" s="177"/>
      <c r="DK302" s="177"/>
    </row>
    <row r="303" spans="105:115" x14ac:dyDescent="0.2">
      <c r="DA303" s="177"/>
      <c r="DB303" s="177"/>
      <c r="DC303" s="177"/>
      <c r="DD303" s="177"/>
      <c r="DE303" s="177"/>
      <c r="DF303" s="177"/>
      <c r="DG303" s="177"/>
      <c r="DH303" s="177"/>
      <c r="DI303" s="177"/>
      <c r="DJ303" s="177"/>
      <c r="DK303" s="177"/>
    </row>
  </sheetData>
  <sheetProtection algorithmName="SHA-512" hashValue="mxWF07aCxreWw42PkAgRbGJUEmIJoGddAJAIu0qTjX9QZJeH1OfwI3DmNGkhrapbwOQ5ZdQqGP+8NA/bLQkivw==" saltValue="lkbtCeqqW5IV0Z0bfI/VQQ==" spinCount="100000" sheet="1" objects="1" scenarios="1"/>
  <conditionalFormatting sqref="D57:H57">
    <cfRule type="cellIs" dxfId="336" priority="10" stopIfTrue="1" operator="greaterThan">
      <formula>0</formula>
    </cfRule>
  </conditionalFormatting>
  <conditionalFormatting sqref="D59:H59">
    <cfRule type="cellIs" dxfId="335" priority="9" stopIfTrue="1" operator="greaterThan">
      <formula>0</formula>
    </cfRule>
  </conditionalFormatting>
  <conditionalFormatting sqref="S59">
    <cfRule type="notContainsBlanks" dxfId="334" priority="6" stopIfTrue="1">
      <formula>LEN(TRIM(S59))&gt;0</formula>
    </cfRule>
  </conditionalFormatting>
  <conditionalFormatting sqref="S57">
    <cfRule type="notContainsBlanks" dxfId="333" priority="5" stopIfTrue="1">
      <formula>LEN(TRIM(S57))&gt;0</formula>
    </cfRule>
  </conditionalFormatting>
  <conditionalFormatting sqref="S48">
    <cfRule type="notContainsBlanks" dxfId="332" priority="4" stopIfTrue="1">
      <formula>LEN(TRIM(S48))&gt;0</formula>
    </cfRule>
  </conditionalFormatting>
  <conditionalFormatting sqref="S47">
    <cfRule type="notContainsBlanks" dxfId="331" priority="3" stopIfTrue="1">
      <formula>LEN(TRIM(S47))&gt;0</formula>
    </cfRule>
  </conditionalFormatting>
  <conditionalFormatting sqref="S45">
    <cfRule type="notContainsBlanks" dxfId="330" priority="2" stopIfTrue="1">
      <formula>LEN(TRIM(S45))&gt;0</formula>
    </cfRule>
  </conditionalFormatting>
  <conditionalFormatting sqref="S43">
    <cfRule type="notContainsBlanks" dxfId="329" priority="1" stopIfTrue="1">
      <formula>LEN(TRIM(S43))&gt;0</formula>
    </cfRule>
  </conditionalFormatting>
  <hyperlinks>
    <hyperlink ref="C69" r:id="rId1" display="http://www.abgabenrechner.de/ekst"/>
    <hyperlink ref="C68" r:id="rId2"/>
    <hyperlink ref="C69:D69" r:id="rId3" display="**) Grobschätzung Einkommensteuer nach Abgabenrechner des Bundesfinanzministerium"/>
    <hyperlink ref="C70" r:id="rId4" tooltip="Steuerformen" display="Steuerformen / Körperschaftssteuer"/>
    <hyperlink ref="C67" r:id="rId5" display="Hebesätze Gemeinden um Stuttgart | municipal rate fixed by the municipality"/>
    <hyperlink ref="CV60" r:id="rId6" display="**) Grobschätzung Einkommensteuer nach Abgabenrechner des Bundesfinanzministerium"/>
    <hyperlink ref="CV57" r:id="rId7"/>
    <hyperlink ref="CV58" r:id="rId8" display="http://www.steuerformen.de/koerperschaftssteuer.htm"/>
    <hyperlink ref="CV56" r:id="rId9"/>
    <hyperlink ref="CW56" r:id="rId10" display="Hebesätze Gemeinden um Stuttgart"/>
    <hyperlink ref="CW57" r:id="rId11" display="*) Tool zur Gewerbesteuerermittlung "/>
  </hyperlinks>
  <printOptions horizontalCentered="1"/>
  <pageMargins left="0.43307086614173229" right="0.43307086614173229" top="0.59055118110236227" bottom="0.74803149606299213" header="0.31496062992125984" footer="0.31496062992125984"/>
  <pageSetup paperSize="9" scale="48" orientation="landscape" horizontalDpi="300" verticalDpi="300" r:id="rId12"/>
  <headerFooter>
    <oddFooter>&amp;L&amp;"Verdana,Standard"&amp;9&amp;A&amp;C&amp;"Verdana,Standard"&amp;9&amp;F&amp;R&amp;"Verdana,Standard"&amp;9 © 2017 www.Kindermanns.de
Jürgen Erlewein</oddFooter>
  </headerFooter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EZ424"/>
  <sheetViews>
    <sheetView showGridLines="0" zoomScale="70" zoomScaleNormal="70" workbookViewId="0">
      <selection activeCell="F3" sqref="F3"/>
    </sheetView>
  </sheetViews>
  <sheetFormatPr baseColWidth="10" defaultColWidth="11.42578125" defaultRowHeight="14.25" x14ac:dyDescent="0.2"/>
  <cols>
    <col min="1" max="1" width="1.85546875" style="57" customWidth="1"/>
    <col min="2" max="2" width="5.85546875" style="60" customWidth="1"/>
    <col min="3" max="3" width="86.140625" style="60" customWidth="1"/>
    <col min="4" max="8" width="14.7109375" style="650" customWidth="1"/>
    <col min="9" max="9" width="14.7109375" style="1240" customWidth="1"/>
    <col min="10" max="15" width="14.7109375" style="650" customWidth="1"/>
    <col min="16" max="16" width="14.7109375" style="1240" customWidth="1"/>
    <col min="17" max="17" width="4.7109375" style="351" customWidth="1"/>
    <col min="18" max="18" width="4.7109375" style="57" customWidth="1"/>
    <col min="19" max="19" width="60.7109375" style="118" customWidth="1"/>
    <col min="20" max="36" width="11.42578125" style="57" customWidth="1"/>
    <col min="37" max="89" width="11.42578125" style="57" hidden="1" customWidth="1"/>
    <col min="90" max="98" width="11.42578125" style="60" hidden="1" customWidth="1"/>
    <col min="99" max="99" width="54.28515625" style="349" hidden="1" customWidth="1"/>
    <col min="100" max="100" width="104.7109375" style="40" hidden="1" customWidth="1"/>
    <col min="101" max="101" width="97.7109375" style="60" hidden="1" customWidth="1"/>
    <col min="102" max="115" width="11.42578125" style="60" hidden="1" customWidth="1"/>
    <col min="116" max="130" width="11.42578125" style="287" hidden="1" customWidth="1"/>
    <col min="131" max="156" width="11.42578125" style="60" hidden="1" customWidth="1"/>
    <col min="157" max="16384" width="11.42578125" style="60"/>
  </cols>
  <sheetData>
    <row r="1" spans="1:134" ht="66" customHeight="1" x14ac:dyDescent="0.2"/>
    <row r="2" spans="1:134" s="95" customFormat="1" ht="21.95" customHeight="1" thickBot="1" x14ac:dyDescent="0.3">
      <c r="A2" s="601"/>
      <c r="B2" s="333">
        <v>0.19</v>
      </c>
      <c r="C2" s="1031">
        <v>7.0000000000000007E-2</v>
      </c>
      <c r="D2" s="602"/>
      <c r="E2" s="602"/>
      <c r="F2" s="603"/>
      <c r="G2" s="602"/>
      <c r="H2" s="602"/>
      <c r="I2" s="626"/>
      <c r="J2" s="602"/>
      <c r="K2" s="602"/>
      <c r="L2" s="888">
        <v>0</v>
      </c>
      <c r="M2" s="610">
        <v>0.5</v>
      </c>
      <c r="N2" s="887">
        <v>1</v>
      </c>
      <c r="O2" s="887">
        <v>2</v>
      </c>
      <c r="P2" s="1235">
        <v>3</v>
      </c>
      <c r="Q2" s="144"/>
      <c r="CU2" s="889"/>
      <c r="CV2" s="57"/>
      <c r="CW2" s="57"/>
      <c r="CX2" s="40" t="s">
        <v>1</v>
      </c>
      <c r="CY2" s="40" t="s">
        <v>2</v>
      </c>
      <c r="CZ2" s="40" t="s">
        <v>3</v>
      </c>
      <c r="DA2" s="40" t="s">
        <v>4</v>
      </c>
      <c r="DB2" s="40" t="s">
        <v>5</v>
      </c>
      <c r="DC2" s="40" t="s">
        <v>6</v>
      </c>
      <c r="DD2" s="40" t="s">
        <v>7</v>
      </c>
      <c r="DE2" s="40" t="s">
        <v>8</v>
      </c>
      <c r="DF2" s="40" t="s">
        <v>9</v>
      </c>
      <c r="DG2" s="40" t="s">
        <v>10</v>
      </c>
      <c r="DH2" s="40" t="s">
        <v>11</v>
      </c>
      <c r="DI2" s="40" t="s">
        <v>12</v>
      </c>
      <c r="DJ2" s="40" t="str">
        <f ca="1">"Jahr "&amp;'1 Pers.Ausgaben|Pers Expenses'!$C$4</f>
        <v>Jahr 2019</v>
      </c>
      <c r="DK2" s="40" t="str">
        <f ca="1">"Jahr "&amp;'1 Pers.Ausgaben|Pers Expenses'!$C$4+1</f>
        <v>Jahr 2020</v>
      </c>
    </row>
    <row r="3" spans="1:134" s="253" customFormat="1" ht="20.25" thickBot="1" x14ac:dyDescent="0.25">
      <c r="C3" s="1032" t="str">
        <f>'Deckblatt Gruender|Data Founder'!$D$8</f>
        <v>Deutsch</v>
      </c>
      <c r="D3" s="604"/>
      <c r="E3" s="605" t="str">
        <f>IF($C$3="English",CV3,CU3)</f>
        <v>Zahlungseingang</v>
      </c>
      <c r="F3" s="606">
        <v>0</v>
      </c>
      <c r="G3" s="607" t="str">
        <f>IF($C$3="English",CV4,CU4)</f>
        <v>Monate nach Rechnungsstellung (≡ Planumsatz)</v>
      </c>
      <c r="H3" s="608"/>
      <c r="I3" s="1243"/>
      <c r="J3" s="604"/>
      <c r="K3" s="609"/>
      <c r="L3" s="608"/>
      <c r="P3" s="1236"/>
      <c r="Q3" s="1236"/>
      <c r="T3" s="182"/>
      <c r="CU3" s="890" t="s">
        <v>250</v>
      </c>
      <c r="CV3" s="666" t="s">
        <v>358</v>
      </c>
      <c r="CW3" s="666" t="s">
        <v>358</v>
      </c>
      <c r="CX3" s="40" t="s">
        <v>73</v>
      </c>
      <c r="CY3" s="40" t="s">
        <v>74</v>
      </c>
      <c r="CZ3" s="40" t="s">
        <v>313</v>
      </c>
      <c r="DA3" s="40" t="s">
        <v>76</v>
      </c>
      <c r="DB3" s="40" t="s">
        <v>310</v>
      </c>
      <c r="DC3" s="40" t="s">
        <v>311</v>
      </c>
      <c r="DD3" s="40" t="s">
        <v>312</v>
      </c>
      <c r="DE3" s="40" t="s">
        <v>79</v>
      </c>
      <c r="DF3" s="40" t="s">
        <v>314</v>
      </c>
      <c r="DG3" s="40" t="s">
        <v>315</v>
      </c>
      <c r="DH3" s="40" t="s">
        <v>82</v>
      </c>
      <c r="DI3" s="40" t="s">
        <v>316</v>
      </c>
      <c r="DJ3" s="40" t="str">
        <f ca="1">"Year "&amp;'1 Pers.Ausgaben|Pers Expenses'!$C$4</f>
        <v>Year 2019</v>
      </c>
      <c r="DK3" s="40" t="str">
        <f ca="1">"Year "&amp;'1 Pers.Ausgaben|Pers Expenses'!$C$4+1</f>
        <v>Year 2020</v>
      </c>
      <c r="DL3" s="259"/>
      <c r="DM3" s="259"/>
      <c r="DN3" s="259"/>
      <c r="DO3" s="259"/>
      <c r="DP3" s="259"/>
    </row>
    <row r="4" spans="1:134" s="35" customFormat="1" x14ac:dyDescent="0.2">
      <c r="B4" s="611"/>
      <c r="C4" s="1100">
        <f>'Deckblatt Gruender|Data Founder'!M1</f>
        <v>0</v>
      </c>
      <c r="D4" s="612"/>
      <c r="E4" s="612"/>
      <c r="F4" s="613"/>
      <c r="G4" s="612"/>
      <c r="H4" s="612"/>
      <c r="I4" s="1244"/>
      <c r="J4" s="612"/>
      <c r="K4" s="612"/>
      <c r="L4" s="612"/>
      <c r="M4" s="612"/>
      <c r="N4" s="614"/>
      <c r="P4" s="68"/>
      <c r="Q4" s="68"/>
      <c r="T4" s="182" t="s">
        <v>225</v>
      </c>
      <c r="CU4" s="891" t="s">
        <v>462</v>
      </c>
      <c r="CV4" s="666" t="s">
        <v>504</v>
      </c>
      <c r="CW4" s="666" t="s">
        <v>504</v>
      </c>
      <c r="DK4" s="34"/>
      <c r="DL4" s="34"/>
      <c r="DM4" s="34"/>
      <c r="DN4" s="34"/>
      <c r="DO4" s="34"/>
      <c r="DP4" s="34"/>
    </row>
    <row r="5" spans="1:134" s="55" customFormat="1" ht="24.75" x14ac:dyDescent="0.2">
      <c r="B5" s="600" t="str">
        <f ca="1">IF($C$3="English",CW5,CV5)</f>
        <v>6a-1  Ermittlung der Liquidität und des Kapitalbedarfes für die Monate des Jahres 2019 in EURO</v>
      </c>
      <c r="C5" s="164"/>
      <c r="D5" s="114"/>
      <c r="E5" s="114"/>
      <c r="F5" s="114"/>
      <c r="G5" s="114"/>
      <c r="H5" s="114"/>
      <c r="I5" s="351"/>
      <c r="J5" s="114"/>
      <c r="K5" s="114"/>
      <c r="L5" s="114"/>
      <c r="M5" s="629"/>
      <c r="N5" s="629"/>
      <c r="O5" s="629"/>
      <c r="P5" s="1237"/>
      <c r="Q5" s="1237"/>
      <c r="T5" s="37" t="s">
        <v>317</v>
      </c>
      <c r="CU5" s="349"/>
      <c r="CV5" s="40" t="str">
        <f ca="1">"6a-1  Ermittlung der Liquidität und des Kapitalbedarfes für die Monate des Jahres "&amp;'1 Pers.Ausgaben|Pers Expenses'!$C$4&amp;" in EURO"</f>
        <v>6a-1  Ermittlung der Liquidität und des Kapitalbedarfes für die Monate des Jahres 2019 in EURO</v>
      </c>
      <c r="CW5" s="666" t="str">
        <f ca="1">"6a-1 Evaluation of liquidity and capital requirement for the months of year "&amp;'1 Pers.Ausgaben|Pers Expenses'!C4&amp; " in EURO"</f>
        <v>6a-1 Evaluation of liquidity and capital requirement for the months of year 2019 in EURO</v>
      </c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</row>
    <row r="6" spans="1:134" s="55" customFormat="1" ht="15" thickBot="1" x14ac:dyDescent="0.25">
      <c r="C6" s="1266">
        <f>'Deckblatt Gruender|Data Founder'!$M$1</f>
        <v>0</v>
      </c>
      <c r="D6" s="630">
        <v>1</v>
      </c>
      <c r="E6" s="630">
        <v>2</v>
      </c>
      <c r="F6" s="630">
        <v>3</v>
      </c>
      <c r="G6" s="630">
        <v>4</v>
      </c>
      <c r="H6" s="630">
        <v>5</v>
      </c>
      <c r="I6" s="627">
        <v>6</v>
      </c>
      <c r="J6" s="630">
        <v>7</v>
      </c>
      <c r="K6" s="630">
        <v>8</v>
      </c>
      <c r="L6" s="630">
        <v>9</v>
      </c>
      <c r="M6" s="630">
        <v>10</v>
      </c>
      <c r="N6" s="631">
        <v>11</v>
      </c>
      <c r="O6" s="630">
        <v>12</v>
      </c>
      <c r="P6" s="351"/>
      <c r="Q6" s="351"/>
      <c r="R6" s="66"/>
      <c r="T6" s="48"/>
      <c r="U6" s="66"/>
      <c r="V6" s="66"/>
      <c r="W6" s="66"/>
      <c r="X6" s="66"/>
      <c r="Y6" s="616"/>
      <c r="AB6" s="419"/>
      <c r="AC6" s="419"/>
      <c r="AD6" s="617"/>
      <c r="AE6" s="563"/>
      <c r="AF6" s="563"/>
      <c r="CU6" s="840"/>
      <c r="CV6" s="890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144"/>
      <c r="EA6" s="57"/>
      <c r="EB6" s="57"/>
      <c r="EC6" s="57"/>
      <c r="ED6" s="57"/>
    </row>
    <row r="7" spans="1:134" ht="15" thickBot="1" x14ac:dyDescent="0.25">
      <c r="B7" s="58" t="s">
        <v>344</v>
      </c>
      <c r="C7" s="632" t="str">
        <f>IF($C$3="English",CW7,CV7)</f>
        <v>Einzahlungen/Auszahlungen (MwSt-Satz s. Tab.2 und Tab.4)</v>
      </c>
      <c r="D7" s="633" t="str">
        <f>IF($C$3="English",CX3,CX2)</f>
        <v>Jan.</v>
      </c>
      <c r="E7" s="633" t="str">
        <f t="shared" ref="E7:O7" si="0">IF($C$3="English",CY3,CY2)</f>
        <v>Febr.</v>
      </c>
      <c r="F7" s="633" t="str">
        <f t="shared" si="0"/>
        <v>März</v>
      </c>
      <c r="G7" s="633" t="str">
        <f t="shared" si="0"/>
        <v>April</v>
      </c>
      <c r="H7" s="1233" t="str">
        <f t="shared" si="0"/>
        <v>Mai</v>
      </c>
      <c r="I7" s="1238" t="str">
        <f t="shared" si="0"/>
        <v>Juni</v>
      </c>
      <c r="J7" s="1241" t="str">
        <f t="shared" si="0"/>
        <v>Juli</v>
      </c>
      <c r="K7" s="633" t="str">
        <f t="shared" si="0"/>
        <v>Aug.</v>
      </c>
      <c r="L7" s="633" t="str">
        <f t="shared" si="0"/>
        <v>Sept.</v>
      </c>
      <c r="M7" s="633" t="str">
        <f t="shared" si="0"/>
        <v>Okt.</v>
      </c>
      <c r="N7" s="633" t="str">
        <f t="shared" si="0"/>
        <v>Nov.</v>
      </c>
      <c r="O7" s="1233" t="str">
        <f t="shared" si="0"/>
        <v>Dez.</v>
      </c>
      <c r="P7" s="1249" t="str">
        <f ca="1">IF($C$3="English",DJ3,DJ2)</f>
        <v>Jahr 2019</v>
      </c>
      <c r="Q7" s="634"/>
      <c r="S7" s="56" t="str">
        <f>IF(C3="English",T5,T4)</f>
        <v>Aufgaben und/oder Kommentar</v>
      </c>
      <c r="CV7" s="40" t="s">
        <v>145</v>
      </c>
      <c r="CW7" s="666" t="s">
        <v>722</v>
      </c>
    </row>
    <row r="8" spans="1:134" x14ac:dyDescent="0.2">
      <c r="B8" s="635">
        <v>1</v>
      </c>
      <c r="C8" s="619" t="str">
        <f>IF($C$3="English",CW8,CV8)</f>
        <v>Konto / flüss. Mittel / Liquiditätssaldo</v>
      </c>
      <c r="D8" s="1136"/>
      <c r="E8" s="1136">
        <f>D37</f>
        <v>0</v>
      </c>
      <c r="F8" s="1136">
        <f t="shared" ref="F8:O8" si="1">E37</f>
        <v>0</v>
      </c>
      <c r="G8" s="1136">
        <f t="shared" si="1"/>
        <v>0</v>
      </c>
      <c r="H8" s="1248">
        <f t="shared" si="1"/>
        <v>0</v>
      </c>
      <c r="I8" s="1248">
        <f t="shared" si="1"/>
        <v>0</v>
      </c>
      <c r="J8" s="1248">
        <f t="shared" si="1"/>
        <v>0</v>
      </c>
      <c r="K8" s="1136">
        <f t="shared" si="1"/>
        <v>0</v>
      </c>
      <c r="L8" s="1136">
        <f t="shared" si="1"/>
        <v>0</v>
      </c>
      <c r="M8" s="1136">
        <f t="shared" si="1"/>
        <v>0</v>
      </c>
      <c r="N8" s="1136">
        <f t="shared" si="1"/>
        <v>0</v>
      </c>
      <c r="O8" s="1234">
        <f t="shared" si="1"/>
        <v>0</v>
      </c>
      <c r="P8" s="1250"/>
      <c r="CU8" s="841"/>
      <c r="CV8" s="892" t="s">
        <v>71</v>
      </c>
      <c r="CW8" s="666" t="s">
        <v>359</v>
      </c>
    </row>
    <row r="9" spans="1:134" ht="15" thickBot="1" x14ac:dyDescent="0.25">
      <c r="B9" s="635"/>
      <c r="C9" s="620" t="str">
        <f>IF($C$3="English",CW9,CV9)</f>
        <v>Startguthaben (= Eigenkapital und -leistung aus Tab. 7a)</v>
      </c>
      <c r="D9" s="1136">
        <f>IF('7 Finanzierung|Financing'!$E$10=D6,'7 Finanzierung|Financing'!$D$10,0)+IF('7 Finanzierung|Financing'!$E$12=D6,'7 Finanzierung|Financing'!$D$12,0)</f>
        <v>0</v>
      </c>
      <c r="E9" s="1136">
        <f>IF('7 Finanzierung|Financing'!$E$10=E6,'7 Finanzierung|Financing'!$D$10,0)+IF('7 Finanzierung|Financing'!$E$12=E6,'7 Finanzierung|Financing'!$D$12,0)</f>
        <v>0</v>
      </c>
      <c r="F9" s="1136">
        <f>IF('7 Finanzierung|Financing'!$E$10=F6,'7 Finanzierung|Financing'!$D$10,0)+IF('7 Finanzierung|Financing'!$E$12=F6,'7 Finanzierung|Financing'!$D$12,0)</f>
        <v>0</v>
      </c>
      <c r="G9" s="1136">
        <f>IF('7 Finanzierung|Financing'!$E$10=G6,'7 Finanzierung|Financing'!$D$10,0)+IF('7 Finanzierung|Financing'!$E$12=G6,'7 Finanzierung|Financing'!$D$12,0)</f>
        <v>0</v>
      </c>
      <c r="H9" s="1136">
        <f>IF('7 Finanzierung|Financing'!$E$10=H6,'7 Finanzierung|Financing'!$D$10,0)+IF('7 Finanzierung|Financing'!$E$12=H6,'7 Finanzierung|Financing'!$D$12,0)</f>
        <v>0</v>
      </c>
      <c r="I9" s="1136">
        <f>IF('7 Finanzierung|Financing'!$E$10=I6,'7 Finanzierung|Financing'!$D$10,0)+IF('7 Finanzierung|Financing'!$E$12=I6,'7 Finanzierung|Financing'!$D$12,0)</f>
        <v>0</v>
      </c>
      <c r="J9" s="1136">
        <f>IF('7 Finanzierung|Financing'!$E$10=J6,'7 Finanzierung|Financing'!$D$10,0)+IF('7 Finanzierung|Financing'!$E$12=J6,'7 Finanzierung|Financing'!$D$12,0)</f>
        <v>0</v>
      </c>
      <c r="K9" s="1136">
        <f>IF('7 Finanzierung|Financing'!$E$10=K6,'7 Finanzierung|Financing'!$D$10,0)+IF('7 Finanzierung|Financing'!$E$12=K6,'7 Finanzierung|Financing'!$D$12,0)</f>
        <v>0</v>
      </c>
      <c r="L9" s="1136">
        <f>IF('7 Finanzierung|Financing'!$E$10=L6,'7 Finanzierung|Financing'!$D$10,0)+IF('7 Finanzierung|Financing'!$E$12=L6,'7 Finanzierung|Financing'!$D$12,0)</f>
        <v>0</v>
      </c>
      <c r="M9" s="1136">
        <f>IF('7 Finanzierung|Financing'!$E$10=M6,'7 Finanzierung|Financing'!$D$10,0)+IF('7 Finanzierung|Financing'!$E$12=M6,'7 Finanzierung|Financing'!$D$12,0)</f>
        <v>0</v>
      </c>
      <c r="N9" s="1136">
        <f>IF('7 Finanzierung|Financing'!$E$10=N6,'7 Finanzierung|Financing'!$D$10,0)+IF('7 Finanzierung|Financing'!$E$12=N6,'7 Finanzierung|Financing'!$D$12,0)</f>
        <v>0</v>
      </c>
      <c r="O9" s="1136">
        <f>IF('7 Finanzierung|Financing'!$E$10=O6,'7 Finanzierung|Financing'!$D$10,0)+IF('7 Finanzierung|Financing'!$E$12=O6,'7 Finanzierung|Financing'!$D$12,0)</f>
        <v>0</v>
      </c>
      <c r="P9" s="1137">
        <f>SUM(D9:O9)</f>
        <v>0</v>
      </c>
      <c r="CU9" s="841"/>
      <c r="CV9" s="892" t="s">
        <v>224</v>
      </c>
      <c r="CW9" s="666" t="s">
        <v>723</v>
      </c>
    </row>
    <row r="10" spans="1:134" ht="15" thickTop="1" x14ac:dyDescent="0.2">
      <c r="B10" s="636">
        <v>2</v>
      </c>
      <c r="C10" s="621" t="str">
        <f>IF($C$3="English",CW10,CV10)</f>
        <v>Einnahmen / Einzahlungen</v>
      </c>
      <c r="D10" s="1138"/>
      <c r="E10" s="1138"/>
      <c r="F10" s="1138"/>
      <c r="G10" s="1138"/>
      <c r="H10" s="1138"/>
      <c r="I10" s="1138"/>
      <c r="J10" s="1138"/>
      <c r="K10" s="1138"/>
      <c r="L10" s="1138"/>
      <c r="M10" s="1138"/>
      <c r="N10" s="1138"/>
      <c r="O10" s="1138"/>
      <c r="P10" s="1139"/>
      <c r="CU10" s="841"/>
      <c r="CV10" s="892" t="s">
        <v>52</v>
      </c>
      <c r="CW10" s="666" t="s">
        <v>360</v>
      </c>
    </row>
    <row r="11" spans="1:134" x14ac:dyDescent="0.2">
      <c r="B11" s="637"/>
      <c r="C11" s="619" t="str">
        <f t="shared" ref="C11:C37" si="2">IF($C$3="English",CW11,CV11)</f>
        <v>Umsatzerlöse (ohne MwSt) (aus Tab 2a-1)</v>
      </c>
      <c r="D11" s="1136">
        <f>IF($F$3=0,IF(OR($C$4=0,$C$4=1,$C$4=3),'2  Umsatz|Sales'!E34,'2  Umsatz|Sales'!E34-D25-D26),IF($F$3=0.5,IF(OR($C$4=0,$C$4=1,$C$4=3),'2  Umsatz|Sales'!E34/2,('2  Umsatz|Sales'!E34-D25-D26)/2),0))</f>
        <v>0</v>
      </c>
      <c r="E11" s="1136">
        <f>IF($F$3=0,IF(OR($C$4=0,$C$4=1,$C$4=3),'2  Umsatz|Sales'!F34,'2  Umsatz|Sales'!F34-E25-E26),IF($F$3=0.5,IF(OR($C$4=0,$C$4=1,$C$4=3),('2  Umsatz|Sales'!E34+'2  Umsatz|Sales'!F34)/2,('2  Umsatz|Sales'!E34+'2  Umsatz|Sales'!F34-(D25+D26+E25+E26))/2),IF($F$3=1,IF(OR($C$4=0,$C$4=1,$C$4=3),'2  Umsatz|Sales'!E34,'2  Umsatz|Sales'!E34-D25-D26),0)))</f>
        <v>0</v>
      </c>
      <c r="F11" s="1136">
        <f>IF($F$3=0,IF(OR($C$4=0,$C$4=1,$C$4=3),'2  Umsatz|Sales'!G34,'2  Umsatz|Sales'!G34-F25-F26),IF($F$3=0.5,IF(OR($C$4=0,$C$4=1,$C$4=3),('2  Umsatz|Sales'!F34+'2  Umsatz|Sales'!G34)/2,('2  Umsatz|Sales'!F34+'2  Umsatz|Sales'!G34-(E25+E26+F25+F26))/2),IF($F$3=1,IF(OR($C$4=0,$C$4=1,$C$4=3),'2  Umsatz|Sales'!F34,'2  Umsatz|Sales'!F34-E25-E26),IF($F$3=2,IF(OR($C$4=0,$C$4=1,$C$4=3),'2  Umsatz|Sales'!E34,'2  Umsatz|Sales'!E34-D25-D26),0))))</f>
        <v>0</v>
      </c>
      <c r="G11" s="1136">
        <f>IF($F$3=0,IF(OR($C$4=0,$C$4=1,$C$4=3),'2  Umsatz|Sales'!H34,'2  Umsatz|Sales'!H34-G25-G26),IF($F$3=0.5,IF(OR($C$4=0,$C$4=1,$C$4=3),('2  Umsatz|Sales'!G34+'2  Umsatz|Sales'!H34)/2,('2  Umsatz|Sales'!G34+'2  Umsatz|Sales'!H34-(F25+F26+G25+G26))/2),IF($F$3=1,IF(OR($C$4=0,$C$4=1,$C$4=3),'2  Umsatz|Sales'!G34,'2  Umsatz|Sales'!G34-F25-F26),IF($F$3=2,IF(OR($C$4=0,$C$4=1,$C$4=3),'2  Umsatz|Sales'!F34,'2  Umsatz|Sales'!F34-E25-E26),IF($F$3=3,IF(OR($C$4=0,$C$4=1,$C$4=3),'2  Umsatz|Sales'!E34,'2  Umsatz|Sales'!E34-D25-D26),0)))))</f>
        <v>0</v>
      </c>
      <c r="H11" s="1136">
        <f>IF($F$3=0,IF(OR($C$4=0,$C$4=1,$C$4=3),'2  Umsatz|Sales'!I34,'2  Umsatz|Sales'!I34-H25-H26),IF($F$3=0.5,IF(OR($C$4=0,$C$4=1,$C$4=3),('2  Umsatz|Sales'!H34+'2  Umsatz|Sales'!I34)/2,('2  Umsatz|Sales'!H34+'2  Umsatz|Sales'!I34-(G25+G26+H25+H26))/2),IF($F$3=1,IF(OR($C$4=0,$C$4=1,$C$4=3),'2  Umsatz|Sales'!H34,'2  Umsatz|Sales'!H34-G25-G26),IF($F$3=2,IF(OR($C$4=0,$C$4=1,$C$4=3),'2  Umsatz|Sales'!G34,'2  Umsatz|Sales'!G34-F25-F26),IF($F$3=3,IF(OR($C$4=0,$C$4=1,$C$4=3),'2  Umsatz|Sales'!F34,'2  Umsatz|Sales'!F34-E25-E26),0)))))</f>
        <v>0</v>
      </c>
      <c r="I11" s="1136">
        <f>IF($F$3=0,IF(OR($C$4=0,$C$4=1,$C$4=3),'2  Umsatz|Sales'!J34,'2  Umsatz|Sales'!J34-I25-I26),IF($F$3=0.5,IF(OR($C$4=0,$C$4=1,$C$4=3),('2  Umsatz|Sales'!I34+'2  Umsatz|Sales'!J34)/2,('2  Umsatz|Sales'!I34+'2  Umsatz|Sales'!J34-(H25+H26+I25+I26))/2),IF($F$3=1,IF(OR($C$4=0,$C$4=1,$C$4=3),'2  Umsatz|Sales'!I34,'2  Umsatz|Sales'!I34-H25-H26),IF($F$3=2,IF(OR($C$4=0,$C$4=1,$C$4=3),'2  Umsatz|Sales'!H34,'2  Umsatz|Sales'!H34-G25-G26),IF($F$3=3,IF(OR($C$4=0,$C$4=1,$C$4=3),'2  Umsatz|Sales'!G34,'2  Umsatz|Sales'!G34-F25-F26),0)))))</f>
        <v>0</v>
      </c>
      <c r="J11" s="1136">
        <f>IF($F$3=0,IF(OR($C$4=0,$C$4=1,$C$4=3),'2  Umsatz|Sales'!K34,'2  Umsatz|Sales'!K34-J25-J26),IF($F$3=0.5,IF(OR($C$4=0,$C$4=1,$C$4=3),('2  Umsatz|Sales'!J34+'2  Umsatz|Sales'!K34)/2,('2  Umsatz|Sales'!J34+'2  Umsatz|Sales'!K34-(I25+I26+J25+J26))/2),IF($F$3=1,IF(OR($C$4=0,$C$4=1,$C$4=3),'2  Umsatz|Sales'!J34,'2  Umsatz|Sales'!J34-I25-I26),IF($F$3=2,IF(OR($C$4=0,$C$4=1,$C$4=3),'2  Umsatz|Sales'!I34,'2  Umsatz|Sales'!I34-H25-H26),IF($F$3=3,IF(OR($C$4=0,$C$4=1,$C$4=3),'2  Umsatz|Sales'!H34,'2  Umsatz|Sales'!H34-G25-G26),0)))))</f>
        <v>0</v>
      </c>
      <c r="K11" s="1136">
        <f>IF($F$3=0,IF(OR($C$4=0,$C$4=1,$C$4=3),'2  Umsatz|Sales'!L34,'2  Umsatz|Sales'!L34-K25-K26),IF($F$3=0.5,IF(OR($C$4=0,$C$4=1,$C$4=3),('2  Umsatz|Sales'!K34+'2  Umsatz|Sales'!L34)/2,('2  Umsatz|Sales'!K34+'2  Umsatz|Sales'!L34-(J25+J26+K25+K26))/2),IF($F$3=1,IF(OR($C$4=0,$C$4=1,$C$4=3),'2  Umsatz|Sales'!K34,'2  Umsatz|Sales'!K34-J25-J26),IF($F$3=2,IF(OR($C$4=0,$C$4=1,$C$4=3),'2  Umsatz|Sales'!J34,'2  Umsatz|Sales'!J34-I25-I26),IF($F$3=3,IF(OR($C$4=0,$C$4=1,$C$4=3),'2  Umsatz|Sales'!I34,'2  Umsatz|Sales'!I34-H25-H26),0)))))</f>
        <v>0</v>
      </c>
      <c r="L11" s="1136">
        <f>IF($F$3=0,IF(OR($C$4=0,$C$4=1,$C$4=3),'2  Umsatz|Sales'!M34,'2  Umsatz|Sales'!M34-L25-L26),IF($F$3=0.5,IF(OR($C$4=0,$C$4=1,$C$4=3),('2  Umsatz|Sales'!L34+'2  Umsatz|Sales'!M34)/2,('2  Umsatz|Sales'!L34+'2  Umsatz|Sales'!M34-(K25+K26+L25+L26))/2),IF($F$3=1,IF(OR($C$4=0,$C$4=1,$C$4=3),'2  Umsatz|Sales'!L34,'2  Umsatz|Sales'!L34-K25-K26),IF($F$3=2,IF(OR($C$4=0,$C$4=1,$C$4=3),'2  Umsatz|Sales'!K34,'2  Umsatz|Sales'!K34-J25-J26),IF($F$3=3,IF(OR($C$4=0,$C$4=1,$C$4=3),'2  Umsatz|Sales'!J34,'2  Umsatz|Sales'!J34-I25-I26),0)))))</f>
        <v>0</v>
      </c>
      <c r="M11" s="1136">
        <f>IF($F$3=0,IF(OR($C$4=0,$C$4=1,$C$4=3),'2  Umsatz|Sales'!N34,'2  Umsatz|Sales'!N34-M25-M26),IF($F$3=0.5,IF(OR($C$4=0,$C$4=1,$C$4=3),('2  Umsatz|Sales'!M34+'2  Umsatz|Sales'!N34)/2,('2  Umsatz|Sales'!M34+'2  Umsatz|Sales'!N34-(L25+L26+M25+M26))/2),IF($F$3=1,IF(OR($C$4=0,$C$4=1,$C$4=3),'2  Umsatz|Sales'!M34,'2  Umsatz|Sales'!M34-L25-L26),IF($F$3=2,IF(OR($C$4=0,$C$4=1,$C$4=3),'2  Umsatz|Sales'!L34,'2  Umsatz|Sales'!L34-K25-K26),IF($F$3=3,IF(OR($C$4=0,$C$4=1,$C$4=3),'2  Umsatz|Sales'!K34,'2  Umsatz|Sales'!K34-J25-J26),0)))))</f>
        <v>0</v>
      </c>
      <c r="N11" s="1136">
        <f>IF($F$3=0,IF(OR($C$4=0,$C$4=1,$C$4=3),'2  Umsatz|Sales'!O34,'2  Umsatz|Sales'!O34-N25-N26),IF($F$3=0.5,IF(OR($C$4=0,$C$4=1,$C$4=3),('2  Umsatz|Sales'!N34+'2  Umsatz|Sales'!O34)/2,('2  Umsatz|Sales'!N34+'2  Umsatz|Sales'!O34-(M25+M26+N25+N26))/2),IF($F$3=1,IF(OR($C$4=0,$C$4=1,$C$4=3),'2  Umsatz|Sales'!N34,'2  Umsatz|Sales'!N34-M25-M26),IF($F$3=2,IF(OR($C$4=0,$C$4=1,$C$4=3),'2  Umsatz|Sales'!M34,'2  Umsatz|Sales'!M34-L25-L26),IF($F$3=3,IF(OR($C$4=0,$C$4=1,$C$4=3),'2  Umsatz|Sales'!L34,'2  Umsatz|Sales'!L34-K25-K26),0)))))</f>
        <v>0</v>
      </c>
      <c r="O11" s="1136">
        <f>IF($F$3=0,IF(OR($C$4=0,$C$4=1,$C$4=3),'2  Umsatz|Sales'!P34,'2  Umsatz|Sales'!P34-O25-O26),IF($F$3=0.5,IF(OR($C$4=0,$C$4=1,$C$4=3),('2  Umsatz|Sales'!O34+'2  Umsatz|Sales'!P34)/2,('2  Umsatz|Sales'!O34+'2  Umsatz|Sales'!P34-(N25+N26+O25+O26))/2),IF($F$3=1,IF(OR($C$4=0,$C$4=1,$C$4=3),'2  Umsatz|Sales'!O34,'2  Umsatz|Sales'!O34-N25-N26),IF($F$3=2,IF(OR($C$4=0,$C$4=1,$C$4=3),'2  Umsatz|Sales'!N34,'2  Umsatz|Sales'!N34-M25-M26),IF($F$3=3,IF(OR($C$4=0,$C$4=1,$C$4=3),'2  Umsatz|Sales'!M34,'2  Umsatz|Sales'!M34-L25-L26),0)))))</f>
        <v>0</v>
      </c>
      <c r="P11" s="1137">
        <f>SUM(D11:O11)</f>
        <v>0</v>
      </c>
      <c r="CV11" s="40" t="str">
        <f>"Umsatzerlöse "&amp;IF($C$6&lt;&gt;1,"(ohne MwSt)","(mit MwSt)")&amp; " (aus Tab 2a-1)"</f>
        <v>Umsatzerlöse (ohne MwSt) (aus Tab 2a-1)</v>
      </c>
      <c r="CW11" s="60" t="str">
        <f>"Sales "&amp;IF($C$6=0,"(w/o VAT)","(includ. VAT)")&amp; " (from tab 2a)"</f>
        <v>Sales (w/o VAT) (from tab 2a)</v>
      </c>
    </row>
    <row r="12" spans="1:134" x14ac:dyDescent="0.2">
      <c r="B12" s="637"/>
      <c r="C12" s="619" t="str">
        <f t="shared" si="2"/>
        <v>in Rechnung gestellte MwSt. auf Umsatzerlöse (Zeile 24+25  Tab 6a-1)</v>
      </c>
      <c r="D12" s="1136">
        <f>IF($C$4=1,"",IF($C$4=1,"",IF($F$3=0,D25+D26,IF($F$3=0.5,(D25+D26)/2,0))))</f>
        <v>0</v>
      </c>
      <c r="E12" s="1136">
        <f>IF($C$4=1,"",IF($F$3=0,E25+E26,IF($F$3=0.5,(D25+E25+D26+E26)/2,IF($F$3=1,D25+D26,0))))</f>
        <v>0</v>
      </c>
      <c r="F12" s="1136">
        <f>IF($C$4=1,"",IF($F$3=0,F25+F26,IF($F$3=0.5,(E25+F25+E26+F26)/2,IF($F$3=1,E25+E26,IF($F$3=2,D25+D26,0)))))</f>
        <v>0</v>
      </c>
      <c r="G12" s="1136">
        <f>IF($C$4=1,"",IF($F$3=0,G25+G26,IF($F$3=0.5,(F25+G25+F26+G26)/2,IF($F$3=1,F25+F26,IF($F$3=2,E25+E26,IF($F$3=3,D25+D26,0))))))</f>
        <v>0</v>
      </c>
      <c r="H12" s="1136">
        <f t="shared" ref="H12:O12" si="3">IF($C$4=1,"",IF($F$3=0,H25+H26,IF($F$3=0.5,(G25+H25+G26+H26)/2,IF($F$3=1,G25+G26,IF($F$3=2,F25+F26,IF($F$3=3,E25+E26,0))))))</f>
        <v>0</v>
      </c>
      <c r="I12" s="1136">
        <f t="shared" si="3"/>
        <v>0</v>
      </c>
      <c r="J12" s="1136">
        <f t="shared" si="3"/>
        <v>0</v>
      </c>
      <c r="K12" s="1136">
        <f t="shared" si="3"/>
        <v>0</v>
      </c>
      <c r="L12" s="1136">
        <f t="shared" si="3"/>
        <v>0</v>
      </c>
      <c r="M12" s="1136">
        <f t="shared" si="3"/>
        <v>0</v>
      </c>
      <c r="N12" s="1136">
        <f t="shared" si="3"/>
        <v>0</v>
      </c>
      <c r="O12" s="1136">
        <f t="shared" si="3"/>
        <v>0</v>
      </c>
      <c r="P12" s="1137">
        <f t="shared" ref="P12:P17" si="4">IF(C12="","",SUM(D12:O12))</f>
        <v>0</v>
      </c>
      <c r="CV12" s="40" t="str">
        <f>IF($C$4=1,"","in Rechnung gestellte MwSt. auf Umsatzerlöse (Zeile 24+25  Tab 6a-1)")</f>
        <v>in Rechnung gestellte MwSt. auf Umsatzerlöse (Zeile 24+25  Tab 6a-1)</v>
      </c>
      <c r="CW12" s="666" t="str">
        <f>IF($C$4=1,"","Charged  VAT for sales (line 24+25 tab 6a)")</f>
        <v>Charged  VAT for sales (line 24+25 tab 6a)</v>
      </c>
    </row>
    <row r="13" spans="1:134" x14ac:dyDescent="0.2">
      <c r="B13" s="637"/>
      <c r="C13" s="619" t="str">
        <f t="shared" si="2"/>
        <v>Finanzierung (aus Tab. 7a o. Eigenanteil)</v>
      </c>
      <c r="D13" s="1136">
        <f>IF(D6='7 Finanzierung|Financing'!F131,'7 Finanzierung|Financing'!F129,"")</f>
        <v>0</v>
      </c>
      <c r="E13" s="1136">
        <f>IF(E6='7 Finanzierung|Financing'!G131,'7 Finanzierung|Financing'!G129,"")</f>
        <v>0</v>
      </c>
      <c r="F13" s="1136">
        <f>IF(F6='7 Finanzierung|Financing'!H131,'7 Finanzierung|Financing'!H129,"")</f>
        <v>0</v>
      </c>
      <c r="G13" s="1136">
        <f>IF(G6='7 Finanzierung|Financing'!I131,'7 Finanzierung|Financing'!I129,"")</f>
        <v>0</v>
      </c>
      <c r="H13" s="1136">
        <f>IF(H6='7 Finanzierung|Financing'!J131,'7 Finanzierung|Financing'!J129,"")</f>
        <v>0</v>
      </c>
      <c r="I13" s="1136">
        <f>IF(I6='7 Finanzierung|Financing'!K131,'7 Finanzierung|Financing'!K129,"")</f>
        <v>0</v>
      </c>
      <c r="J13" s="1136">
        <f>IF(J6='7 Finanzierung|Financing'!L131,'7 Finanzierung|Financing'!L129,"")</f>
        <v>0</v>
      </c>
      <c r="K13" s="1136">
        <f>IF(K6='7 Finanzierung|Financing'!M131,'7 Finanzierung|Financing'!M129,"")</f>
        <v>0</v>
      </c>
      <c r="L13" s="1136">
        <f>IF(L6='7 Finanzierung|Financing'!N131,'7 Finanzierung|Financing'!N129,"")</f>
        <v>0</v>
      </c>
      <c r="M13" s="1136">
        <f>IF(M6='7 Finanzierung|Financing'!O131,'7 Finanzierung|Financing'!O129,"")</f>
        <v>0</v>
      </c>
      <c r="N13" s="1136">
        <f>IF(N6='7 Finanzierung|Financing'!P131,'7 Finanzierung|Financing'!P129,"")</f>
        <v>0</v>
      </c>
      <c r="O13" s="1136">
        <f>IF(O6='7 Finanzierung|Financing'!Q131,'7 Finanzierung|Financing'!Q129,"")</f>
        <v>0</v>
      </c>
      <c r="P13" s="1137">
        <f t="shared" si="4"/>
        <v>0</v>
      </c>
      <c r="CV13" s="40" t="str">
        <f>"Finanzierung (aus Tab. 7a o. Eigenanteil)"</f>
        <v>Finanzierung (aus Tab. 7a o. Eigenanteil)</v>
      </c>
      <c r="CW13" s="228" t="s">
        <v>724</v>
      </c>
    </row>
    <row r="14" spans="1:134" x14ac:dyDescent="0.2">
      <c r="B14" s="637"/>
      <c r="C14" s="619" t="str">
        <f t="shared" si="2"/>
        <v>MwSt-Rückerstattung aus Betriebsausgaben (Zeilen 22+23 Tab. 6a-1)</v>
      </c>
      <c r="D14" s="1136">
        <f>IF($C$4=1,"",D23+D24)</f>
        <v>0</v>
      </c>
      <c r="E14" s="1136">
        <f t="shared" ref="E14:O14" si="5">IF($C$4=1,"",E23+E24)</f>
        <v>0</v>
      </c>
      <c r="F14" s="1136">
        <f t="shared" si="5"/>
        <v>0</v>
      </c>
      <c r="G14" s="1136">
        <f t="shared" si="5"/>
        <v>0</v>
      </c>
      <c r="H14" s="1136">
        <f t="shared" si="5"/>
        <v>0</v>
      </c>
      <c r="I14" s="1136">
        <f t="shared" si="5"/>
        <v>0</v>
      </c>
      <c r="J14" s="1136">
        <f t="shared" si="5"/>
        <v>0</v>
      </c>
      <c r="K14" s="1136">
        <f t="shared" si="5"/>
        <v>0</v>
      </c>
      <c r="L14" s="1136">
        <f t="shared" si="5"/>
        <v>0</v>
      </c>
      <c r="M14" s="1136">
        <f t="shared" si="5"/>
        <v>0</v>
      </c>
      <c r="N14" s="1136">
        <f t="shared" si="5"/>
        <v>0</v>
      </c>
      <c r="O14" s="1136">
        <f t="shared" si="5"/>
        <v>0</v>
      </c>
      <c r="P14" s="1137">
        <f t="shared" si="4"/>
        <v>0</v>
      </c>
      <c r="CV14" s="40" t="str">
        <f>IF($C$4=1,"","MwSt-Rückerstattung aus Betriebsausgaben (Zeilen 22+23 Tab. 6a-1)")</f>
        <v>MwSt-Rückerstattung aus Betriebsausgaben (Zeilen 22+23 Tab. 6a-1)</v>
      </c>
      <c r="CW14" s="60" t="str">
        <f>IF(C4=1,"","VAT credits from business expenses (lines 22+23 tab. 6a)")</f>
        <v>VAT credits from business expenses (lines 22+23 tab. 6a)</v>
      </c>
    </row>
    <row r="15" spans="1:134" x14ac:dyDescent="0.2">
      <c r="B15" s="637"/>
      <c r="C15" s="619" t="str">
        <f t="shared" si="2"/>
        <v>MwSt-Rückerstattung aus Anschaffungen (Zeile 18 Tab. 6a-1)</v>
      </c>
      <c r="D15" s="1136">
        <f>D21</f>
        <v>0</v>
      </c>
      <c r="E15" s="1136">
        <f t="shared" ref="E15:O15" si="6">E21</f>
        <v>0</v>
      </c>
      <c r="F15" s="1136">
        <f t="shared" si="6"/>
        <v>0</v>
      </c>
      <c r="G15" s="1136">
        <f t="shared" si="6"/>
        <v>0</v>
      </c>
      <c r="H15" s="1136">
        <f t="shared" si="6"/>
        <v>0</v>
      </c>
      <c r="I15" s="1136">
        <f t="shared" si="6"/>
        <v>0</v>
      </c>
      <c r="J15" s="1136">
        <f t="shared" si="6"/>
        <v>0</v>
      </c>
      <c r="K15" s="1136">
        <f t="shared" si="6"/>
        <v>0</v>
      </c>
      <c r="L15" s="1136">
        <f t="shared" si="6"/>
        <v>0</v>
      </c>
      <c r="M15" s="1136">
        <f t="shared" si="6"/>
        <v>0</v>
      </c>
      <c r="N15" s="1136">
        <f t="shared" si="6"/>
        <v>0</v>
      </c>
      <c r="O15" s="1136">
        <f t="shared" si="6"/>
        <v>0</v>
      </c>
      <c r="P15" s="1137">
        <f t="shared" si="4"/>
        <v>0</v>
      </c>
      <c r="CV15" s="40" t="str">
        <f>IF(C4=1,"","MwSt-Rückerstattung aus Anschaffungen (Zeile 18 Tab. 6a-1)")</f>
        <v>MwSt-Rückerstattung aus Anschaffungen (Zeile 18 Tab. 6a-1)</v>
      </c>
      <c r="CW15" s="60" t="str">
        <f>IF($C$4=1,"","VAT credits from investments (line 18 tab 6a)")</f>
        <v>VAT credits from investments (line 18 tab 6a)</v>
      </c>
    </row>
    <row r="16" spans="1:134" x14ac:dyDescent="0.2">
      <c r="B16" s="637"/>
      <c r="C16" s="1450" t="str">
        <f t="shared" si="2"/>
        <v>Forderungsausgleich</v>
      </c>
      <c r="D16" s="1445"/>
      <c r="E16" s="1445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6">
        <f t="shared" si="4"/>
        <v>0</v>
      </c>
      <c r="S16" s="222"/>
      <c r="CV16" s="40" t="s">
        <v>60</v>
      </c>
      <c r="CW16" s="228" t="s">
        <v>361</v>
      </c>
    </row>
    <row r="17" spans="1:101" x14ac:dyDescent="0.2">
      <c r="B17" s="637"/>
      <c r="C17" s="1449" t="s">
        <v>228</v>
      </c>
      <c r="D17" s="1447"/>
      <c r="E17" s="1447"/>
      <c r="F17" s="1447"/>
      <c r="G17" s="1447"/>
      <c r="H17" s="1447"/>
      <c r="I17" s="1447"/>
      <c r="J17" s="1447"/>
      <c r="K17" s="1447"/>
      <c r="L17" s="1447"/>
      <c r="M17" s="1447"/>
      <c r="N17" s="1447"/>
      <c r="O17" s="1447"/>
      <c r="P17" s="1448">
        <f t="shared" si="4"/>
        <v>0</v>
      </c>
      <c r="S17" s="222"/>
      <c r="CU17" s="842"/>
      <c r="CV17" s="418" t="s">
        <v>228</v>
      </c>
      <c r="CW17" s="666" t="s">
        <v>707</v>
      </c>
    </row>
    <row r="18" spans="1:101" s="618" customFormat="1" ht="15.75" thickBot="1" x14ac:dyDescent="0.25">
      <c r="A18" s="257"/>
      <c r="B18" s="1012"/>
      <c r="C18" s="1011" t="str">
        <f t="shared" si="2"/>
        <v>Summe Liquiditätszugang</v>
      </c>
      <c r="D18" s="1140">
        <f t="shared" ref="D18:O18" si="7">SUM(D11:D17)</f>
        <v>0</v>
      </c>
      <c r="E18" s="1140">
        <f t="shared" si="7"/>
        <v>0</v>
      </c>
      <c r="F18" s="1140">
        <f t="shared" si="7"/>
        <v>0</v>
      </c>
      <c r="G18" s="1140">
        <f t="shared" si="7"/>
        <v>0</v>
      </c>
      <c r="H18" s="1140">
        <f t="shared" si="7"/>
        <v>0</v>
      </c>
      <c r="I18" s="1140">
        <f t="shared" si="7"/>
        <v>0</v>
      </c>
      <c r="J18" s="1140">
        <f t="shared" si="7"/>
        <v>0</v>
      </c>
      <c r="K18" s="1140">
        <f t="shared" si="7"/>
        <v>0</v>
      </c>
      <c r="L18" s="1140">
        <f t="shared" si="7"/>
        <v>0</v>
      </c>
      <c r="M18" s="1140">
        <f t="shared" si="7"/>
        <v>0</v>
      </c>
      <c r="N18" s="1140">
        <f t="shared" si="7"/>
        <v>0</v>
      </c>
      <c r="O18" s="1140">
        <f t="shared" si="7"/>
        <v>0</v>
      </c>
      <c r="P18" s="1141">
        <f>SUM(P11:P17)</f>
        <v>0</v>
      </c>
      <c r="Q18" s="1013"/>
      <c r="R18" s="257"/>
      <c r="S18" s="100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U18" s="1014"/>
      <c r="CV18" s="40" t="s">
        <v>53</v>
      </c>
      <c r="CW18" s="666" t="s">
        <v>708</v>
      </c>
    </row>
    <row r="19" spans="1:101" ht="15" thickTop="1" x14ac:dyDescent="0.2">
      <c r="B19" s="635">
        <v>3</v>
      </c>
      <c r="C19" s="621" t="str">
        <f t="shared" si="2"/>
        <v>Ausgaben / Auszahlungen</v>
      </c>
      <c r="D19" s="1136"/>
      <c r="E19" s="1136"/>
      <c r="F19" s="1136"/>
      <c r="G19" s="1136"/>
      <c r="H19" s="1136"/>
      <c r="I19" s="1136"/>
      <c r="J19" s="1136"/>
      <c r="K19" s="1136"/>
      <c r="L19" s="1136"/>
      <c r="M19" s="1136"/>
      <c r="N19" s="1136"/>
      <c r="O19" s="1136"/>
      <c r="P19" s="1137"/>
      <c r="CV19" s="40" t="s">
        <v>54</v>
      </c>
      <c r="CW19" s="666" t="s">
        <v>709</v>
      </c>
    </row>
    <row r="20" spans="1:101" x14ac:dyDescent="0.2">
      <c r="B20" s="635"/>
      <c r="C20" s="620" t="str">
        <f t="shared" si="2"/>
        <v>Anschaffungen ohne MwSt (aus Tab 3a)</v>
      </c>
      <c r="D20" s="1136">
        <f>'3 Anschaffungen|Investment'!H375</f>
        <v>0</v>
      </c>
      <c r="E20" s="1136">
        <f>'3 Anschaffungen|Investment'!I375</f>
        <v>0</v>
      </c>
      <c r="F20" s="1136">
        <f>'3 Anschaffungen|Investment'!J375</f>
        <v>0</v>
      </c>
      <c r="G20" s="1136">
        <f>'3 Anschaffungen|Investment'!K375</f>
        <v>0</v>
      </c>
      <c r="H20" s="1136">
        <f>'3 Anschaffungen|Investment'!L375</f>
        <v>0</v>
      </c>
      <c r="I20" s="1136">
        <f>'3 Anschaffungen|Investment'!M375</f>
        <v>0</v>
      </c>
      <c r="J20" s="1136">
        <f>'3 Anschaffungen|Investment'!N375</f>
        <v>0</v>
      </c>
      <c r="K20" s="1136">
        <f>'3 Anschaffungen|Investment'!O375</f>
        <v>0</v>
      </c>
      <c r="L20" s="1136">
        <f>'3 Anschaffungen|Investment'!P375</f>
        <v>0</v>
      </c>
      <c r="M20" s="1136">
        <f>'3 Anschaffungen|Investment'!R375</f>
        <v>0</v>
      </c>
      <c r="N20" s="1136">
        <f>'3 Anschaffungen|Investment'!S375</f>
        <v>0</v>
      </c>
      <c r="O20" s="1136">
        <f>'3 Anschaffungen|Investment'!T375</f>
        <v>0</v>
      </c>
      <c r="P20" s="1137">
        <f t="shared" ref="P20:P27" si="8">IF(C20="","",SUM(D20:O20))</f>
        <v>0</v>
      </c>
      <c r="CV20" s="40" t="str">
        <f>"Anschaffungen"&amp;IF($C$4&lt;&gt;1," ohne MwSt", " mit MwSt") &amp;" (aus Tab 3a)"</f>
        <v>Anschaffungen ohne MwSt (aus Tab 3a)</v>
      </c>
      <c r="CW20" s="60" t="str">
        <f>"Acquirements"&amp;IF(C4&lt;&gt;1," w/o VAT", " incl VAT") &amp;" (from tab 3a)"</f>
        <v>Acquirements w/o VAT (from tab 3a)</v>
      </c>
    </row>
    <row r="21" spans="1:101" x14ac:dyDescent="0.2">
      <c r="B21" s="635"/>
      <c r="C21" s="620" t="str">
        <f t="shared" si="2"/>
        <v>auf Anschaffungen bezahlte 19% MwSt.</v>
      </c>
      <c r="D21" s="1136">
        <f>IF('Deckblatt Gruender|Data Founder'!$I$13='Deckblatt Gruender|Data Founder'!$G$1,"",D20*IF('3 Anschaffungen|Investment'!W13&gt;0,0,$B$2))</f>
        <v>0</v>
      </c>
      <c r="E21" s="1136">
        <f>IF('Deckblatt Gruender|Data Founder'!$I$13='Deckblatt Gruender|Data Founder'!$G$1,"",E20*IF('3 Anschaffungen|Investment'!W14&gt;0,0,$B$2))</f>
        <v>0</v>
      </c>
      <c r="F21" s="1136">
        <f>IF('Deckblatt Gruender|Data Founder'!$I$13='Deckblatt Gruender|Data Founder'!$G$1,"",F20*IF('3 Anschaffungen|Investment'!W15&gt;0,0,$B$2))</f>
        <v>0</v>
      </c>
      <c r="G21" s="1136">
        <f>IF('Deckblatt Gruender|Data Founder'!$I$13='Deckblatt Gruender|Data Founder'!$G$1,"",G20*IF('3 Anschaffungen|Investment'!W16&gt;0,0,$B$2))</f>
        <v>0</v>
      </c>
      <c r="H21" s="1136">
        <f>IF('Deckblatt Gruender|Data Founder'!$I$13='Deckblatt Gruender|Data Founder'!$G$1,"",H20*IF('3 Anschaffungen|Investment'!W17&gt;0,0,$B$2))</f>
        <v>0</v>
      </c>
      <c r="I21" s="1136">
        <f>IF('Deckblatt Gruender|Data Founder'!$I$13='Deckblatt Gruender|Data Founder'!$G$1,"",I20*IF('3 Anschaffungen|Investment'!W18&gt;0,0,$B$2))</f>
        <v>0</v>
      </c>
      <c r="J21" s="1136">
        <f>IF('Deckblatt Gruender|Data Founder'!$I$13='Deckblatt Gruender|Data Founder'!$G$1,"",J20*IF('3 Anschaffungen|Investment'!W19&gt;0,0,$B$2))</f>
        <v>0</v>
      </c>
      <c r="K21" s="1136">
        <f>IF('Deckblatt Gruender|Data Founder'!$I$13='Deckblatt Gruender|Data Founder'!$G$1,"",K20*IF('3 Anschaffungen|Investment'!W20&gt;0,0,$B$2))</f>
        <v>0</v>
      </c>
      <c r="L21" s="1136">
        <f>IF('Deckblatt Gruender|Data Founder'!$I$13='Deckblatt Gruender|Data Founder'!$G$1,"",L20*IF('3 Anschaffungen|Investment'!W21&gt;0,0,$B$2))</f>
        <v>0</v>
      </c>
      <c r="M21" s="1136">
        <f>IF('Deckblatt Gruender|Data Founder'!$I$13='Deckblatt Gruender|Data Founder'!$G$1,"",M20*IF('3 Anschaffungen|Investment'!W22&gt;0,0,$B$2))</f>
        <v>0</v>
      </c>
      <c r="N21" s="1136">
        <f>IF('Deckblatt Gruender|Data Founder'!$I$13='Deckblatt Gruender|Data Founder'!$G$1,"",N20*IF('3 Anschaffungen|Investment'!W23&gt;0,0,$B$2))</f>
        <v>0</v>
      </c>
      <c r="O21" s="1136">
        <f>IF('Deckblatt Gruender|Data Founder'!$I$13='Deckblatt Gruender|Data Founder'!$G$1,"",O20*IF('3 Anschaffungen|Investment'!W24&gt;0,0,$B$2))</f>
        <v>0</v>
      </c>
      <c r="P21" s="1137">
        <f t="shared" si="8"/>
        <v>0</v>
      </c>
      <c r="CV21" s="40" t="str">
        <f>IF(C4=1,"","auf Anschaffungen bezahlte " &amp; $B$2*100 &amp; "% MwSt.")</f>
        <v>auf Anschaffungen bezahlte 19% MwSt.</v>
      </c>
      <c r="CW21" s="60" t="str">
        <f>IF($C$4=1,"","For acquirements paid " &amp; $B$2*100 &amp; "% VAT")</f>
        <v>For acquirements paid 19% VAT</v>
      </c>
    </row>
    <row r="22" spans="1:101" x14ac:dyDescent="0.2">
      <c r="B22" s="635"/>
      <c r="C22" s="620" t="str">
        <f t="shared" si="2"/>
        <v>Betriebskosten I ohne MwSt (Übernahme aus Tab. 4a-2)</v>
      </c>
      <c r="D22" s="1136">
        <f>IF($C$4=2,'4  Betriebskosten|Operation Ex'!D67-D23-D24,'4  Betriebskosten|Operation Ex'!D67)</f>
        <v>0</v>
      </c>
      <c r="E22" s="1136">
        <f>IF($C$4=2,'4  Betriebskosten|Operation Ex'!E67-E23-E24,'4  Betriebskosten|Operation Ex'!E67)</f>
        <v>0</v>
      </c>
      <c r="F22" s="1136">
        <f>IF($C$4=2,'4  Betriebskosten|Operation Ex'!F67-F23-F24,'4  Betriebskosten|Operation Ex'!F67)</f>
        <v>0</v>
      </c>
      <c r="G22" s="1136">
        <f>IF($C$4=2,'4  Betriebskosten|Operation Ex'!G67-G23-G24,'4  Betriebskosten|Operation Ex'!G67)</f>
        <v>0</v>
      </c>
      <c r="H22" s="1136">
        <f>IF($C$4=2,'4  Betriebskosten|Operation Ex'!H67-H23-H24,'4  Betriebskosten|Operation Ex'!H67)</f>
        <v>0</v>
      </c>
      <c r="I22" s="1136">
        <f>IF($C$4=2,'4  Betriebskosten|Operation Ex'!I67-I23-I24,'4  Betriebskosten|Operation Ex'!I67)</f>
        <v>0</v>
      </c>
      <c r="J22" s="1136">
        <f>IF($C$4=2,'4  Betriebskosten|Operation Ex'!J67-J23-J24,'4  Betriebskosten|Operation Ex'!J67)</f>
        <v>0</v>
      </c>
      <c r="K22" s="1136">
        <f>IF($C$4=2,'4  Betriebskosten|Operation Ex'!K67-K23-K24,'4  Betriebskosten|Operation Ex'!K67)</f>
        <v>0</v>
      </c>
      <c r="L22" s="1136">
        <f>IF($C$4=2,'4  Betriebskosten|Operation Ex'!L67-L23-L24,'4  Betriebskosten|Operation Ex'!L67)</f>
        <v>0</v>
      </c>
      <c r="M22" s="1136">
        <f>IF($C$4=2,'4  Betriebskosten|Operation Ex'!M67-M23-M24,'4  Betriebskosten|Operation Ex'!M67)</f>
        <v>0</v>
      </c>
      <c r="N22" s="1136">
        <f>IF($C$4=2,'4  Betriebskosten|Operation Ex'!N67-N23-N24,'4  Betriebskosten|Operation Ex'!N67)</f>
        <v>0</v>
      </c>
      <c r="O22" s="1136">
        <f>IF($C$4=2,'4  Betriebskosten|Operation Ex'!O67-O23-O24,'4  Betriebskosten|Operation Ex'!O67)</f>
        <v>0</v>
      </c>
      <c r="P22" s="1137">
        <f t="shared" si="8"/>
        <v>0</v>
      </c>
      <c r="CV22" s="40" t="str">
        <f>IF($C$4=1,"Betriebskosten I mit MwSt (Übernahme aus Tab. 4a)","Betriebskosten I ohne MwSt (Übernahme aus Tab. 4a-2)")</f>
        <v>Betriebskosten I ohne MwSt (Übernahme aus Tab. 4a-2)</v>
      </c>
      <c r="CW22" s="60" t="str">
        <f>IF($C$4=1,"Opereting Costs I inculding VAT (from tab 4a-1)","Operating Costs I w/o VAT (from tab 4-1" &amp; IF($C4&gt;0,"c","a") &amp; ")")</f>
        <v>Operating Costs I w/o VAT (from tab 4-1a)</v>
      </c>
    </row>
    <row r="23" spans="1:101" x14ac:dyDescent="0.2">
      <c r="B23" s="635"/>
      <c r="C23" s="620" t="str">
        <f>IF($C$3="English",CW23,CV23)</f>
        <v>auf Betriebskosten bezahlte MwSt 19% (aus Tab. 4a-1 Anhang)</v>
      </c>
      <c r="D23" s="1136">
        <f>IF($C$4&lt;&gt;1,'4  Betriebskosten|Operation Ex'!D73,"")</f>
        <v>0</v>
      </c>
      <c r="E23" s="1136">
        <f>IF($C$4&lt;&gt;1,'4  Betriebskosten|Operation Ex'!E73,"")</f>
        <v>0</v>
      </c>
      <c r="F23" s="1136">
        <f>IF($C$4&lt;&gt;1,'4  Betriebskosten|Operation Ex'!F73,"")</f>
        <v>0</v>
      </c>
      <c r="G23" s="1136">
        <f>IF($C$4&lt;&gt;1,'4  Betriebskosten|Operation Ex'!G73,"")</f>
        <v>0</v>
      </c>
      <c r="H23" s="1136">
        <f>IF($C$4&lt;&gt;1,'4  Betriebskosten|Operation Ex'!H73,"")</f>
        <v>0</v>
      </c>
      <c r="I23" s="1136">
        <f>IF($C$4&lt;&gt;1,'4  Betriebskosten|Operation Ex'!I73,"")</f>
        <v>0</v>
      </c>
      <c r="J23" s="1136">
        <f>IF($C$4&lt;&gt;1,'4  Betriebskosten|Operation Ex'!J73,"")</f>
        <v>0</v>
      </c>
      <c r="K23" s="1136">
        <f>IF($C$4&lt;&gt;1,'4  Betriebskosten|Operation Ex'!K73,"")</f>
        <v>0</v>
      </c>
      <c r="L23" s="1136">
        <f>IF($C$4&lt;&gt;1,'4  Betriebskosten|Operation Ex'!L73,"")</f>
        <v>0</v>
      </c>
      <c r="M23" s="1136">
        <f>IF($C$4&lt;&gt;1,'4  Betriebskosten|Operation Ex'!M73,"")</f>
        <v>0</v>
      </c>
      <c r="N23" s="1136">
        <f>IF($C$4&lt;&gt;1,'4  Betriebskosten|Operation Ex'!N73,"")</f>
        <v>0</v>
      </c>
      <c r="O23" s="1136">
        <f>IF($C$4&lt;&gt;1,'4  Betriebskosten|Operation Ex'!O73,"")</f>
        <v>0</v>
      </c>
      <c r="P23" s="1137">
        <f t="shared" si="8"/>
        <v>0</v>
      </c>
      <c r="CU23" s="843"/>
      <c r="CV23" s="893" t="str">
        <f>IF($C$4=1,"","auf Betriebskosten bezahlte MwSt "&amp;$B$2*100 &amp;"% (aus Tab. 4a-1 Anhang)")</f>
        <v>auf Betriebskosten bezahlte MwSt 19% (aus Tab. 4a-1 Anhang)</v>
      </c>
      <c r="CW23" s="60" t="str">
        <f>IF(C4=1,"","Payed VAT "&amp;$B$2*100 &amp;"%  for Costs of Operating (from tab 4a annex)")</f>
        <v>Payed VAT 19%  for Costs of Operating (from tab 4a annex)</v>
      </c>
    </row>
    <row r="24" spans="1:101" x14ac:dyDescent="0.2">
      <c r="B24" s="635"/>
      <c r="C24" s="620" t="str">
        <f t="shared" si="2"/>
        <v>auf Betriebskosten bezahlte MwSt 7% (aus Tab. 4a-1 Anhang)</v>
      </c>
      <c r="D24" s="1136">
        <f>IF($C$4&lt;&gt;1,'4  Betriebskosten|Operation Ex'!D74,"")</f>
        <v>0</v>
      </c>
      <c r="E24" s="1136">
        <f>IF($C$4&lt;&gt;1,'4  Betriebskosten|Operation Ex'!E74,"")</f>
        <v>0</v>
      </c>
      <c r="F24" s="1136">
        <f>IF($C$4&lt;&gt;1,'4  Betriebskosten|Operation Ex'!F74,"")</f>
        <v>0</v>
      </c>
      <c r="G24" s="1136">
        <f>IF($C$4&lt;&gt;1,'4  Betriebskosten|Operation Ex'!G74,"")</f>
        <v>0</v>
      </c>
      <c r="H24" s="1136">
        <f>IF($C$4&lt;&gt;1,'4  Betriebskosten|Operation Ex'!H74,"")</f>
        <v>0</v>
      </c>
      <c r="I24" s="1136">
        <f>IF($C$4&lt;&gt;1,'4  Betriebskosten|Operation Ex'!I74,"")</f>
        <v>0</v>
      </c>
      <c r="J24" s="1136">
        <f>IF($C$4&lt;&gt;1,'4  Betriebskosten|Operation Ex'!J74,"")</f>
        <v>0</v>
      </c>
      <c r="K24" s="1136">
        <f>IF($C$4&lt;&gt;1,'4  Betriebskosten|Operation Ex'!K74,"")</f>
        <v>0</v>
      </c>
      <c r="L24" s="1136">
        <f>IF($C$4&lt;&gt;1,'4  Betriebskosten|Operation Ex'!L74,"")</f>
        <v>0</v>
      </c>
      <c r="M24" s="1136">
        <f>IF($C$4&lt;&gt;1,'4  Betriebskosten|Operation Ex'!M74,"")</f>
        <v>0</v>
      </c>
      <c r="N24" s="1136">
        <f>IF($C$4&lt;&gt;1,'4  Betriebskosten|Operation Ex'!N74,"")</f>
        <v>0</v>
      </c>
      <c r="O24" s="1136">
        <f>IF($C$4&lt;&gt;1,'4  Betriebskosten|Operation Ex'!O74,"")</f>
        <v>0</v>
      </c>
      <c r="P24" s="1137">
        <f t="shared" si="8"/>
        <v>0</v>
      </c>
      <c r="CU24" s="843"/>
      <c r="CV24" s="893" t="str">
        <f>IF($C$4=1,"","auf Betriebskosten bezahlte MwSt "&amp;$C$2*100&amp;"% (aus Tab. 4a-1 Anhang)")</f>
        <v>auf Betriebskosten bezahlte MwSt 7% (aus Tab. 4a-1 Anhang)</v>
      </c>
      <c r="CW24" s="60" t="str">
        <f>IF(C4=1,"","Payed VAT "&amp;$C$2*100 &amp;"%  for Costs of Operating (from tab 4a annex)")</f>
        <v>Payed VAT 7%  for Costs of Operating (from tab 4a annex)</v>
      </c>
    </row>
    <row r="25" spans="1:101" x14ac:dyDescent="0.2">
      <c r="B25" s="637"/>
      <c r="C25" s="620" t="str">
        <f t="shared" si="2"/>
        <v>ans Finanzamt abzuführende 19% MwSt. aus Umsätzen (aus Tab. 2a-1)</v>
      </c>
      <c r="D25" s="1136">
        <f>IF($C$4&lt;&gt;1,'2  Umsatz|Sales'!E33,"")</f>
        <v>0</v>
      </c>
      <c r="E25" s="1136">
        <f>IF($C$4&lt;&gt;1,'2  Umsatz|Sales'!F33,"")</f>
        <v>0</v>
      </c>
      <c r="F25" s="1136">
        <f>IF($C$4&lt;&gt;1,'2  Umsatz|Sales'!G33,"")</f>
        <v>0</v>
      </c>
      <c r="G25" s="1136">
        <f>IF($C$4&lt;&gt;1,'2  Umsatz|Sales'!H33,"")</f>
        <v>0</v>
      </c>
      <c r="H25" s="1136">
        <f>IF($C$4&lt;&gt;1,'2  Umsatz|Sales'!I33,"")</f>
        <v>0</v>
      </c>
      <c r="I25" s="1136">
        <f>IF($C$4&lt;&gt;1,'2  Umsatz|Sales'!J33,"")</f>
        <v>0</v>
      </c>
      <c r="J25" s="1136">
        <f>IF($C$4&lt;&gt;1,'2  Umsatz|Sales'!K33,"")</f>
        <v>0</v>
      </c>
      <c r="K25" s="1136">
        <f>IF($C$4&lt;&gt;1,'2  Umsatz|Sales'!L33,"")</f>
        <v>0</v>
      </c>
      <c r="L25" s="1136">
        <f>IF($C$4&lt;&gt;1,'2  Umsatz|Sales'!M33,"")</f>
        <v>0</v>
      </c>
      <c r="M25" s="1136">
        <f>IF($C$4&lt;&gt;1,'2  Umsatz|Sales'!N33,"")</f>
        <v>0</v>
      </c>
      <c r="N25" s="1136">
        <f>IF($C$4&lt;&gt;1,'2  Umsatz|Sales'!O33,"")</f>
        <v>0</v>
      </c>
      <c r="O25" s="1136">
        <f>IF($C$4&lt;&gt;1,'2  Umsatz|Sales'!P33,"")</f>
        <v>0</v>
      </c>
      <c r="P25" s="1137">
        <f t="shared" si="8"/>
        <v>0</v>
      </c>
      <c r="CU25" s="843"/>
      <c r="CV25" s="893" t="str">
        <f>IF($C$4=1,"","ans Finanzamt abzuführende "&amp;$B$2*100&amp;"% MwSt. aus Umsätzen (aus Tab. 2a-1)")</f>
        <v>ans Finanzamt abzuführende 19% MwSt. aus Umsätzen (aus Tab. 2a-1)</v>
      </c>
      <c r="CW25" s="60" t="str">
        <f>IF($C$4=1,"","Payed VAT " &amp; $B$2*100 &amp; "% from Sales to Tax Office (tab. 2a-1)")</f>
        <v>Payed VAT 19% from Sales to Tax Office (tab. 2a-1)</v>
      </c>
    </row>
    <row r="26" spans="1:101" x14ac:dyDescent="0.2">
      <c r="B26" s="637"/>
      <c r="C26" s="620" t="str">
        <f t="shared" si="2"/>
        <v>ans Finanzamt abzuführende 7% MwSt. aus Umsätzen (aus Tab. 2a-1)</v>
      </c>
      <c r="D26" s="1136">
        <f>IF($C$4&lt;&gt;1,'2  Umsatz|Sales'!E32,"")</f>
        <v>0</v>
      </c>
      <c r="E26" s="1136">
        <f>IF($C$4&lt;&gt;1,'2  Umsatz|Sales'!F32,"")</f>
        <v>0</v>
      </c>
      <c r="F26" s="1136">
        <f>IF($C$4&lt;&gt;1,'2  Umsatz|Sales'!G32,"")</f>
        <v>0</v>
      </c>
      <c r="G26" s="1136">
        <f>IF($C$4&lt;&gt;1,'2  Umsatz|Sales'!H32,"")</f>
        <v>0</v>
      </c>
      <c r="H26" s="1136">
        <f>IF($C$4&lt;&gt;1,'2  Umsatz|Sales'!I32,"")</f>
        <v>0</v>
      </c>
      <c r="I26" s="1136">
        <f>IF($C$4&lt;&gt;1,'2  Umsatz|Sales'!J32,"")</f>
        <v>0</v>
      </c>
      <c r="J26" s="1136">
        <f>IF($C$4&lt;&gt;1,'2  Umsatz|Sales'!K32,"")</f>
        <v>0</v>
      </c>
      <c r="K26" s="1136">
        <f>IF($C$4&lt;&gt;1,'2  Umsatz|Sales'!L32,"")</f>
        <v>0</v>
      </c>
      <c r="L26" s="1136">
        <f>IF($C$4&lt;&gt;1,'2  Umsatz|Sales'!M32,"")</f>
        <v>0</v>
      </c>
      <c r="M26" s="1136">
        <f>IF($C$4&lt;&gt;1,'2  Umsatz|Sales'!N32,"")</f>
        <v>0</v>
      </c>
      <c r="N26" s="1136">
        <f>IF($C$4&lt;&gt;1,'2  Umsatz|Sales'!O32,"")</f>
        <v>0</v>
      </c>
      <c r="O26" s="1136">
        <f>IF($C$4&lt;&gt;1,'2  Umsatz|Sales'!P32,"")</f>
        <v>0</v>
      </c>
      <c r="P26" s="1137">
        <f t="shared" si="8"/>
        <v>0</v>
      </c>
      <c r="CV26" s="893" t="str">
        <f>IF($C$4=1,"","ans Finanzamt abzuführende "&amp;$C$2*100&amp;"% MwSt. aus Umsätzen (aus Tab. 2a-1)")</f>
        <v>ans Finanzamt abzuführende 7% MwSt. aus Umsätzen (aus Tab. 2a-1)</v>
      </c>
      <c r="CW26" s="60" t="str">
        <f>IF($C$4=1,"","Payed VAT " &amp; $C$2*100 &amp; "% from Sales to Tax Office (tab 2a-1)")</f>
        <v>Payed VAT 7% from Sales to Tax Office (tab 2a-1)</v>
      </c>
    </row>
    <row r="27" spans="1:101" x14ac:dyDescent="0.2">
      <c r="B27" s="637"/>
      <c r="C27" s="620" t="str">
        <f t="shared" si="2"/>
        <v>Kapitaldienst Tilgung (aus Tab. 7b-1)</v>
      </c>
      <c r="D27" s="1136">
        <f>'7 Finanzierung|Financing'!D38</f>
        <v>0</v>
      </c>
      <c r="E27" s="1136">
        <f>'7 Finanzierung|Financing'!E38</f>
        <v>0</v>
      </c>
      <c r="F27" s="1136">
        <f>'7 Finanzierung|Financing'!F38</f>
        <v>0</v>
      </c>
      <c r="G27" s="1136">
        <f>'7 Finanzierung|Financing'!G38</f>
        <v>0</v>
      </c>
      <c r="H27" s="1136">
        <f>'7 Finanzierung|Financing'!H38</f>
        <v>0</v>
      </c>
      <c r="I27" s="1136">
        <f>'7 Finanzierung|Financing'!I38</f>
        <v>0</v>
      </c>
      <c r="J27" s="1136">
        <f>'7 Finanzierung|Financing'!J38</f>
        <v>0</v>
      </c>
      <c r="K27" s="1136">
        <f>'7 Finanzierung|Financing'!K38</f>
        <v>0</v>
      </c>
      <c r="L27" s="1136">
        <f>'7 Finanzierung|Financing'!L38</f>
        <v>0</v>
      </c>
      <c r="M27" s="1136">
        <f>'7 Finanzierung|Financing'!M38</f>
        <v>0</v>
      </c>
      <c r="N27" s="1136">
        <f>'7 Finanzierung|Financing'!N38</f>
        <v>0</v>
      </c>
      <c r="O27" s="1136">
        <f>'7 Finanzierung|Financing'!O38</f>
        <v>0</v>
      </c>
      <c r="P27" s="1137">
        <f t="shared" si="8"/>
        <v>0</v>
      </c>
      <c r="CU27" s="843"/>
      <c r="CV27" s="893" t="s">
        <v>254</v>
      </c>
      <c r="CW27" s="666" t="s">
        <v>725</v>
      </c>
    </row>
    <row r="28" spans="1:101" x14ac:dyDescent="0.2">
      <c r="B28" s="637"/>
      <c r="C28" s="620" t="str">
        <f t="shared" si="2"/>
        <v>Gewerbesteuer (Übernahme aus Tab. 5c)</v>
      </c>
      <c r="D28" s="1136">
        <f>IF('Deckblatt Gruender|Data Founder'!$X$1&lt;=D$6,'5  Rentabilitaet|Profit'!$D$57/(13-'Deckblatt Gruender|Data Founder'!$X$1),0)</f>
        <v>0</v>
      </c>
      <c r="E28" s="1136">
        <f>IF('Deckblatt Gruender|Data Founder'!$X$1&lt;=E$6,'5  Rentabilitaet|Profit'!$D$57/(13-'Deckblatt Gruender|Data Founder'!$X$1),0)</f>
        <v>0</v>
      </c>
      <c r="F28" s="1136">
        <f>IF('Deckblatt Gruender|Data Founder'!$X$1&lt;=F$6,'5  Rentabilitaet|Profit'!$D$57/(13-'Deckblatt Gruender|Data Founder'!$X$1),0)</f>
        <v>0</v>
      </c>
      <c r="G28" s="1136">
        <f>IF('Deckblatt Gruender|Data Founder'!$X$1&lt;=G$6,'5  Rentabilitaet|Profit'!$D$57/(13-'Deckblatt Gruender|Data Founder'!$X$1),0)</f>
        <v>0</v>
      </c>
      <c r="H28" s="1136">
        <f>IF('Deckblatt Gruender|Data Founder'!$X$1&lt;=H$6,'5  Rentabilitaet|Profit'!$D$57/(13-'Deckblatt Gruender|Data Founder'!$X$1),0)</f>
        <v>0</v>
      </c>
      <c r="I28" s="1136">
        <f>IF('Deckblatt Gruender|Data Founder'!$X$1&lt;=I$6,'5  Rentabilitaet|Profit'!$D$57/(13-'Deckblatt Gruender|Data Founder'!$X$1),0)</f>
        <v>0</v>
      </c>
      <c r="J28" s="1136">
        <f>IF('Deckblatt Gruender|Data Founder'!$X$1&lt;=J$6,'5  Rentabilitaet|Profit'!$D$57/(13-'Deckblatt Gruender|Data Founder'!$X$1),0)</f>
        <v>0</v>
      </c>
      <c r="K28" s="1136">
        <f>IF('Deckblatt Gruender|Data Founder'!$X$1&lt;=K$6,'5  Rentabilitaet|Profit'!$D$57/(13-'Deckblatt Gruender|Data Founder'!$X$1),0)</f>
        <v>0</v>
      </c>
      <c r="L28" s="1136">
        <f>IF('Deckblatt Gruender|Data Founder'!$X$1&lt;=L$6,'5  Rentabilitaet|Profit'!$D$57/(13-'Deckblatt Gruender|Data Founder'!$X$1),0)</f>
        <v>0</v>
      </c>
      <c r="M28" s="1136">
        <f>IF('Deckblatt Gruender|Data Founder'!$X$1&lt;=M$6,'5  Rentabilitaet|Profit'!$D$57/(13-'Deckblatt Gruender|Data Founder'!$X$1),0)</f>
        <v>0</v>
      </c>
      <c r="N28" s="1136">
        <f>IF('Deckblatt Gruender|Data Founder'!$X$1&lt;=N$6,'5  Rentabilitaet|Profit'!$D$57/(13-'Deckblatt Gruender|Data Founder'!$X$1),0)</f>
        <v>0</v>
      </c>
      <c r="O28" s="1136">
        <f>IF('Deckblatt Gruender|Data Founder'!$X$1&lt;=O$6,'5  Rentabilitaet|Profit'!$D$57/(13-'Deckblatt Gruender|Data Founder'!$X$1),0)</f>
        <v>0</v>
      </c>
      <c r="P28" s="1137">
        <f>SUM(D28:O28)</f>
        <v>0</v>
      </c>
      <c r="CV28" s="40" t="s">
        <v>164</v>
      </c>
      <c r="CW28" s="666" t="s">
        <v>726</v>
      </c>
    </row>
    <row r="29" spans="1:101" x14ac:dyDescent="0.2">
      <c r="B29" s="637"/>
      <c r="C29" s="620" t="str">
        <f t="shared" si="2"/>
        <v>Einkommensteuer (Übernahme aus Tab. 5c; Jahreswert gezwölftelt)</v>
      </c>
      <c r="D29" s="1136">
        <f>IF('Deckblatt Gruender|Data Founder'!$X$1&lt;=D$6,'5  Rentabilitaet|Profit'!$D$59/(13-'Deckblatt Gruender|Data Founder'!$X$1),0)</f>
        <v>0</v>
      </c>
      <c r="E29" s="1136">
        <f>IF('Deckblatt Gruender|Data Founder'!$X$1&lt;=E$6,'5  Rentabilitaet|Profit'!$D$59/(13-'Deckblatt Gruender|Data Founder'!$X$1),0)</f>
        <v>0</v>
      </c>
      <c r="F29" s="1136">
        <f>IF('Deckblatt Gruender|Data Founder'!$X$1&lt;=F$6,'5  Rentabilitaet|Profit'!$D$59/(13-'Deckblatt Gruender|Data Founder'!$X$1),0)</f>
        <v>0</v>
      </c>
      <c r="G29" s="1136">
        <f>IF('Deckblatt Gruender|Data Founder'!$X$1&lt;=G$6,'5  Rentabilitaet|Profit'!$D$59/(13-'Deckblatt Gruender|Data Founder'!$X$1),0)</f>
        <v>0</v>
      </c>
      <c r="H29" s="1136">
        <f>IF('Deckblatt Gruender|Data Founder'!$X$1&lt;=H$6,'5  Rentabilitaet|Profit'!$D$59/(13-'Deckblatt Gruender|Data Founder'!$X$1),0)</f>
        <v>0</v>
      </c>
      <c r="I29" s="1136">
        <f>IF('Deckblatt Gruender|Data Founder'!$X$1&lt;=I$6,'5  Rentabilitaet|Profit'!$D$59/(13-'Deckblatt Gruender|Data Founder'!$X$1),0)</f>
        <v>0</v>
      </c>
      <c r="J29" s="1136">
        <f>IF('Deckblatt Gruender|Data Founder'!$X$1&lt;=J$6,'5  Rentabilitaet|Profit'!$D$59/(13-'Deckblatt Gruender|Data Founder'!$X$1),0)</f>
        <v>0</v>
      </c>
      <c r="K29" s="1136">
        <f>IF('Deckblatt Gruender|Data Founder'!$X$1&lt;=K$6,'5  Rentabilitaet|Profit'!$D$59/(13-'Deckblatt Gruender|Data Founder'!$X$1),0)</f>
        <v>0</v>
      </c>
      <c r="L29" s="1136">
        <f>IF('Deckblatt Gruender|Data Founder'!$X$1&lt;=L$6,'5  Rentabilitaet|Profit'!$D$59/(13-'Deckblatt Gruender|Data Founder'!$X$1),0)</f>
        <v>0</v>
      </c>
      <c r="M29" s="1136">
        <f>IF('Deckblatt Gruender|Data Founder'!$X$1&lt;=M$6,'5  Rentabilitaet|Profit'!$D$59/(13-'Deckblatt Gruender|Data Founder'!$X$1),0)</f>
        <v>0</v>
      </c>
      <c r="N29" s="1136">
        <f>IF('Deckblatt Gruender|Data Founder'!$X$1&lt;=N$6,'5  Rentabilitaet|Profit'!$D$59/(13-'Deckblatt Gruender|Data Founder'!$X$1),0)</f>
        <v>0</v>
      </c>
      <c r="O29" s="1136">
        <f>IF('Deckblatt Gruender|Data Founder'!$X$1&lt;=O$6,'5  Rentabilitaet|Profit'!$D$59/(13-'Deckblatt Gruender|Data Founder'!$X$1),0)</f>
        <v>0</v>
      </c>
      <c r="P29" s="1137">
        <f>SUM(D29:O29)</f>
        <v>0</v>
      </c>
      <c r="CV29" s="40" t="str">
        <f>IF($C$4&lt;&gt;3,"Einkommensteuer (Übernahme aus Tab. 5c; Jahreswert gezwölftelt)","Körperschaftsteuer (Übernahme aus Tab. 5b)")</f>
        <v>Einkommensteuer (Übernahme aus Tab. 5c; Jahreswert gezwölftelt)</v>
      </c>
      <c r="CW29" s="60" t="str">
        <f>IF($C$4&lt;&gt;0,"Income Tax (from tab 5c; annual value partitioned into twelve) ","Corporate Tax (from tab 5b)")</f>
        <v>Corporate Tax (from tab 5b)</v>
      </c>
    </row>
    <row r="30" spans="1:101" x14ac:dyDescent="0.2">
      <c r="B30" s="637"/>
      <c r="C30" s="620" t="str">
        <f>IF($C$3="English",CW30,CV30)</f>
        <v/>
      </c>
      <c r="D30" s="1136">
        <f>IF($C$4&lt;=1,IF(D6&gt;='Deckblatt Gruender|Data Founder'!$X$1,'1 Pers.Ausgaben|Pers Expenses'!$D$104/(13-'Deckblatt Gruender|Data Founder'!$X$1),""),"")</f>
        <v>0</v>
      </c>
      <c r="E30" s="1136">
        <f>IF($C$4&lt;=1,IF(E6&gt;='Deckblatt Gruender|Data Founder'!$X$1,'1 Pers.Ausgaben|Pers Expenses'!$D$104/(13-'Deckblatt Gruender|Data Founder'!$X$1),""),"")</f>
        <v>0</v>
      </c>
      <c r="F30" s="1136">
        <f>IF($C$4&lt;=1,IF(F6&gt;='Deckblatt Gruender|Data Founder'!$X$1,'1 Pers.Ausgaben|Pers Expenses'!$D$104/(13-'Deckblatt Gruender|Data Founder'!$X$1),""),"")</f>
        <v>0</v>
      </c>
      <c r="G30" s="1136">
        <f>IF($C$4&lt;=1,IF(G6&gt;='Deckblatt Gruender|Data Founder'!$X$1,'1 Pers.Ausgaben|Pers Expenses'!$D$104/(13-'Deckblatt Gruender|Data Founder'!$X$1),""),"")</f>
        <v>0</v>
      </c>
      <c r="H30" s="1136">
        <f>IF($C$4&lt;=1,IF(H6&gt;='Deckblatt Gruender|Data Founder'!$X$1,'1 Pers.Ausgaben|Pers Expenses'!$D$104/(13-'Deckblatt Gruender|Data Founder'!$X$1),""),"")</f>
        <v>0</v>
      </c>
      <c r="I30" s="1136">
        <f>IF($C$4&lt;=1,IF(I6&gt;='Deckblatt Gruender|Data Founder'!$X$1,'1 Pers.Ausgaben|Pers Expenses'!$D$104/(13-'Deckblatt Gruender|Data Founder'!$X$1),""),"")</f>
        <v>0</v>
      </c>
      <c r="J30" s="1136">
        <f>IF($C$4&lt;=1,IF(J6&gt;='Deckblatt Gruender|Data Founder'!$X$1,'1 Pers.Ausgaben|Pers Expenses'!$D$104/(13-'Deckblatt Gruender|Data Founder'!$X$1),""),"")</f>
        <v>0</v>
      </c>
      <c r="K30" s="1136">
        <f>IF($C$4&lt;=1,IF(K6&gt;='Deckblatt Gruender|Data Founder'!$X$1,'1 Pers.Ausgaben|Pers Expenses'!$D$104/(13-'Deckblatt Gruender|Data Founder'!$X$1),""),"")</f>
        <v>0</v>
      </c>
      <c r="L30" s="1136">
        <f>IF($C$4&lt;=1,IF(L6&gt;='Deckblatt Gruender|Data Founder'!$X$1,'1 Pers.Ausgaben|Pers Expenses'!$D$104/(13-'Deckblatt Gruender|Data Founder'!$X$1),""),"")</f>
        <v>0</v>
      </c>
      <c r="M30" s="1136">
        <f>IF($C$4&lt;=1,IF(M6&gt;='Deckblatt Gruender|Data Founder'!$X$1,'1 Pers.Ausgaben|Pers Expenses'!$D$104/(13-'Deckblatt Gruender|Data Founder'!$X$1),""),"")</f>
        <v>0</v>
      </c>
      <c r="N30" s="1136">
        <f>IF($C$4&lt;=1,IF(N6&gt;='Deckblatt Gruender|Data Founder'!$X$1,'1 Pers.Ausgaben|Pers Expenses'!$D$104/(13-'Deckblatt Gruender|Data Founder'!$X$1),""),"")</f>
        <v>0</v>
      </c>
      <c r="O30" s="1136">
        <f>IF($C$4&lt;=1,IF(O6&gt;='Deckblatt Gruender|Data Founder'!$X$1,'1 Pers.Ausgaben|Pers Expenses'!$D$104/(13-'Deckblatt Gruender|Data Founder'!$X$1),""),"")</f>
        <v>0</v>
      </c>
      <c r="P30" s="1137">
        <f>SUM(D30:O30)</f>
        <v>0</v>
      </c>
      <c r="CV30" s="40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/>
      </c>
      <c r="CW30" s="60" t="str">
        <f>IF(OR('Deckblatt Gruender|Data Founder'!$D$13='Deckblatt Gruender|Data Founder'!$C$3,'Deckblatt Gruender|Data Founder'!$D$13='Deckblatt Gruender|Data Founder'!$C$2,'Deckblatt Gruender|Data Founder'!$D$13='Deckblatt Gruender|Data Founder'!$C$1),"Personal Draw for Living (from Tab. 1b; see annotation)","")</f>
        <v/>
      </c>
    </row>
    <row r="31" spans="1:101" x14ac:dyDescent="0.2">
      <c r="B31" s="637"/>
      <c r="C31" s="1449" t="s">
        <v>55</v>
      </c>
      <c r="D31" s="1447"/>
      <c r="E31" s="1447"/>
      <c r="F31" s="1447"/>
      <c r="G31" s="1447"/>
      <c r="H31" s="1447"/>
      <c r="I31" s="1447"/>
      <c r="J31" s="1447"/>
      <c r="K31" s="1447"/>
      <c r="L31" s="1447"/>
      <c r="M31" s="1447"/>
      <c r="N31" s="1447"/>
      <c r="O31" s="1447"/>
      <c r="P31" s="1448">
        <f>IF(C31="","",SUM(D31:O31))</f>
        <v>0</v>
      </c>
      <c r="S31" s="222"/>
      <c r="CU31" s="842"/>
      <c r="CV31" s="418" t="s">
        <v>55</v>
      </c>
      <c r="CW31" s="666" t="s">
        <v>362</v>
      </c>
    </row>
    <row r="32" spans="1:101" s="618" customFormat="1" ht="15.75" thickBot="1" x14ac:dyDescent="0.25">
      <c r="A32" s="257"/>
      <c r="B32" s="1012"/>
      <c r="C32" s="1011" t="str">
        <f t="shared" si="2"/>
        <v>Summe Liquiditätsabgang</v>
      </c>
      <c r="D32" s="1140">
        <f t="shared" ref="D32:O32" si="9">SUM(D20:D31)</f>
        <v>0</v>
      </c>
      <c r="E32" s="1140">
        <f t="shared" si="9"/>
        <v>0</v>
      </c>
      <c r="F32" s="1140">
        <f t="shared" si="9"/>
        <v>0</v>
      </c>
      <c r="G32" s="1140">
        <f t="shared" si="9"/>
        <v>0</v>
      </c>
      <c r="H32" s="1140">
        <f t="shared" si="9"/>
        <v>0</v>
      </c>
      <c r="I32" s="1140">
        <f t="shared" si="9"/>
        <v>0</v>
      </c>
      <c r="J32" s="1140">
        <f t="shared" si="9"/>
        <v>0</v>
      </c>
      <c r="K32" s="1140">
        <f t="shared" si="9"/>
        <v>0</v>
      </c>
      <c r="L32" s="1140">
        <f t="shared" si="9"/>
        <v>0</v>
      </c>
      <c r="M32" s="1140">
        <f t="shared" si="9"/>
        <v>0</v>
      </c>
      <c r="N32" s="1140">
        <f t="shared" si="9"/>
        <v>0</v>
      </c>
      <c r="O32" s="1140">
        <f t="shared" si="9"/>
        <v>0</v>
      </c>
      <c r="P32" s="1141">
        <f>SUM(P20:P31)</f>
        <v>0</v>
      </c>
      <c r="Q32" s="1013"/>
      <c r="R32" s="257"/>
      <c r="S32" s="100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U32" s="1014"/>
      <c r="CV32" s="40" t="s">
        <v>56</v>
      </c>
      <c r="CW32" s="666" t="s">
        <v>363</v>
      </c>
    </row>
    <row r="33" spans="1:134" ht="15" thickTop="1" x14ac:dyDescent="0.2">
      <c r="B33" s="635">
        <v>4</v>
      </c>
      <c r="C33" s="622" t="str">
        <f t="shared" si="2"/>
        <v>Liquiditätssaldo</v>
      </c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136"/>
      <c r="O33" s="1136"/>
      <c r="P33" s="1142"/>
      <c r="CV33" s="40" t="s">
        <v>57</v>
      </c>
      <c r="CW33" s="666" t="s">
        <v>364</v>
      </c>
    </row>
    <row r="34" spans="1:134" x14ac:dyDescent="0.2">
      <c r="B34" s="635"/>
      <c r="C34" s="619" t="str">
        <f t="shared" si="2"/>
        <v xml:space="preserve">Konto/flüss. Mittel/ Liquiditätssaldo/Startg. </v>
      </c>
      <c r="D34" s="1136">
        <f>D9</f>
        <v>0</v>
      </c>
      <c r="E34" s="1136">
        <f t="shared" ref="E34:O34" si="10">E8+E9</f>
        <v>0</v>
      </c>
      <c r="F34" s="1136">
        <f t="shared" si="10"/>
        <v>0</v>
      </c>
      <c r="G34" s="1136">
        <f t="shared" si="10"/>
        <v>0</v>
      </c>
      <c r="H34" s="1136">
        <f t="shared" si="10"/>
        <v>0</v>
      </c>
      <c r="I34" s="1136">
        <f t="shared" si="10"/>
        <v>0</v>
      </c>
      <c r="J34" s="1136">
        <f t="shared" si="10"/>
        <v>0</v>
      </c>
      <c r="K34" s="1136">
        <f t="shared" si="10"/>
        <v>0</v>
      </c>
      <c r="L34" s="1136">
        <f t="shared" si="10"/>
        <v>0</v>
      </c>
      <c r="M34" s="1136">
        <f t="shared" si="10"/>
        <v>0</v>
      </c>
      <c r="N34" s="1136">
        <f t="shared" si="10"/>
        <v>0</v>
      </c>
      <c r="O34" s="1136">
        <f t="shared" si="10"/>
        <v>0</v>
      </c>
      <c r="P34" s="1142"/>
      <c r="Q34" s="642"/>
      <c r="R34" s="94"/>
      <c r="CV34" s="40" t="s">
        <v>72</v>
      </c>
      <c r="CW34" s="666" t="s">
        <v>359</v>
      </c>
    </row>
    <row r="35" spans="1:134" x14ac:dyDescent="0.2">
      <c r="B35" s="635"/>
      <c r="C35" s="619" t="str">
        <f t="shared" si="2"/>
        <v>(+) Summe Liquiditätszugang</v>
      </c>
      <c r="D35" s="1136">
        <f t="shared" ref="D35:O35" si="11">D18</f>
        <v>0</v>
      </c>
      <c r="E35" s="1136">
        <f t="shared" si="11"/>
        <v>0</v>
      </c>
      <c r="F35" s="1136">
        <f t="shared" si="11"/>
        <v>0</v>
      </c>
      <c r="G35" s="1136">
        <f t="shared" si="11"/>
        <v>0</v>
      </c>
      <c r="H35" s="1136">
        <f t="shared" si="11"/>
        <v>0</v>
      </c>
      <c r="I35" s="1136">
        <f t="shared" si="11"/>
        <v>0</v>
      </c>
      <c r="J35" s="1136">
        <f t="shared" si="11"/>
        <v>0</v>
      </c>
      <c r="K35" s="1136">
        <f t="shared" si="11"/>
        <v>0</v>
      </c>
      <c r="L35" s="1136">
        <f t="shared" si="11"/>
        <v>0</v>
      </c>
      <c r="M35" s="1136">
        <f t="shared" si="11"/>
        <v>0</v>
      </c>
      <c r="N35" s="1136">
        <f t="shared" si="11"/>
        <v>0</v>
      </c>
      <c r="O35" s="1136">
        <f t="shared" si="11"/>
        <v>0</v>
      </c>
      <c r="P35" s="1142"/>
      <c r="Q35" s="642"/>
      <c r="CV35" s="40" t="s">
        <v>58</v>
      </c>
      <c r="CW35" s="666" t="s">
        <v>710</v>
      </c>
    </row>
    <row r="36" spans="1:134" x14ac:dyDescent="0.2">
      <c r="B36" s="637"/>
      <c r="C36" s="619" t="str">
        <f t="shared" si="2"/>
        <v>(-) Summe Liquiditätsabgang</v>
      </c>
      <c r="D36" s="1136">
        <f t="shared" ref="D36:O36" si="12">D32</f>
        <v>0</v>
      </c>
      <c r="E36" s="1136">
        <f t="shared" si="12"/>
        <v>0</v>
      </c>
      <c r="F36" s="1136">
        <f t="shared" si="12"/>
        <v>0</v>
      </c>
      <c r="G36" s="1136">
        <f t="shared" si="12"/>
        <v>0</v>
      </c>
      <c r="H36" s="1136">
        <f t="shared" si="12"/>
        <v>0</v>
      </c>
      <c r="I36" s="1136">
        <f t="shared" si="12"/>
        <v>0</v>
      </c>
      <c r="J36" s="1136">
        <f t="shared" si="12"/>
        <v>0</v>
      </c>
      <c r="K36" s="1136">
        <f t="shared" si="12"/>
        <v>0</v>
      </c>
      <c r="L36" s="1136">
        <f t="shared" si="12"/>
        <v>0</v>
      </c>
      <c r="M36" s="1136">
        <f t="shared" si="12"/>
        <v>0</v>
      </c>
      <c r="N36" s="1136">
        <f t="shared" si="12"/>
        <v>0</v>
      </c>
      <c r="O36" s="1136">
        <f t="shared" si="12"/>
        <v>0</v>
      </c>
      <c r="P36" s="1142"/>
      <c r="Q36" s="642"/>
      <c r="CV36" s="40" t="s">
        <v>59</v>
      </c>
      <c r="CW36" s="666" t="s">
        <v>365</v>
      </c>
    </row>
    <row r="37" spans="1:134" s="618" customFormat="1" ht="15.75" thickBot="1" x14ac:dyDescent="0.25">
      <c r="A37" s="257"/>
      <c r="B37" s="1015"/>
      <c r="C37" s="1010" t="str">
        <f t="shared" si="2"/>
        <v>Liquiditätssaldo</v>
      </c>
      <c r="D37" s="1143">
        <f t="shared" ref="D37:O37" si="13">D35-D36+D34</f>
        <v>0</v>
      </c>
      <c r="E37" s="1143">
        <f>E35-E36+E34</f>
        <v>0</v>
      </c>
      <c r="F37" s="1143">
        <f t="shared" si="13"/>
        <v>0</v>
      </c>
      <c r="G37" s="1143">
        <f t="shared" si="13"/>
        <v>0</v>
      </c>
      <c r="H37" s="1143">
        <f t="shared" si="13"/>
        <v>0</v>
      </c>
      <c r="I37" s="1143">
        <f t="shared" si="13"/>
        <v>0</v>
      </c>
      <c r="J37" s="1143">
        <f t="shared" si="13"/>
        <v>0</v>
      </c>
      <c r="K37" s="1143">
        <f t="shared" si="13"/>
        <v>0</v>
      </c>
      <c r="L37" s="1143">
        <f t="shared" si="13"/>
        <v>0</v>
      </c>
      <c r="M37" s="1143">
        <f t="shared" si="13"/>
        <v>0</v>
      </c>
      <c r="N37" s="1143">
        <f t="shared" si="13"/>
        <v>0</v>
      </c>
      <c r="O37" s="1143">
        <f t="shared" si="13"/>
        <v>0</v>
      </c>
      <c r="P37" s="1144"/>
      <c r="Q37" s="1016"/>
      <c r="R37" s="257"/>
      <c r="S37" s="624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U37" s="1017"/>
      <c r="CV37" s="40" t="s">
        <v>57</v>
      </c>
      <c r="CW37" s="666" t="s">
        <v>364</v>
      </c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</row>
    <row r="38" spans="1:134" s="472" customFormat="1" x14ac:dyDescent="0.2">
      <c r="B38" s="644"/>
      <c r="C38" s="645"/>
      <c r="I38" s="645"/>
      <c r="P38" s="646"/>
      <c r="Q38" s="646"/>
      <c r="S38" s="223"/>
      <c r="CU38" s="349"/>
      <c r="CV38" s="40"/>
      <c r="CW38" s="666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</row>
    <row r="39" spans="1:134" s="55" customFormat="1" ht="24.75" x14ac:dyDescent="0.2">
      <c r="B39" s="600" t="str">
        <f ca="1">IF($C$3="English",CW39,CV39)</f>
        <v>6a-2  Ermittlung der Liquidität und des Kapitalbedarfes für die Monate des Jahres 2020 in EURO</v>
      </c>
      <c r="D39" s="114"/>
      <c r="E39" s="114"/>
      <c r="F39" s="114"/>
      <c r="G39" s="114"/>
      <c r="H39" s="114"/>
      <c r="I39" s="351"/>
      <c r="J39" s="114"/>
      <c r="K39" s="114"/>
      <c r="L39" s="114"/>
      <c r="M39" s="629"/>
      <c r="N39" s="629"/>
      <c r="O39" s="629"/>
      <c r="P39" s="1237"/>
      <c r="Q39" s="1237"/>
      <c r="S39" s="648"/>
      <c r="CU39" s="349"/>
      <c r="CV39" s="189" t="str">
        <f ca="1">"6a-2  Ermittlung der Liquidität und des Kapitalbedarfes für die Monate des Jahres "&amp;'1 Pers.Ausgaben|Pers Expenses'!$C$4+1&amp;" in EURO"</f>
        <v>6a-2  Ermittlung der Liquidität und des Kapitalbedarfes für die Monate des Jahres 2020 in EURO</v>
      </c>
      <c r="CW39" s="1006" t="str">
        <f ca="1">"6a-2 Evaluation of liquidity and capital requirement for the months of year "&amp;'1 Pers.Ausgaben|Pers Expenses'!$C$4+1&amp; " in EURO"</f>
        <v>6a-2 Evaluation of liquidity and capital requirement for the months of year 2020 in EURO</v>
      </c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</row>
    <row r="40" spans="1:134" s="55" customFormat="1" ht="15" thickBot="1" x14ac:dyDescent="0.25">
      <c r="C40" s="602">
        <f>IF('Deckblatt Gruender|Data Founder'!J40="mit MwSt",1,0)</f>
        <v>0</v>
      </c>
      <c r="D40" s="630">
        <v>13</v>
      </c>
      <c r="E40" s="630">
        <v>14</v>
      </c>
      <c r="F40" s="630">
        <v>15</v>
      </c>
      <c r="G40" s="630">
        <v>16</v>
      </c>
      <c r="H40" s="630">
        <v>17</v>
      </c>
      <c r="I40" s="627">
        <v>18</v>
      </c>
      <c r="J40" s="630">
        <v>19</v>
      </c>
      <c r="K40" s="630">
        <v>20</v>
      </c>
      <c r="L40" s="630">
        <v>21</v>
      </c>
      <c r="M40" s="630">
        <v>22</v>
      </c>
      <c r="N40" s="630">
        <v>23</v>
      </c>
      <c r="O40" s="630">
        <v>24</v>
      </c>
      <c r="P40" s="351"/>
      <c r="Q40" s="351"/>
      <c r="R40" s="66"/>
      <c r="S40" s="648"/>
      <c r="T40" s="66"/>
      <c r="U40" s="66"/>
      <c r="V40" s="66"/>
      <c r="W40" s="66"/>
      <c r="X40" s="66"/>
      <c r="Y40" s="616"/>
      <c r="AB40" s="419"/>
      <c r="AC40" s="419"/>
      <c r="AD40" s="617"/>
      <c r="AE40" s="563"/>
      <c r="AF40" s="563"/>
      <c r="CU40" s="349"/>
      <c r="CV40" s="57"/>
      <c r="CW40" s="57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144"/>
      <c r="EA40" s="57"/>
      <c r="EB40" s="57"/>
      <c r="EC40" s="57"/>
      <c r="ED40" s="57"/>
    </row>
    <row r="41" spans="1:134" ht="15" thickBot="1" x14ac:dyDescent="0.25">
      <c r="B41" s="58" t="s">
        <v>344</v>
      </c>
      <c r="C41" s="632" t="str">
        <f>IF($C$3="English",CW41,CV41)</f>
        <v>Einzahlungen/Auszahlungen (MwSt-Satz s. Tab.2 und Tab.4)</v>
      </c>
      <c r="D41" s="633" t="str">
        <f>D7</f>
        <v>Jan.</v>
      </c>
      <c r="E41" s="633" t="str">
        <f t="shared" ref="E41:O41" si="14">E7</f>
        <v>Febr.</v>
      </c>
      <c r="F41" s="633" t="str">
        <f t="shared" si="14"/>
        <v>März</v>
      </c>
      <c r="G41" s="633" t="str">
        <f t="shared" si="14"/>
        <v>April</v>
      </c>
      <c r="H41" s="633" t="str">
        <f t="shared" si="14"/>
        <v>Mai</v>
      </c>
      <c r="I41" s="633" t="str">
        <f t="shared" si="14"/>
        <v>Juni</v>
      </c>
      <c r="J41" s="633" t="str">
        <f t="shared" si="14"/>
        <v>Juli</v>
      </c>
      <c r="K41" s="633" t="str">
        <f t="shared" si="14"/>
        <v>Aug.</v>
      </c>
      <c r="L41" s="633" t="str">
        <f t="shared" si="14"/>
        <v>Sept.</v>
      </c>
      <c r="M41" s="633" t="str">
        <f t="shared" si="14"/>
        <v>Okt.</v>
      </c>
      <c r="N41" s="633" t="str">
        <f t="shared" si="14"/>
        <v>Nov.</v>
      </c>
      <c r="O41" s="1233" t="str">
        <f t="shared" si="14"/>
        <v>Dez.</v>
      </c>
      <c r="P41" s="1249" t="str">
        <f ca="1">IF($C$3="English",DK3,DK2)</f>
        <v>Jahr 2020</v>
      </c>
      <c r="Q41" s="634"/>
      <c r="S41" s="648"/>
      <c r="CV41" s="40" t="s">
        <v>145</v>
      </c>
      <c r="CW41" s="666" t="str">
        <f>CW7</f>
        <v>Receipts / pay offs (VAT rate s. tab 2 and tab 4)</v>
      </c>
    </row>
    <row r="42" spans="1:134" x14ac:dyDescent="0.2">
      <c r="B42" s="635">
        <v>1</v>
      </c>
      <c r="C42" s="619" t="str">
        <f>IF($C$3="English",CW42,CV42)</f>
        <v>Konto / flüss. Mittel / Liquiditätssaldo</v>
      </c>
      <c r="D42" s="1136">
        <f>O37</f>
        <v>0</v>
      </c>
      <c r="E42" s="1136">
        <f t="shared" ref="E42:O42" si="15">D71</f>
        <v>0</v>
      </c>
      <c r="F42" s="1136">
        <f t="shared" si="15"/>
        <v>0</v>
      </c>
      <c r="G42" s="1136">
        <f t="shared" si="15"/>
        <v>0</v>
      </c>
      <c r="H42" s="1136">
        <f t="shared" si="15"/>
        <v>0</v>
      </c>
      <c r="I42" s="1136">
        <f t="shared" si="15"/>
        <v>0</v>
      </c>
      <c r="J42" s="1136">
        <f t="shared" si="15"/>
        <v>0</v>
      </c>
      <c r="K42" s="1136">
        <f t="shared" si="15"/>
        <v>0</v>
      </c>
      <c r="L42" s="1136">
        <f t="shared" si="15"/>
        <v>0</v>
      </c>
      <c r="M42" s="1136">
        <f t="shared" si="15"/>
        <v>0</v>
      </c>
      <c r="N42" s="1136">
        <f t="shared" si="15"/>
        <v>0</v>
      </c>
      <c r="O42" s="1248">
        <f t="shared" si="15"/>
        <v>0</v>
      </c>
      <c r="P42" s="1262"/>
      <c r="S42" s="648"/>
      <c r="CV42" s="892" t="s">
        <v>71</v>
      </c>
      <c r="CW42" s="666" t="str">
        <f t="shared" ref="CW42:CW44" si="16">CW8</f>
        <v>Account / liquid resources / liquidity balance / opening balance</v>
      </c>
    </row>
    <row r="43" spans="1:134" ht="15" thickBot="1" x14ac:dyDescent="0.25">
      <c r="B43" s="635"/>
      <c r="C43" s="620"/>
      <c r="D43" s="1136"/>
      <c r="E43" s="1136"/>
      <c r="F43" s="1136"/>
      <c r="G43" s="1136"/>
      <c r="H43" s="1136"/>
      <c r="I43" s="1136"/>
      <c r="J43" s="1136"/>
      <c r="K43" s="1136"/>
      <c r="L43" s="1136"/>
      <c r="M43" s="1136"/>
      <c r="N43" s="1136"/>
      <c r="O43" s="1136"/>
      <c r="P43" s="1137"/>
      <c r="S43" s="648"/>
      <c r="CV43" s="892" t="s">
        <v>224</v>
      </c>
      <c r="CW43" s="666" t="str">
        <f t="shared" si="16"/>
        <v>Opening balance (= own capital, personal contribution from tab 7a)</v>
      </c>
    </row>
    <row r="44" spans="1:134" ht="15" thickTop="1" x14ac:dyDescent="0.2">
      <c r="B44" s="636">
        <v>2</v>
      </c>
      <c r="C44" s="621" t="str">
        <f>IF($C$3="English",CW44,CV44)</f>
        <v>Einnahmen / Einzahlungen</v>
      </c>
      <c r="D44" s="1138"/>
      <c r="E44" s="1138"/>
      <c r="F44" s="1138"/>
      <c r="G44" s="1138"/>
      <c r="H44" s="1138"/>
      <c r="I44" s="1138"/>
      <c r="J44" s="1138"/>
      <c r="K44" s="1138"/>
      <c r="L44" s="1138"/>
      <c r="M44" s="1138"/>
      <c r="N44" s="1138"/>
      <c r="O44" s="1138"/>
      <c r="P44" s="1139"/>
      <c r="S44" s="648"/>
      <c r="CV44" s="892" t="s">
        <v>52</v>
      </c>
      <c r="CW44" s="666" t="str">
        <f t="shared" si="16"/>
        <v>Receipts / payments-in</v>
      </c>
    </row>
    <row r="45" spans="1:134" x14ac:dyDescent="0.2">
      <c r="B45" s="637"/>
      <c r="C45" s="619" t="str">
        <f t="shared" ref="C45:C56" si="17">IF($C$3="English",CW45,CV45)</f>
        <v>Umsatzerlöse (ohne MwSt) (aus Tab 2a-2)</v>
      </c>
      <c r="D45" s="1136">
        <f>IF($F$3=0,IF(OR($C$4=0,$C$4=1,$C$4=3),'2  Umsatz|Sales'!E68,'2  Umsatz|Sales'!E68-D59-D60),IF($F$3=0.5,IF(OR($C$4=0,$C$4=1,$C$4=3),('2  Umsatz|Sales'!P34+'2  Umsatz|Sales'!E68)/2,('2  Umsatz|Sales'!P34+'2  Umsatz|Sales'!E68)/2-(O25+D59+O26+D60)/2),IF($F$3=1,IF(OR($C$4=0,$C$4=1,$C$4=3),'2  Umsatz|Sales'!P34,'2  Umsatz|Sales'!P34-O25-O26),IF($F$3=2,IF(OR($C$4=0,$C$4=1,$C$4=3),'2  Umsatz|Sales'!O34,'2  Umsatz|Sales'!O34-N25-N26),IF($F$3=3,IF(OR($C$4=0,$C$4=1,$C$4=3),'2  Umsatz|Sales'!N34,'2  Umsatz|Sales'!N34-M25-M26))))))</f>
        <v>0</v>
      </c>
      <c r="E45" s="1136">
        <f>IF($F$3=0,IF(OR($C$4=0,$C$4=1,$C$4=3),'2  Umsatz|Sales'!F68,'2  Umsatz|Sales'!F68-E59-E60),IF($F$3=0.5,IF(OR($C$4=0,$C$4=1,$C$4=3),('2  Umsatz|Sales'!E68+'2  Umsatz|Sales'!F68)/2,('2  Umsatz|Sales'!E68+'2  Umsatz|Sales'!F68)/2-(D59+D60+E59+E60)/2),IF($F$3=1,IF(OR($C$4=0,$C$4=1,$C$4=3),'2  Umsatz|Sales'!E68,'2  Umsatz|Sales'!E68-D59-D60),IF($F$3=2,IF(OR($C$4=0,$C$4=1,$C$4=3),'2  Umsatz|Sales'!P34,'2  Umsatz|Sales'!P34-O25-O26),IF($F$3=3,IF(OR($C$4=0,$C$4=1,$C$4=3),'2  Umsatz|Sales'!O34,'2  Umsatz|Sales'!O34-N25-N26))))))</f>
        <v>0</v>
      </c>
      <c r="F45" s="1136">
        <f>IF($F$3=0,IF(OR($C$4=0,$C$4=1,$C$4=3),'2  Umsatz|Sales'!G68,'2  Umsatz|Sales'!G68-F59-F60),IF($F$3=0.5,IF(OR($C$4=0,$C$4=1,$C$4=3),('2  Umsatz|Sales'!F68+'2  Umsatz|Sales'!G68)/2,('2  Umsatz|Sales'!F68+'2  Umsatz|Sales'!G68)/2-(E59+E60+F59+F60)/2),IF($F$3=1,IF(OR($C$4=0,$C$4=1,$C$4=3),'2  Umsatz|Sales'!F68,'2  Umsatz|Sales'!F68-E59-E60),IF($F$3=2,IF(OR($C$4=0,$C$4=1,$C$4=3),'2  Umsatz|Sales'!E68,'2  Umsatz|Sales'!E68-D59-D60),IF($F$3=3,IF(OR($C$4=0,$C$4=1,$C$4=3),'2  Umsatz|Sales'!P34,'2  Umsatz|Sales'!P34-O25-O26))))))</f>
        <v>0</v>
      </c>
      <c r="G45" s="1136">
        <f>IF($F$3=0,IF(OR($C$4=0,$C$4=1,$C$4=3),'2  Umsatz|Sales'!H68,'2  Umsatz|Sales'!H68-G59-G60),IF($F$3=0.5,IF(OR($C$4=0,$C$4=1,$C$4=3),('2  Umsatz|Sales'!G68+'2  Umsatz|Sales'!H68)/2,('2  Umsatz|Sales'!G68+'2  Umsatz|Sales'!H68)/2-(F59+F60+G59+G60)/2),IF($F$3=1,IF(OR($C$4=0,$C$4=1,$C$4=3),'2  Umsatz|Sales'!G68,'2  Umsatz|Sales'!G68-F59-F60),IF($F$3=2,IF(OR($C$4=0,$C$4=1,$C$4=3),'2  Umsatz|Sales'!F68,'2  Umsatz|Sales'!F68-E59-E60),IF($F$3=3,IF(OR($C$4=0,$C$4=1,$C$4=3),'2  Umsatz|Sales'!E68,'2  Umsatz|Sales'!E68-D59-D60))))))</f>
        <v>0</v>
      </c>
      <c r="H45" s="1136">
        <f>IF($F$3=0,IF(OR($C$4=0,$C$4=1,$C$4=3),'2  Umsatz|Sales'!I68,'2  Umsatz|Sales'!I68-H59-H60),IF($F$3=0.5,IF(OR($C$4=0,$C$4=1,$C$4=3),('2  Umsatz|Sales'!H68+'2  Umsatz|Sales'!I68)/2,('2  Umsatz|Sales'!H68+'2  Umsatz|Sales'!I68)/2-(G59+G60+H59+H60)/2),IF($F$3=1,IF(OR($C$4=0,$C$4=1,$C$4=3),'2  Umsatz|Sales'!H68,'2  Umsatz|Sales'!H68-G59-G60),IF($F$3=2,IF(OR($C$4=0,$C$4=1,$C$4=3),'2  Umsatz|Sales'!G68,'2  Umsatz|Sales'!G68-F59-F60),IF($F$3=3,IF(OR($C$4=0,$C$4=1,$C$4=3),'2  Umsatz|Sales'!F68,'2  Umsatz|Sales'!F68-E59-E60))))))</f>
        <v>0</v>
      </c>
      <c r="I45" s="1136">
        <f>IF($F$3=0,IF(OR($C$4=0,$C$4=1,$C$4=3),'2  Umsatz|Sales'!J68,'2  Umsatz|Sales'!J68-I59-I60),IF($F$3=0.5,IF(OR($C$4=0,$C$4=1,$C$4=3),('2  Umsatz|Sales'!I68+'2  Umsatz|Sales'!J68)/2,('2  Umsatz|Sales'!I68+'2  Umsatz|Sales'!J68)/2-(H59+H60+I59+I60)/2),IF($F$3=1,IF(OR($C$4=0,$C$4=1,$C$4=3),'2  Umsatz|Sales'!I68,'2  Umsatz|Sales'!I68-H59-H60),IF($F$3=2,IF(OR($C$4=0,$C$4=1,$C$4=3),'2  Umsatz|Sales'!H68,'2  Umsatz|Sales'!H68-G59-G60),IF($F$3=3,IF(OR($C$4=0,$C$4=1,$C$4=3),'2  Umsatz|Sales'!G68,'2  Umsatz|Sales'!G68-F59-F60))))))</f>
        <v>0</v>
      </c>
      <c r="J45" s="1136">
        <f>IF($F$3=0,IF(OR($C$4=0,$C$4=1,$C$4=3),'2  Umsatz|Sales'!K68,'2  Umsatz|Sales'!K68-J59-J60),IF($F$3=0.5,IF(OR($C$4=0,$C$4=1,$C$4=3),('2  Umsatz|Sales'!J68+'2  Umsatz|Sales'!K68)/2,('2  Umsatz|Sales'!J68+'2  Umsatz|Sales'!K68)/2-(I59+I60+J59+J60)/2),IF($F$3=1,IF(OR($C$4=0,$C$4=1,$C$4=3),'2  Umsatz|Sales'!J68,'2  Umsatz|Sales'!J68-I59-I60),IF($F$3=2,IF(OR($C$4=0,$C$4=1,$C$4=3),'2  Umsatz|Sales'!I68,'2  Umsatz|Sales'!I68-H59-H60),IF($F$3=3,IF(OR($C$4=0,$C$4=1,$C$4=3),'2  Umsatz|Sales'!H68,'2  Umsatz|Sales'!H68-G59-G60))))))</f>
        <v>0</v>
      </c>
      <c r="K45" s="1136">
        <f>IF($F$3=0,IF(OR($C$4=0,$C$4=1,$C$4=3),'2  Umsatz|Sales'!L68,'2  Umsatz|Sales'!L68-K59-K60),IF($F$3=0.5,IF(OR($C$4=0,$C$4=1,$C$4=3),('2  Umsatz|Sales'!K68+'2  Umsatz|Sales'!L68)/2,('2  Umsatz|Sales'!K68+'2  Umsatz|Sales'!L68)/2-(J59+J60+K59+K60)/2),IF($F$3=1,IF(OR($C$4=0,$C$4=1,$C$4=3),'2  Umsatz|Sales'!K68,'2  Umsatz|Sales'!K68-J59-J60),IF($F$3=2,IF(OR($C$4=0,$C$4=1,$C$4=3),'2  Umsatz|Sales'!J68,'2  Umsatz|Sales'!J68-I59-I60),IF($F$3=3,IF(OR($C$4=0,$C$4=1,$C$4=3),'2  Umsatz|Sales'!I68,'2  Umsatz|Sales'!I68-H59-H60))))))</f>
        <v>0</v>
      </c>
      <c r="L45" s="1136">
        <f>IF($F$3=0,IF(OR($C$4=0,$C$4=1,$C$4=3),'2  Umsatz|Sales'!M68,'2  Umsatz|Sales'!M68-L59-L60),IF($F$3=0.5,IF(OR($C$4=0,$C$4=1,$C$4=3),('2  Umsatz|Sales'!L68+'2  Umsatz|Sales'!M68)/2,('2  Umsatz|Sales'!L68+'2  Umsatz|Sales'!M68)/2-(K59+K60+L59+L60)/2),IF($F$3=1,IF(OR($C$4=0,$C$4=1,$C$4=3),'2  Umsatz|Sales'!L68,'2  Umsatz|Sales'!L68-K59-K60),IF($F$3=2,IF(OR($C$4=0,$C$4=1,$C$4=3),'2  Umsatz|Sales'!K68,'2  Umsatz|Sales'!K68-J59-J60),IF($F$3=3,IF(OR($C$4=0,$C$4=1,$C$4=3),'2  Umsatz|Sales'!J68,'2  Umsatz|Sales'!J68-I59-I60))))))</f>
        <v>0</v>
      </c>
      <c r="M45" s="1136">
        <f>IF($F$3=0,IF(OR($C$4=0,$C$4=1,$C$4=3),'2  Umsatz|Sales'!N68,'2  Umsatz|Sales'!N68-M59-M60),IF($F$3=0.5,IF(OR($C$4=0,$C$4=1,$C$4=3),('2  Umsatz|Sales'!M68+'2  Umsatz|Sales'!N68)/2,('2  Umsatz|Sales'!M68+'2  Umsatz|Sales'!N68)/2-(L59+L60+M59+M60)/2),IF($F$3=1,IF(OR($C$4=0,$C$4=1,$C$4=3),'2  Umsatz|Sales'!M68,'2  Umsatz|Sales'!M68-L59-L60),IF($F$3=2,IF(OR($C$4=0,$C$4=1,$C$4=3),'2  Umsatz|Sales'!L68,'2  Umsatz|Sales'!L68-K59-K60),IF($F$3=3,IF(OR($C$4=0,$C$4=1,$C$4=3),'2  Umsatz|Sales'!K68,'2  Umsatz|Sales'!K68-J59-J60))))))</f>
        <v>0</v>
      </c>
      <c r="N45" s="1136">
        <f>IF($F$3=0,IF(OR($C$4=0,$C$4=1,$C$4=3),'2  Umsatz|Sales'!O68,'2  Umsatz|Sales'!O68-N59-N60),IF($F$3=0.5,IF(OR($C$4=0,$C$4=1,$C$4=3),('2  Umsatz|Sales'!N68+'2  Umsatz|Sales'!O68)/2,('2  Umsatz|Sales'!N68+'2  Umsatz|Sales'!O68)/2-(M59+M60+N59+N60)/2),IF($F$3=1,IF(OR($C$4=0,$C$4=1,$C$4=3),'2  Umsatz|Sales'!N68,'2  Umsatz|Sales'!N68-M59-M60),IF($F$3=2,IF(OR($C$4=0,$C$4=1,$C$4=3),'2  Umsatz|Sales'!M68,'2  Umsatz|Sales'!M68-L59-L60),IF($F$3=3,IF(OR($C$4=0,$C$4=1,$C$4=3),'2  Umsatz|Sales'!L68,'2  Umsatz|Sales'!L68-K59-K60))))))</f>
        <v>0</v>
      </c>
      <c r="O45" s="1136">
        <f>IF($F$3=0,IF(OR($C$4=0,$C$4=1,$C$4=3),'2  Umsatz|Sales'!P68,'2  Umsatz|Sales'!P68-O59-O60),IF($F$3=0.5,IF(OR($C$4=0,$C$4=1,$C$4=3),('2  Umsatz|Sales'!O68+'2  Umsatz|Sales'!P68)/2,('2  Umsatz|Sales'!O68+'2  Umsatz|Sales'!P68)/2-(N59+N60+O59+O60)/2),IF($F$3=1,IF(OR($C$4=0,$C$4=1,$C$4=3),'2  Umsatz|Sales'!O68,'2  Umsatz|Sales'!O68-N59-N60),IF($F$3=2,IF(OR($C$4=0,$C$4=1,$C$4=3),'2  Umsatz|Sales'!N68,'2  Umsatz|Sales'!N68-M59-M60),IF($F$3=3,IF(OR($C$4=0,$C$4=1,$C$4=3),'2  Umsatz|Sales'!M68,'2  Umsatz|Sales'!M68-L59-L60))))))</f>
        <v>0</v>
      </c>
      <c r="P45" s="1137">
        <f>IF(C45="","",SUM(D45:O45))</f>
        <v>0</v>
      </c>
      <c r="S45" s="648"/>
      <c r="CV45" s="40" t="str">
        <f>"Umsatzerlöse "&amp;IF($C$6=0,"(ohne MwSt)","(mit MwSt)")&amp; " (aus Tab 2a-2)"</f>
        <v>Umsatzerlöse (ohne MwSt) (aus Tab 2a-2)</v>
      </c>
      <c r="CW45" s="60" t="str">
        <f>"Sales "&amp;IF($C$6=0,"(w/o VAT)","(includ. VAT)")&amp; " (from tab 2a-2)"</f>
        <v>Sales (w/o VAT) (from tab 2a-2)</v>
      </c>
    </row>
    <row r="46" spans="1:134" x14ac:dyDescent="0.2">
      <c r="B46" s="637"/>
      <c r="C46" s="619" t="str">
        <f t="shared" si="17"/>
        <v>in Rechnung gestellte MwSt. auf Umsatzerlöse (Zeile 58+59  Tab 6a-2)</v>
      </c>
      <c r="D46" s="1136">
        <f>IF($C$4=1,"",IF($F$3=0,D59+D60,IF($F$3=0.5,(D59+D60+O25+O26)/2,IF($F$3=1,O25+O26+D60+D59,IF($F$3=2,O25+O26+D60+D59+N25+N26,IF($F$3=3,O25+O26+D60+D59+N25+N26+M25+M26))))))</f>
        <v>0</v>
      </c>
      <c r="E46" s="1136">
        <f>IF($C$4=1,"",IF($F$3=0,E59+E60,IF($F$3=0.5,(E59+E60+D59+D60)/2,IF($F$3=1,D59+D60+E60+E59,IF($F$3=2,D59+D60+E60+E59+O25+O26,IF($F$3=3,D59+D60+E60+E59+O25+O26+N25+N26))))))</f>
        <v>0</v>
      </c>
      <c r="F46" s="1136">
        <f>IF($C$4=1,"",IF($F$3=0,F59+F60,IF($F$3=0.5,(F59+F60+E59+E60)/2,IF($F$3=1,E59+E60+F60+F59,IF($F$3=2,E59+E60+F60+F59+D59+D61,IF($F$3=3,E59+E60+F60+F59+D59+P26+O25+O26))))))</f>
        <v>0</v>
      </c>
      <c r="G46" s="1136">
        <f t="shared" ref="G46:O46" si="18">IF($C$4=1,"",IF($F$3=0,G59+G60,IF($F$3=0.5,(F59+G59+F60+G60)/2,IF($F$3=1,F59+F60,IF($F$3=2,E59+E60,IF($F$3=3,D59+D60,0))))))</f>
        <v>0</v>
      </c>
      <c r="H46" s="1136">
        <f t="shared" si="18"/>
        <v>0</v>
      </c>
      <c r="I46" s="1136">
        <f t="shared" si="18"/>
        <v>0</v>
      </c>
      <c r="J46" s="1136">
        <f t="shared" si="18"/>
        <v>0</v>
      </c>
      <c r="K46" s="1136">
        <f t="shared" si="18"/>
        <v>0</v>
      </c>
      <c r="L46" s="1136">
        <f t="shared" si="18"/>
        <v>0</v>
      </c>
      <c r="M46" s="1136">
        <f t="shared" si="18"/>
        <v>0</v>
      </c>
      <c r="N46" s="1136">
        <f t="shared" si="18"/>
        <v>0</v>
      </c>
      <c r="O46" s="1136">
        <f t="shared" si="18"/>
        <v>0</v>
      </c>
      <c r="P46" s="1137">
        <f t="shared" ref="P46:P51" si="19">IF(C46="","",SUM(D46:O46))</f>
        <v>0</v>
      </c>
      <c r="S46" s="648"/>
      <c r="CV46" s="40" t="str">
        <f>IF($C$4=1,"","in Rechnung gestellte MwSt. auf Umsatzerlöse (Zeile 58+59  Tab 6a-2)")</f>
        <v>in Rechnung gestellte MwSt. auf Umsatzerlöse (Zeile 58+59  Tab 6a-2)</v>
      </c>
      <c r="CW46" s="666" t="str">
        <f>IF($C$4=1,"","Charged  VAT for sales (line 58+59 tab 6a-2)")</f>
        <v>Charged  VAT for sales (line 58+59 tab 6a-2)</v>
      </c>
    </row>
    <row r="47" spans="1:134" x14ac:dyDescent="0.2">
      <c r="B47" s="637"/>
      <c r="C47" s="619" t="str">
        <f t="shared" si="17"/>
        <v>Finanzierung (aus Tab. 7a o. Eigenanteil)</v>
      </c>
      <c r="D47" s="1136">
        <f>IF(D40='7 Finanzierung|Financing'!S131,'7 Finanzierung|Financing'!S129,"")</f>
        <v>0</v>
      </c>
      <c r="E47" s="1136">
        <f>IF(E40='7 Finanzierung|Financing'!T131,'7 Finanzierung|Financing'!T129,"")</f>
        <v>0</v>
      </c>
      <c r="F47" s="1136">
        <f>IF(F40='7 Finanzierung|Financing'!U131,'7 Finanzierung|Financing'!U129,"")</f>
        <v>0</v>
      </c>
      <c r="G47" s="1136">
        <f>IF(G40='7 Finanzierung|Financing'!V131,'7 Finanzierung|Financing'!V129,"")</f>
        <v>0</v>
      </c>
      <c r="H47" s="1136">
        <f>IF(H40='7 Finanzierung|Financing'!W131,'7 Finanzierung|Financing'!W129,"")</f>
        <v>0</v>
      </c>
      <c r="I47" s="1136">
        <f>IF(I40='7 Finanzierung|Financing'!X131,'7 Finanzierung|Financing'!X129,"")</f>
        <v>0</v>
      </c>
      <c r="J47" s="1136">
        <f>IF(J40='7 Finanzierung|Financing'!Y131,'7 Finanzierung|Financing'!Y129,"")</f>
        <v>0</v>
      </c>
      <c r="K47" s="1136">
        <f>IF(K40='7 Finanzierung|Financing'!Z131,'7 Finanzierung|Financing'!Z129,"")</f>
        <v>0</v>
      </c>
      <c r="L47" s="1136">
        <f>IF(L40='7 Finanzierung|Financing'!AA131,'7 Finanzierung|Financing'!AA129,"")</f>
        <v>0</v>
      </c>
      <c r="M47" s="1136">
        <f>IF(M40='7 Finanzierung|Financing'!AB131,'7 Finanzierung|Financing'!AB129,"")</f>
        <v>0</v>
      </c>
      <c r="N47" s="1136">
        <f>IF(N40='7 Finanzierung|Financing'!AC131,'7 Finanzierung|Financing'!AC129,"")</f>
        <v>0</v>
      </c>
      <c r="O47" s="1136">
        <f>IF(O40='7 Finanzierung|Financing'!AD131,'7 Finanzierung|Financing'!AD129,"")</f>
        <v>0</v>
      </c>
      <c r="P47" s="1137">
        <f t="shared" si="19"/>
        <v>0</v>
      </c>
      <c r="S47" s="648"/>
      <c r="CV47" s="40" t="str">
        <f>"Finanzierung (aus Tab. 7a o. Eigenanteil)"</f>
        <v>Finanzierung (aus Tab. 7a o. Eigenanteil)</v>
      </c>
      <c r="CW47" s="228" t="str">
        <f>CW13</f>
        <v>Financing (from tab 7a w/o equity ratio)</v>
      </c>
    </row>
    <row r="48" spans="1:134" x14ac:dyDescent="0.2">
      <c r="B48" s="637"/>
      <c r="C48" s="619" t="str">
        <f t="shared" si="17"/>
        <v>MwSt-Rückerstattung aus Betriebsausgaben (Zeilen 56+57 Tab. 6a-2)</v>
      </c>
      <c r="D48" s="1136">
        <f>IF($C$4=1,"",D57+D58)</f>
        <v>0</v>
      </c>
      <c r="E48" s="1136">
        <f t="shared" ref="E48:O48" si="20">IF($C$4=1,"",E57+E58)</f>
        <v>0</v>
      </c>
      <c r="F48" s="1136">
        <f t="shared" si="20"/>
        <v>0</v>
      </c>
      <c r="G48" s="1136">
        <f t="shared" si="20"/>
        <v>0</v>
      </c>
      <c r="H48" s="1136">
        <f t="shared" si="20"/>
        <v>0</v>
      </c>
      <c r="I48" s="1136">
        <f t="shared" si="20"/>
        <v>0</v>
      </c>
      <c r="J48" s="1136">
        <f t="shared" si="20"/>
        <v>0</v>
      </c>
      <c r="K48" s="1136">
        <f t="shared" si="20"/>
        <v>0</v>
      </c>
      <c r="L48" s="1136">
        <f t="shared" si="20"/>
        <v>0</v>
      </c>
      <c r="M48" s="1136">
        <f t="shared" si="20"/>
        <v>0</v>
      </c>
      <c r="N48" s="1136">
        <f t="shared" si="20"/>
        <v>0</v>
      </c>
      <c r="O48" s="1136">
        <f t="shared" si="20"/>
        <v>0</v>
      </c>
      <c r="P48" s="1137">
        <f t="shared" si="19"/>
        <v>0</v>
      </c>
      <c r="S48" s="648"/>
      <c r="CV48" s="40" t="str">
        <f>IF($C$4=1,"","MwSt-Rückerstattung aus Betriebsausgaben (Zeilen 56+57 Tab. 6a-2)")</f>
        <v>MwSt-Rückerstattung aus Betriebsausgaben (Zeilen 56+57 Tab. 6a-2)</v>
      </c>
      <c r="CW48" s="60" t="str">
        <f>IF($C$4=1,"","VAT credits from business expenses (lines 56+57 tab 6a-2)")</f>
        <v>VAT credits from business expenses (lines 56+57 tab 6a-2)</v>
      </c>
    </row>
    <row r="49" spans="2:101" x14ac:dyDescent="0.2">
      <c r="B49" s="637"/>
      <c r="C49" s="619" t="str">
        <f t="shared" si="17"/>
        <v>MwSt-Rückerstattung aus Anschaffungen (Zeile 18 Tab. 6a-2)</v>
      </c>
      <c r="D49" s="1136">
        <f>D55</f>
        <v>0</v>
      </c>
      <c r="E49" s="1136">
        <f t="shared" ref="E49:O49" si="21">E55</f>
        <v>0</v>
      </c>
      <c r="F49" s="1136">
        <f t="shared" si="21"/>
        <v>0</v>
      </c>
      <c r="G49" s="1136">
        <f t="shared" si="21"/>
        <v>0</v>
      </c>
      <c r="H49" s="1136">
        <f t="shared" si="21"/>
        <v>0</v>
      </c>
      <c r="I49" s="1136">
        <f t="shared" si="21"/>
        <v>0</v>
      </c>
      <c r="J49" s="1136">
        <f t="shared" si="21"/>
        <v>0</v>
      </c>
      <c r="K49" s="1136">
        <f t="shared" si="21"/>
        <v>0</v>
      </c>
      <c r="L49" s="1136">
        <f t="shared" si="21"/>
        <v>0</v>
      </c>
      <c r="M49" s="1136">
        <f t="shared" si="21"/>
        <v>0</v>
      </c>
      <c r="N49" s="1136">
        <f t="shared" si="21"/>
        <v>0</v>
      </c>
      <c r="O49" s="1136">
        <f t="shared" si="21"/>
        <v>0</v>
      </c>
      <c r="P49" s="1137">
        <f t="shared" si="19"/>
        <v>0</v>
      </c>
      <c r="S49" s="648"/>
      <c r="CV49" s="40" t="str">
        <f>IF($C$4=1,"","MwSt-Rückerstattung aus Anschaffungen (Zeile 18 Tab. 6a-2)")</f>
        <v>MwSt-Rückerstattung aus Anschaffungen (Zeile 18 Tab. 6a-2)</v>
      </c>
      <c r="CW49" s="60" t="str">
        <f>IF($C$4=1,"","VAT credits from investments (line 18 tab 6a-2)")</f>
        <v>VAT credits from investments (line 18 tab 6a-2)</v>
      </c>
    </row>
    <row r="50" spans="2:101" x14ac:dyDescent="0.2">
      <c r="B50" s="637"/>
      <c r="C50" s="1450" t="str">
        <f t="shared" si="17"/>
        <v>Forderungsausgleich</v>
      </c>
      <c r="D50" s="1445"/>
      <c r="E50" s="1445"/>
      <c r="F50" s="1445"/>
      <c r="G50" s="1445"/>
      <c r="H50" s="1445"/>
      <c r="I50" s="1445"/>
      <c r="J50" s="1445"/>
      <c r="K50" s="1445"/>
      <c r="L50" s="1445"/>
      <c r="M50" s="1445"/>
      <c r="N50" s="1445"/>
      <c r="O50" s="1445"/>
      <c r="P50" s="1446">
        <f t="shared" si="19"/>
        <v>0</v>
      </c>
      <c r="S50" s="648"/>
      <c r="CV50" s="40" t="s">
        <v>60</v>
      </c>
      <c r="CW50" s="228" t="str">
        <f>CW16</f>
        <v>Payments of outstanding bills</v>
      </c>
    </row>
    <row r="51" spans="2:101" x14ac:dyDescent="0.2">
      <c r="B51" s="637"/>
      <c r="C51" s="1449" t="s">
        <v>228</v>
      </c>
      <c r="D51" s="1447"/>
      <c r="E51" s="1447"/>
      <c r="F51" s="1447"/>
      <c r="G51" s="1447"/>
      <c r="H51" s="1447"/>
      <c r="I51" s="1447"/>
      <c r="J51" s="1447"/>
      <c r="K51" s="1447"/>
      <c r="L51" s="1447"/>
      <c r="M51" s="1447"/>
      <c r="N51" s="1447"/>
      <c r="O51" s="1447"/>
      <c r="P51" s="1448">
        <f t="shared" si="19"/>
        <v>0</v>
      </c>
      <c r="S51" s="222"/>
      <c r="CV51" s="418" t="s">
        <v>228</v>
      </c>
      <c r="CW51" s="228" t="str">
        <f t="shared" ref="CW51:CW55" si="22">CW17</f>
        <v>Other earnings e.g. vouchers, grants</v>
      </c>
    </row>
    <row r="52" spans="2:101" ht="15.75" thickBot="1" x14ac:dyDescent="0.25">
      <c r="B52" s="1012"/>
      <c r="C52" s="1011" t="str">
        <f t="shared" si="17"/>
        <v>Summe Liquiditätszugang</v>
      </c>
      <c r="D52" s="1140">
        <f t="shared" ref="D52:P52" si="23">SUM(D45:D51)</f>
        <v>0</v>
      </c>
      <c r="E52" s="1140">
        <f t="shared" si="23"/>
        <v>0</v>
      </c>
      <c r="F52" s="1140">
        <f t="shared" si="23"/>
        <v>0</v>
      </c>
      <c r="G52" s="1140">
        <f t="shared" si="23"/>
        <v>0</v>
      </c>
      <c r="H52" s="1140">
        <f t="shared" si="23"/>
        <v>0</v>
      </c>
      <c r="I52" s="1140">
        <f t="shared" si="23"/>
        <v>0</v>
      </c>
      <c r="J52" s="1140">
        <f t="shared" si="23"/>
        <v>0</v>
      </c>
      <c r="K52" s="1140">
        <f t="shared" si="23"/>
        <v>0</v>
      </c>
      <c r="L52" s="1140">
        <f t="shared" si="23"/>
        <v>0</v>
      </c>
      <c r="M52" s="1140">
        <f t="shared" si="23"/>
        <v>0</v>
      </c>
      <c r="N52" s="1140">
        <f t="shared" si="23"/>
        <v>0</v>
      </c>
      <c r="O52" s="1140">
        <f t="shared" si="23"/>
        <v>0</v>
      </c>
      <c r="P52" s="1141">
        <f t="shared" si="23"/>
        <v>0</v>
      </c>
      <c r="Q52" s="639"/>
      <c r="S52" s="640"/>
      <c r="CV52" s="40" t="s">
        <v>53</v>
      </c>
      <c r="CW52" s="228" t="str">
        <f t="shared" si="22"/>
        <v>Sum liquidity access</v>
      </c>
    </row>
    <row r="53" spans="2:101" ht="15" thickTop="1" x14ac:dyDescent="0.2">
      <c r="B53" s="635">
        <v>3</v>
      </c>
      <c r="C53" s="621" t="str">
        <f t="shared" si="17"/>
        <v>Ausgaben / Auszahlungen</v>
      </c>
      <c r="D53" s="1136"/>
      <c r="E53" s="1136"/>
      <c r="F53" s="1136"/>
      <c r="G53" s="1136"/>
      <c r="H53" s="1136"/>
      <c r="I53" s="1136"/>
      <c r="J53" s="1136"/>
      <c r="K53" s="1136"/>
      <c r="L53" s="1136"/>
      <c r="M53" s="1136"/>
      <c r="N53" s="1136"/>
      <c r="O53" s="1136"/>
      <c r="P53" s="1137"/>
      <c r="S53" s="648"/>
      <c r="CV53" s="40" t="s">
        <v>54</v>
      </c>
      <c r="CW53" s="228" t="str">
        <f t="shared" si="22"/>
        <v>Expenses / outgoings</v>
      </c>
    </row>
    <row r="54" spans="2:101" x14ac:dyDescent="0.2">
      <c r="B54" s="635"/>
      <c r="C54" s="620" t="str">
        <f t="shared" si="17"/>
        <v>Anschaffungen ohne MwSt (aus Tab 3a)</v>
      </c>
      <c r="D54" s="1136">
        <f>'3 Anschaffungen|Investment'!U375</f>
        <v>0</v>
      </c>
      <c r="E54" s="1136">
        <f>'3 Anschaffungen|Investment'!V375</f>
        <v>0</v>
      </c>
      <c r="F54" s="1136">
        <f>'3 Anschaffungen|Investment'!W375</f>
        <v>0</v>
      </c>
      <c r="G54" s="1136">
        <f>'3 Anschaffungen|Investment'!X375</f>
        <v>0</v>
      </c>
      <c r="H54" s="1136">
        <f>'3 Anschaffungen|Investment'!Y375</f>
        <v>0</v>
      </c>
      <c r="I54" s="1136">
        <f>'3 Anschaffungen|Investment'!Z375</f>
        <v>0</v>
      </c>
      <c r="J54" s="1136">
        <f>'3 Anschaffungen|Investment'!AA375</f>
        <v>0</v>
      </c>
      <c r="K54" s="1136">
        <f>'3 Anschaffungen|Investment'!AB375</f>
        <v>0</v>
      </c>
      <c r="L54" s="1136">
        <f>'3 Anschaffungen|Investment'!AC375</f>
        <v>0</v>
      </c>
      <c r="M54" s="1136">
        <f>'3 Anschaffungen|Investment'!AD375</f>
        <v>0</v>
      </c>
      <c r="N54" s="1136">
        <f>'3 Anschaffungen|Investment'!AE375</f>
        <v>0</v>
      </c>
      <c r="O54" s="1136">
        <f>'3 Anschaffungen|Investment'!AF375</f>
        <v>0</v>
      </c>
      <c r="P54" s="1137">
        <f>IF(C54="","",SUM(D54:O54))</f>
        <v>0</v>
      </c>
      <c r="S54" s="648"/>
      <c r="CV54" s="40" t="str">
        <f>"Anschaffungen"&amp;IF($C$4&lt;&gt;1," ohne MwSt", " mit MwSt") &amp;" (aus Tab 3a)"</f>
        <v>Anschaffungen ohne MwSt (aus Tab 3a)</v>
      </c>
      <c r="CW54" s="228" t="str">
        <f t="shared" si="22"/>
        <v>Acquirements w/o VAT (from tab 3a)</v>
      </c>
    </row>
    <row r="55" spans="2:101" x14ac:dyDescent="0.2">
      <c r="B55" s="635"/>
      <c r="C55" s="620" t="str">
        <f t="shared" si="17"/>
        <v>auf Anschaffungen bezahlte 19% MwSt.</v>
      </c>
      <c r="D55" s="1136">
        <f>IF('Deckblatt Gruender|Data Founder'!$I$13='Deckblatt Gruender|Data Founder'!$G$1,"",D54*IF('3 Anschaffungen|Investment'!Y13&gt;0,0,$B$2))</f>
        <v>0</v>
      </c>
      <c r="E55" s="1136">
        <f>IF('Deckblatt Gruender|Data Founder'!$I$13='Deckblatt Gruender|Data Founder'!$G$1,"",E54*IF('3 Anschaffungen|Investment'!Y14&gt;0,0,$B$2))</f>
        <v>0</v>
      </c>
      <c r="F55" s="1136">
        <f>IF('Deckblatt Gruender|Data Founder'!$I$13='Deckblatt Gruender|Data Founder'!$G$1,"",F54*IF('3 Anschaffungen|Investment'!Y15&gt;0,0,$B$2))</f>
        <v>0</v>
      </c>
      <c r="G55" s="1136">
        <f>IF('Deckblatt Gruender|Data Founder'!$I$13='Deckblatt Gruender|Data Founder'!$G$1,"",G54*IF('3 Anschaffungen|Investment'!Y16&gt;0,0,$B$2))</f>
        <v>0</v>
      </c>
      <c r="H55" s="1136">
        <f>IF('Deckblatt Gruender|Data Founder'!$I$13='Deckblatt Gruender|Data Founder'!$G$1,"",H54*IF('3 Anschaffungen|Investment'!Y17&gt;0,0,$B$2))</f>
        <v>0</v>
      </c>
      <c r="I55" s="1136">
        <f>IF('Deckblatt Gruender|Data Founder'!$I$13='Deckblatt Gruender|Data Founder'!$G$1,"",I54*IF('3 Anschaffungen|Investment'!Y18&gt;0,0,$B$2))</f>
        <v>0</v>
      </c>
      <c r="J55" s="1136">
        <f>IF('Deckblatt Gruender|Data Founder'!$I$13='Deckblatt Gruender|Data Founder'!$G$1,"",J54*IF('3 Anschaffungen|Investment'!Y19&gt;0,0,$B$2))</f>
        <v>0</v>
      </c>
      <c r="K55" s="1136">
        <f>IF('Deckblatt Gruender|Data Founder'!$I$13='Deckblatt Gruender|Data Founder'!$G$1,"",K54*IF('3 Anschaffungen|Investment'!Y20&gt;0,0,$B$2))</f>
        <v>0</v>
      </c>
      <c r="L55" s="1136">
        <f>IF('Deckblatt Gruender|Data Founder'!$I$13='Deckblatt Gruender|Data Founder'!$G$1,"",L54*IF('3 Anschaffungen|Investment'!Y21&gt;0,0,$B$2))</f>
        <v>0</v>
      </c>
      <c r="M55" s="1136">
        <f>IF('Deckblatt Gruender|Data Founder'!$I$13='Deckblatt Gruender|Data Founder'!$G$1,"",M54*IF('3 Anschaffungen|Investment'!Y22&gt;0,0,$B$2))</f>
        <v>0</v>
      </c>
      <c r="N55" s="1136">
        <f>IF('Deckblatt Gruender|Data Founder'!$I$13='Deckblatt Gruender|Data Founder'!$G$1,"",N54*IF('3 Anschaffungen|Investment'!Y23&gt;0,0,$B$2))</f>
        <v>0</v>
      </c>
      <c r="O55" s="1136">
        <f>IF('Deckblatt Gruender|Data Founder'!$I$13='Deckblatt Gruender|Data Founder'!$G$1,"",O54*IF('3 Anschaffungen|Investment'!Y24&gt;0,0,$B$2))</f>
        <v>0</v>
      </c>
      <c r="P55" s="1137">
        <f t="shared" ref="P55:P63" si="24">IF(C55="","",SUM(D55:O55))</f>
        <v>0</v>
      </c>
      <c r="S55" s="648"/>
      <c r="CV55" s="40" t="str">
        <f>IF($C$4=1,"","auf Anschaffungen bezahlte " &amp; $B$2*100 &amp; "% MwSt.")</f>
        <v>auf Anschaffungen bezahlte 19% MwSt.</v>
      </c>
      <c r="CW55" s="228" t="str">
        <f t="shared" si="22"/>
        <v>For acquirements paid 19% VAT</v>
      </c>
    </row>
    <row r="56" spans="2:101" x14ac:dyDescent="0.2">
      <c r="B56" s="635"/>
      <c r="C56" s="620" t="str">
        <f t="shared" si="17"/>
        <v>Betriebskosten I ohne MwSt (Übernahme aus Tab. 4a-2)</v>
      </c>
      <c r="D56" s="1136">
        <f>IF($C$4=2,'4  Betriebskosten|Operation Ex'!D141-D57-D58,'4  Betriebskosten|Operation Ex'!D141)</f>
        <v>0</v>
      </c>
      <c r="E56" s="1136">
        <f>IF($C$4=2,'4  Betriebskosten|Operation Ex'!E141-E57-E58,'4  Betriebskosten|Operation Ex'!E141)</f>
        <v>0</v>
      </c>
      <c r="F56" s="1136">
        <f>IF($C$4=2,'4  Betriebskosten|Operation Ex'!F141-F57-F58,'4  Betriebskosten|Operation Ex'!F141)</f>
        <v>0</v>
      </c>
      <c r="G56" s="1136">
        <f>IF($C$4=2,'4  Betriebskosten|Operation Ex'!G141-G57-G58,'4  Betriebskosten|Operation Ex'!G141)</f>
        <v>0</v>
      </c>
      <c r="H56" s="1136">
        <f>IF($C$4=2,'4  Betriebskosten|Operation Ex'!H141-H57-H58,'4  Betriebskosten|Operation Ex'!H141)</f>
        <v>0</v>
      </c>
      <c r="I56" s="1136">
        <f>IF($C$4=2,'4  Betriebskosten|Operation Ex'!I141-I57-I58,'4  Betriebskosten|Operation Ex'!I141)</f>
        <v>0</v>
      </c>
      <c r="J56" s="1136">
        <f>IF($C$4=2,'4  Betriebskosten|Operation Ex'!J141-J57-J58,'4  Betriebskosten|Operation Ex'!J141)</f>
        <v>0</v>
      </c>
      <c r="K56" s="1136">
        <f>IF($C$4=2,'4  Betriebskosten|Operation Ex'!K141-K57-K58,'4  Betriebskosten|Operation Ex'!K141)</f>
        <v>0</v>
      </c>
      <c r="L56" s="1136">
        <f>IF($C$4=2,'4  Betriebskosten|Operation Ex'!L141-L57-L58,'4  Betriebskosten|Operation Ex'!L141)</f>
        <v>0</v>
      </c>
      <c r="M56" s="1136">
        <f>IF($C$4=2,'4  Betriebskosten|Operation Ex'!M141-M57-M58,'4  Betriebskosten|Operation Ex'!M141)</f>
        <v>0</v>
      </c>
      <c r="N56" s="1136">
        <f>IF($C$4=2,'4  Betriebskosten|Operation Ex'!N141-N57-N58,'4  Betriebskosten|Operation Ex'!N141)</f>
        <v>0</v>
      </c>
      <c r="O56" s="1136">
        <f>IF($C$4=2,'4  Betriebskosten|Operation Ex'!O141-O57-O58,'4  Betriebskosten|Operation Ex'!O141)</f>
        <v>0</v>
      </c>
      <c r="P56" s="1137">
        <f t="shared" si="24"/>
        <v>0</v>
      </c>
      <c r="S56" s="648"/>
      <c r="CV56" s="40" t="str">
        <f>IF($C$4=1,"Betriebskosten I mit MwSt (Übernahme aus Tab. 4a-2)","Betriebskosten I ohne MwSt (Übernahme aus Tab. 4a-2)")</f>
        <v>Betriebskosten I ohne MwSt (Übernahme aus Tab. 4a-2)</v>
      </c>
      <c r="CW56" s="60" t="str">
        <f>IF($C$4=1,"Operation Costs I inculding VAT (from tab 4a)","Operation Costs I w/o VAT (from tab 4a-2)")</f>
        <v>Operation Costs I w/o VAT (from tab 4a-2)</v>
      </c>
    </row>
    <row r="57" spans="2:101" x14ac:dyDescent="0.2">
      <c r="B57" s="635"/>
      <c r="C57" s="620" t="str">
        <f>IF($C$3="English",CW57,CV57)</f>
        <v>auf Betriebskosten bezahlte MwSt 19% (aus Tab. 4a-2 Anhang)</v>
      </c>
      <c r="D57" s="1136">
        <f>IF($C$4&lt;&gt;1,'4  Betriebskosten|Operation Ex'!D147,"")</f>
        <v>0</v>
      </c>
      <c r="E57" s="1136">
        <f>IF($C$4&lt;&gt;1,'4  Betriebskosten|Operation Ex'!E147,"")</f>
        <v>0</v>
      </c>
      <c r="F57" s="1136">
        <f>IF($C$4&lt;&gt;1,'4  Betriebskosten|Operation Ex'!F147,"")</f>
        <v>0</v>
      </c>
      <c r="G57" s="1136">
        <f>IF($C$4&lt;&gt;1,'4  Betriebskosten|Operation Ex'!G147,"")</f>
        <v>0</v>
      </c>
      <c r="H57" s="1136">
        <f>IF($C$4&lt;&gt;1,'4  Betriebskosten|Operation Ex'!H147,"")</f>
        <v>0</v>
      </c>
      <c r="I57" s="1136">
        <f>IF($C$4&lt;&gt;1,'4  Betriebskosten|Operation Ex'!I147,"")</f>
        <v>0</v>
      </c>
      <c r="J57" s="1136">
        <f>IF($C$4&lt;&gt;1,'4  Betriebskosten|Operation Ex'!J147,"")</f>
        <v>0</v>
      </c>
      <c r="K57" s="1136">
        <f>IF($C$4&lt;&gt;1,'4  Betriebskosten|Operation Ex'!K147,"")</f>
        <v>0</v>
      </c>
      <c r="L57" s="1136">
        <f>IF($C$4&lt;&gt;1,'4  Betriebskosten|Operation Ex'!L147,"")</f>
        <v>0</v>
      </c>
      <c r="M57" s="1136">
        <f>IF($C$4&lt;&gt;1,'4  Betriebskosten|Operation Ex'!M147,"")</f>
        <v>0</v>
      </c>
      <c r="N57" s="1136">
        <f>IF($C$4&lt;&gt;1,'4  Betriebskosten|Operation Ex'!N147,"")</f>
        <v>0</v>
      </c>
      <c r="O57" s="1136">
        <f>IF($C$4&lt;&gt;1,'4  Betriebskosten|Operation Ex'!O147,"")</f>
        <v>0</v>
      </c>
      <c r="P57" s="1137">
        <f t="shared" si="24"/>
        <v>0</v>
      </c>
      <c r="S57" s="648"/>
      <c r="CV57" s="893" t="str">
        <f>IF($C$4=1,"","auf Betriebskosten bezahlte MwSt "&amp;$B$2*100 &amp;"% (aus Tab. 4a-2 Anhang)")</f>
        <v>auf Betriebskosten bezahlte MwSt 19% (aus Tab. 4a-2 Anhang)</v>
      </c>
      <c r="CW57" s="60" t="str">
        <f>IF($C$4=1,"","Payed VAT "&amp;$B$2*100 &amp;"%  for Costs of Operation (from ta. 4a-2 annex)")</f>
        <v>Payed VAT 19%  for Costs of Operation (from ta. 4a-2 annex)</v>
      </c>
    </row>
    <row r="58" spans="2:101" x14ac:dyDescent="0.2">
      <c r="B58" s="635"/>
      <c r="C58" s="620" t="str">
        <f t="shared" ref="C58:C63" si="25">IF($C$3="English",CW58,CV58)</f>
        <v>auf Betriebskosten bezahlte MwSt 7% (aus Tab. 4a-2 Anhang)</v>
      </c>
      <c r="D58" s="1136">
        <f>IF($C$4&lt;&gt;1,'4  Betriebskosten|Operation Ex'!D148,"")</f>
        <v>0</v>
      </c>
      <c r="E58" s="1136">
        <f>IF($C$4&lt;&gt;1,'4  Betriebskosten|Operation Ex'!E148,"")</f>
        <v>0</v>
      </c>
      <c r="F58" s="1136">
        <f>IF($C$4&lt;&gt;1,'4  Betriebskosten|Operation Ex'!F148,"")</f>
        <v>0</v>
      </c>
      <c r="G58" s="1136">
        <f>IF($C$4&lt;&gt;1,'4  Betriebskosten|Operation Ex'!G148,"")</f>
        <v>0</v>
      </c>
      <c r="H58" s="1136">
        <f>IF($C$4&lt;&gt;1,'4  Betriebskosten|Operation Ex'!H148,"")</f>
        <v>0</v>
      </c>
      <c r="I58" s="1136">
        <f>IF($C$4&lt;&gt;1,'4  Betriebskosten|Operation Ex'!I148,"")</f>
        <v>0</v>
      </c>
      <c r="J58" s="1136">
        <f>IF($C$4&lt;&gt;1,'4  Betriebskosten|Operation Ex'!J148,"")</f>
        <v>0</v>
      </c>
      <c r="K58" s="1136">
        <f>IF($C$4&lt;&gt;1,'4  Betriebskosten|Operation Ex'!K148,"")</f>
        <v>0</v>
      </c>
      <c r="L58" s="1136">
        <f>IF($C$4&lt;&gt;1,'4  Betriebskosten|Operation Ex'!L148,"")</f>
        <v>0</v>
      </c>
      <c r="M58" s="1136">
        <f>IF($C$4&lt;&gt;1,'4  Betriebskosten|Operation Ex'!M148,"")</f>
        <v>0</v>
      </c>
      <c r="N58" s="1136">
        <f>IF($C$4&lt;&gt;1,'4  Betriebskosten|Operation Ex'!N148,"")</f>
        <v>0</v>
      </c>
      <c r="O58" s="1136">
        <f>IF($C$4&lt;&gt;1,'4  Betriebskosten|Operation Ex'!O148,"")</f>
        <v>0</v>
      </c>
      <c r="P58" s="1137">
        <f t="shared" si="24"/>
        <v>0</v>
      </c>
      <c r="S58" s="648"/>
      <c r="CV58" s="893" t="str">
        <f>IF($C$4=1,"","auf Betriebskosten bezahlte MwSt "&amp;$C$2*100&amp;"% (aus Tab. 4a-2 Anhang)")</f>
        <v>auf Betriebskosten bezahlte MwSt 7% (aus Tab. 4a-2 Anhang)</v>
      </c>
      <c r="CW58" s="60" t="str">
        <f>IF($C$4=1,"","Payed VAT "&amp;$C$2*100 &amp;"%  for Costs of Operation (from tab 4a-2 annex)")</f>
        <v>Payed VAT 7%  for Costs of Operation (from tab 4a-2 annex)</v>
      </c>
    </row>
    <row r="59" spans="2:101" x14ac:dyDescent="0.2">
      <c r="B59" s="637"/>
      <c r="C59" s="620" t="str">
        <f t="shared" si="25"/>
        <v>ans Finanzamt abzuführende 19% MwSt. aus Umsätzen (aus Tab. 2a-2)</v>
      </c>
      <c r="D59" s="1136">
        <f>IF($C$4&lt;&gt;1,'2  Umsatz|Sales'!E67,"")</f>
        <v>0</v>
      </c>
      <c r="E59" s="1136">
        <f>IF($C$4&lt;&gt;1,'2  Umsatz|Sales'!F67,"")</f>
        <v>0</v>
      </c>
      <c r="F59" s="1136">
        <f>IF($C$4&lt;&gt;1,'2  Umsatz|Sales'!G67,"")</f>
        <v>0</v>
      </c>
      <c r="G59" s="1136">
        <f>IF($C$4&lt;&gt;1,'2  Umsatz|Sales'!H67,"")</f>
        <v>0</v>
      </c>
      <c r="H59" s="1136">
        <f>IF($C$4&lt;&gt;1,'2  Umsatz|Sales'!I67,"")</f>
        <v>0</v>
      </c>
      <c r="I59" s="1136">
        <f>IF($C$4&lt;&gt;1,'2  Umsatz|Sales'!J67,"")</f>
        <v>0</v>
      </c>
      <c r="J59" s="1136">
        <f>IF($C$4&lt;&gt;1,'2  Umsatz|Sales'!K67,"")</f>
        <v>0</v>
      </c>
      <c r="K59" s="1136">
        <f>IF($C$4&lt;&gt;1,'2  Umsatz|Sales'!L67,"")</f>
        <v>0</v>
      </c>
      <c r="L59" s="1136">
        <f>IF($C$4&lt;&gt;1,'2  Umsatz|Sales'!M67,"")</f>
        <v>0</v>
      </c>
      <c r="M59" s="1136">
        <f>IF($C$4&lt;&gt;1,'2  Umsatz|Sales'!N67,"")</f>
        <v>0</v>
      </c>
      <c r="N59" s="1136">
        <f>IF($C$4&lt;&gt;1,'2  Umsatz|Sales'!O67,"")</f>
        <v>0</v>
      </c>
      <c r="O59" s="1136">
        <f>IF($C$4&lt;&gt;1,'2  Umsatz|Sales'!P67,"")</f>
        <v>0</v>
      </c>
      <c r="P59" s="1137">
        <f t="shared" si="24"/>
        <v>0</v>
      </c>
      <c r="S59" s="648"/>
      <c r="CV59" s="893" t="str">
        <f>IF($C$4=1,"","ans Finanzamt abzuführende "&amp;$B$2*100&amp;"% MwSt. aus Umsätzen (aus Tab. 2a-2)")</f>
        <v>ans Finanzamt abzuführende 19% MwSt. aus Umsätzen (aus Tab. 2a-2)</v>
      </c>
      <c r="CW59" s="60" t="str">
        <f>IF($C$4=1,"","Payed VAT " &amp; $B$2*100 &amp; "% from Sales to Tax Office (tab 2a-2)")</f>
        <v>Payed VAT 19% from Sales to Tax Office (tab 2a-2)</v>
      </c>
    </row>
    <row r="60" spans="2:101" x14ac:dyDescent="0.2">
      <c r="B60" s="637"/>
      <c r="C60" s="620" t="str">
        <f t="shared" si="25"/>
        <v>ans Finanzamt abzuführende 7% MwSt. aus Umsätzen (aus Tab. 2a-2)</v>
      </c>
      <c r="D60" s="1136">
        <f>IF($C$4&lt;&gt;1,'2  Umsatz|Sales'!E66,"")</f>
        <v>0</v>
      </c>
      <c r="E60" s="1136">
        <f>IF($C$4&lt;&gt;1,'2  Umsatz|Sales'!F66,"")</f>
        <v>0</v>
      </c>
      <c r="F60" s="1136">
        <f>IF($C$4&lt;&gt;1,'2  Umsatz|Sales'!G66,"")</f>
        <v>0</v>
      </c>
      <c r="G60" s="1136">
        <f>IF($C$4&lt;&gt;1,'2  Umsatz|Sales'!H66,"")</f>
        <v>0</v>
      </c>
      <c r="H60" s="1136">
        <f>IF($C$4&lt;&gt;1,'2  Umsatz|Sales'!I66,"")</f>
        <v>0</v>
      </c>
      <c r="I60" s="1136">
        <f>IF($C$4&lt;&gt;1,'2  Umsatz|Sales'!J66,"")</f>
        <v>0</v>
      </c>
      <c r="J60" s="1136">
        <f>IF($C$4&lt;&gt;1,'2  Umsatz|Sales'!K66,"")</f>
        <v>0</v>
      </c>
      <c r="K60" s="1136">
        <f>IF($C$4&lt;&gt;1,'2  Umsatz|Sales'!L66,"")</f>
        <v>0</v>
      </c>
      <c r="L60" s="1136">
        <f>IF($C$4&lt;&gt;1,'2  Umsatz|Sales'!M66,"")</f>
        <v>0</v>
      </c>
      <c r="M60" s="1136">
        <f>IF($C$4&lt;&gt;1,'2  Umsatz|Sales'!N66,"")</f>
        <v>0</v>
      </c>
      <c r="N60" s="1136">
        <f>IF($C$4&lt;&gt;1,'2  Umsatz|Sales'!O66,"")</f>
        <v>0</v>
      </c>
      <c r="O60" s="1136">
        <f>IF($C$4&lt;&gt;1,'2  Umsatz|Sales'!P66,"")</f>
        <v>0</v>
      </c>
      <c r="P60" s="1137">
        <f t="shared" si="24"/>
        <v>0</v>
      </c>
      <c r="CV60" s="893" t="str">
        <f>IF($C$4=1,"","ans Finanzamt abzuführende "&amp;$C$2*100&amp;"% MwSt. aus Umsätzen (aus Tab. 2a-2)")</f>
        <v>ans Finanzamt abzuführende 7% MwSt. aus Umsätzen (aus Tab. 2a-2)</v>
      </c>
      <c r="CW60" s="60" t="str">
        <f>IF($C$4=1,"","Payed VAT " &amp; $C$2*100 &amp; "% from Sales to Tax Office (tab 2a-2)")</f>
        <v>Payed VAT 7% from Sales to Tax Office (tab 2a-2)</v>
      </c>
    </row>
    <row r="61" spans="2:101" ht="14.25" customHeight="1" x14ac:dyDescent="0.2">
      <c r="B61" s="637"/>
      <c r="C61" s="620" t="str">
        <f t="shared" si="25"/>
        <v>Kapitaldienst Tilgung (aus Tab. 7b-2)</v>
      </c>
      <c r="D61" s="1136">
        <f>'7 Finanzierung|Financing'!D46</f>
        <v>0</v>
      </c>
      <c r="E61" s="1136">
        <f>'7 Finanzierung|Financing'!E46</f>
        <v>0</v>
      </c>
      <c r="F61" s="1136">
        <f>'7 Finanzierung|Financing'!F46</f>
        <v>0</v>
      </c>
      <c r="G61" s="1136">
        <f>'7 Finanzierung|Financing'!G46</f>
        <v>0</v>
      </c>
      <c r="H61" s="1136">
        <f>'7 Finanzierung|Financing'!H46</f>
        <v>0</v>
      </c>
      <c r="I61" s="1136">
        <f>'7 Finanzierung|Financing'!I46</f>
        <v>0</v>
      </c>
      <c r="J61" s="1136">
        <f>'7 Finanzierung|Financing'!J46</f>
        <v>0</v>
      </c>
      <c r="K61" s="1136">
        <f>'7 Finanzierung|Financing'!K46</f>
        <v>0</v>
      </c>
      <c r="L61" s="1136">
        <f>'7 Finanzierung|Financing'!L46</f>
        <v>0</v>
      </c>
      <c r="M61" s="1136">
        <f>'7 Finanzierung|Financing'!M46</f>
        <v>0</v>
      </c>
      <c r="N61" s="1136">
        <f>'7 Finanzierung|Financing'!N46</f>
        <v>0</v>
      </c>
      <c r="O61" s="1136">
        <f>'7 Finanzierung|Financing'!O46</f>
        <v>0</v>
      </c>
      <c r="P61" s="1137">
        <f t="shared" si="24"/>
        <v>0</v>
      </c>
      <c r="CV61" s="893" t="s">
        <v>577</v>
      </c>
      <c r="CW61" s="666" t="s">
        <v>727</v>
      </c>
    </row>
    <row r="62" spans="2:101" x14ac:dyDescent="0.2">
      <c r="B62" s="637"/>
      <c r="C62" s="620" t="str">
        <f t="shared" si="25"/>
        <v>Gewerbesteuer (Übernahme aus Tab. 5c)</v>
      </c>
      <c r="D62" s="1136">
        <f>'5  Rentabilitaet|Profit'!$E$57/12</f>
        <v>0</v>
      </c>
      <c r="E62" s="1136">
        <f>'5  Rentabilitaet|Profit'!$E$57/12</f>
        <v>0</v>
      </c>
      <c r="F62" s="1136">
        <f>'5  Rentabilitaet|Profit'!$E$57/12</f>
        <v>0</v>
      </c>
      <c r="G62" s="1136">
        <f>'5  Rentabilitaet|Profit'!$E$57/12</f>
        <v>0</v>
      </c>
      <c r="H62" s="1136">
        <f>'5  Rentabilitaet|Profit'!$E$57/12</f>
        <v>0</v>
      </c>
      <c r="I62" s="1136">
        <f>'5  Rentabilitaet|Profit'!$E$57/12</f>
        <v>0</v>
      </c>
      <c r="J62" s="1136">
        <f>'5  Rentabilitaet|Profit'!$E$57/12</f>
        <v>0</v>
      </c>
      <c r="K62" s="1136">
        <f>'5  Rentabilitaet|Profit'!$E$57/12</f>
        <v>0</v>
      </c>
      <c r="L62" s="1136">
        <f>'5  Rentabilitaet|Profit'!$E$57/12</f>
        <v>0</v>
      </c>
      <c r="M62" s="1136">
        <f>'5  Rentabilitaet|Profit'!$E$57/12</f>
        <v>0</v>
      </c>
      <c r="N62" s="1136">
        <f>'5  Rentabilitaet|Profit'!$E$57/12</f>
        <v>0</v>
      </c>
      <c r="O62" s="1136">
        <f>'5  Rentabilitaet|Profit'!$E$57/12</f>
        <v>0</v>
      </c>
      <c r="P62" s="1137">
        <f t="shared" si="24"/>
        <v>0</v>
      </c>
      <c r="CV62" s="40" t="s">
        <v>164</v>
      </c>
      <c r="CW62" s="666" t="str">
        <f>CW28</f>
        <v>Business tax (from tab 5c)</v>
      </c>
    </row>
    <row r="63" spans="2:101" x14ac:dyDescent="0.2">
      <c r="B63" s="637"/>
      <c r="C63" s="620" t="str">
        <f t="shared" si="25"/>
        <v>Einkommensteuer (Übernahme aus Tab. 5b; Jahreswert gezwölftelt)</v>
      </c>
      <c r="D63" s="1136">
        <f>'5  Rentabilitaet|Profit'!$E$59/12</f>
        <v>0</v>
      </c>
      <c r="E63" s="1136">
        <f>'5  Rentabilitaet|Profit'!$E$59/12</f>
        <v>0</v>
      </c>
      <c r="F63" s="1136">
        <f>'5  Rentabilitaet|Profit'!$E$59/12</f>
        <v>0</v>
      </c>
      <c r="G63" s="1136">
        <f>'5  Rentabilitaet|Profit'!$E$59/12</f>
        <v>0</v>
      </c>
      <c r="H63" s="1136">
        <f>'5  Rentabilitaet|Profit'!$E$59/12</f>
        <v>0</v>
      </c>
      <c r="I63" s="1136">
        <f>'5  Rentabilitaet|Profit'!$E$59/12</f>
        <v>0</v>
      </c>
      <c r="J63" s="1136">
        <f>'5  Rentabilitaet|Profit'!$E$59/12</f>
        <v>0</v>
      </c>
      <c r="K63" s="1136">
        <f>'5  Rentabilitaet|Profit'!$E$59/12</f>
        <v>0</v>
      </c>
      <c r="L63" s="1136">
        <f>'5  Rentabilitaet|Profit'!$E$59/12</f>
        <v>0</v>
      </c>
      <c r="M63" s="1136">
        <f>'5  Rentabilitaet|Profit'!$E$59/12</f>
        <v>0</v>
      </c>
      <c r="N63" s="1136">
        <f>'5  Rentabilitaet|Profit'!$E$59/12</f>
        <v>0</v>
      </c>
      <c r="O63" s="1136">
        <f>'5  Rentabilitaet|Profit'!$E$59/12</f>
        <v>0</v>
      </c>
      <c r="P63" s="1137">
        <f t="shared" si="24"/>
        <v>0</v>
      </c>
      <c r="CV63" s="40" t="str">
        <f>IF($C$4&lt;&gt;3,"Einkommensteuer (Übernahme aus Tab. 5b; Jahreswert gezwölftelt)","Körperschaftsteuer (Übernahme aus Tab. 5b)")</f>
        <v>Einkommensteuer (Übernahme aus Tab. 5b; Jahreswert gezwölftelt)</v>
      </c>
      <c r="CW63" s="666" t="str">
        <f t="shared" ref="CW63:CW71" si="26">CW29</f>
        <v>Corporate Tax (from tab 5b)</v>
      </c>
    </row>
    <row r="64" spans="2:101" x14ac:dyDescent="0.2">
      <c r="B64" s="637"/>
      <c r="C64" s="620" t="str">
        <f>C30</f>
        <v/>
      </c>
      <c r="D64" s="1136">
        <f>IF($C$4&lt;=1,'1 Pers.Ausgaben|Pers Expenses'!$E$104/12,"")</f>
        <v>0</v>
      </c>
      <c r="E64" s="1136">
        <f>IF($C$4&lt;=1,'1 Pers.Ausgaben|Pers Expenses'!$E$104/12,"")</f>
        <v>0</v>
      </c>
      <c r="F64" s="1136">
        <f>IF($C$4&lt;=1,'1 Pers.Ausgaben|Pers Expenses'!$E$104/12,"")</f>
        <v>0</v>
      </c>
      <c r="G64" s="1136">
        <f>IF($C$4&lt;=1,'1 Pers.Ausgaben|Pers Expenses'!$E$104/12,"")</f>
        <v>0</v>
      </c>
      <c r="H64" s="1136">
        <f>IF($C$4&lt;=1,'1 Pers.Ausgaben|Pers Expenses'!$E$104/12,"")</f>
        <v>0</v>
      </c>
      <c r="I64" s="1136">
        <f>IF($C$4&lt;=1,'1 Pers.Ausgaben|Pers Expenses'!$E$104/12,"")</f>
        <v>0</v>
      </c>
      <c r="J64" s="1136">
        <f>IF($C$4&lt;=1,'1 Pers.Ausgaben|Pers Expenses'!$E$104/12,"")</f>
        <v>0</v>
      </c>
      <c r="K64" s="1136">
        <f>IF($C$4&lt;=1,'1 Pers.Ausgaben|Pers Expenses'!$E$104/12,"")</f>
        <v>0</v>
      </c>
      <c r="L64" s="1136">
        <f>IF($C$4&lt;=1,'1 Pers.Ausgaben|Pers Expenses'!$E$104/12,"")</f>
        <v>0</v>
      </c>
      <c r="M64" s="1136">
        <f>IF($C$4&lt;=1,'1 Pers.Ausgaben|Pers Expenses'!$E$104/12,"")</f>
        <v>0</v>
      </c>
      <c r="N64" s="1136">
        <f>IF($C$4&lt;=1,'1 Pers.Ausgaben|Pers Expenses'!$E$104/12,"")</f>
        <v>0</v>
      </c>
      <c r="O64" s="1136">
        <f>IF($C$4&lt;=1,'1 Pers.Ausgaben|Pers Expenses'!$E$104/12,"")</f>
        <v>0</v>
      </c>
      <c r="P64" s="1137">
        <f>SUM(D64:O64)</f>
        <v>0</v>
      </c>
      <c r="CV64" s="40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/>
      </c>
      <c r="CW64" s="666" t="str">
        <f t="shared" si="26"/>
        <v/>
      </c>
    </row>
    <row r="65" spans="2:130" x14ac:dyDescent="0.2">
      <c r="B65" s="637"/>
      <c r="C65" s="1449" t="s">
        <v>55</v>
      </c>
      <c r="D65" s="1447"/>
      <c r="E65" s="1447"/>
      <c r="F65" s="1447"/>
      <c r="G65" s="1447"/>
      <c r="H65" s="1447"/>
      <c r="I65" s="1447"/>
      <c r="J65" s="1447"/>
      <c r="K65" s="1447"/>
      <c r="L65" s="1447"/>
      <c r="M65" s="1447"/>
      <c r="N65" s="1447"/>
      <c r="O65" s="1447"/>
      <c r="P65" s="1448">
        <f>IF(C65="","",SUM(D65:O65))</f>
        <v>0</v>
      </c>
      <c r="S65" s="1556"/>
      <c r="CV65" s="418" t="s">
        <v>55</v>
      </c>
      <c r="CW65" s="666" t="str">
        <f t="shared" si="26"/>
        <v>Other pay offs</v>
      </c>
    </row>
    <row r="66" spans="2:130" ht="15.75" thickBot="1" x14ac:dyDescent="0.25">
      <c r="B66" s="1012"/>
      <c r="C66" s="1011" t="str">
        <f t="shared" ref="C66:C71" si="27">IF($C$3="English",CW66,CV66)</f>
        <v>Summe Liquiditätsabgang</v>
      </c>
      <c r="D66" s="1140">
        <f t="shared" ref="D66:P66" si="28">SUM(D54:D65)</f>
        <v>0</v>
      </c>
      <c r="E66" s="1140">
        <f t="shared" si="28"/>
        <v>0</v>
      </c>
      <c r="F66" s="1140">
        <f t="shared" si="28"/>
        <v>0</v>
      </c>
      <c r="G66" s="1140">
        <f t="shared" si="28"/>
        <v>0</v>
      </c>
      <c r="H66" s="1140">
        <f t="shared" si="28"/>
        <v>0</v>
      </c>
      <c r="I66" s="1140">
        <f t="shared" si="28"/>
        <v>0</v>
      </c>
      <c r="J66" s="1140">
        <f t="shared" si="28"/>
        <v>0</v>
      </c>
      <c r="K66" s="1140">
        <f t="shared" si="28"/>
        <v>0</v>
      </c>
      <c r="L66" s="1140">
        <f t="shared" si="28"/>
        <v>0</v>
      </c>
      <c r="M66" s="1140">
        <f t="shared" si="28"/>
        <v>0</v>
      </c>
      <c r="N66" s="1140">
        <f t="shared" si="28"/>
        <v>0</v>
      </c>
      <c r="O66" s="1140">
        <f t="shared" si="28"/>
        <v>0</v>
      </c>
      <c r="P66" s="1141">
        <f t="shared" si="28"/>
        <v>0</v>
      </c>
      <c r="Q66" s="641"/>
      <c r="S66" s="640"/>
      <c r="CV66" s="40" t="s">
        <v>56</v>
      </c>
      <c r="CW66" s="666" t="str">
        <f t="shared" si="26"/>
        <v>Sum liquidity outflow</v>
      </c>
    </row>
    <row r="67" spans="2:130" ht="15" thickTop="1" x14ac:dyDescent="0.2">
      <c r="B67" s="635">
        <v>4</v>
      </c>
      <c r="C67" s="622" t="str">
        <f t="shared" si="27"/>
        <v>Liquiditätssaldo</v>
      </c>
      <c r="D67" s="1136"/>
      <c r="E67" s="1136"/>
      <c r="F67" s="1136"/>
      <c r="G67" s="1136"/>
      <c r="H67" s="1136"/>
      <c r="I67" s="1136"/>
      <c r="J67" s="1136"/>
      <c r="K67" s="1136"/>
      <c r="L67" s="1136"/>
      <c r="M67" s="1136"/>
      <c r="N67" s="1136"/>
      <c r="O67" s="1136"/>
      <c r="P67" s="1142"/>
      <c r="CV67" s="40" t="s">
        <v>57</v>
      </c>
      <c r="CW67" s="666" t="str">
        <f t="shared" si="26"/>
        <v xml:space="preserve">Liquidity balance </v>
      </c>
    </row>
    <row r="68" spans="2:130" x14ac:dyDescent="0.2">
      <c r="B68" s="635"/>
      <c r="C68" s="619" t="str">
        <f t="shared" si="27"/>
        <v xml:space="preserve">Konto/flüss. Mittel/ Liquiditätssaldo/Startg. </v>
      </c>
      <c r="D68" s="1136">
        <f>D42</f>
        <v>0</v>
      </c>
      <c r="E68" s="1136">
        <f t="shared" ref="E68:O68" si="29">E42+E43</f>
        <v>0</v>
      </c>
      <c r="F68" s="1136">
        <f t="shared" si="29"/>
        <v>0</v>
      </c>
      <c r="G68" s="1136">
        <f t="shared" si="29"/>
        <v>0</v>
      </c>
      <c r="H68" s="1136">
        <f t="shared" si="29"/>
        <v>0</v>
      </c>
      <c r="I68" s="1136">
        <f t="shared" si="29"/>
        <v>0</v>
      </c>
      <c r="J68" s="1136">
        <f t="shared" si="29"/>
        <v>0</v>
      </c>
      <c r="K68" s="1136">
        <f t="shared" si="29"/>
        <v>0</v>
      </c>
      <c r="L68" s="1136">
        <f t="shared" si="29"/>
        <v>0</v>
      </c>
      <c r="M68" s="1136">
        <f t="shared" si="29"/>
        <v>0</v>
      </c>
      <c r="N68" s="1136">
        <f t="shared" si="29"/>
        <v>0</v>
      </c>
      <c r="O68" s="1136">
        <f t="shared" si="29"/>
        <v>0</v>
      </c>
      <c r="P68" s="1142"/>
      <c r="R68" s="94"/>
      <c r="CV68" s="40" t="s">
        <v>72</v>
      </c>
      <c r="CW68" s="666" t="str">
        <f t="shared" si="26"/>
        <v>Account / liquid resources / liquidity balance / opening balance</v>
      </c>
    </row>
    <row r="69" spans="2:130" x14ac:dyDescent="0.2">
      <c r="B69" s="635"/>
      <c r="C69" s="619" t="str">
        <f t="shared" si="27"/>
        <v>(+) Summe Liquiditätszugang</v>
      </c>
      <c r="D69" s="1136">
        <f t="shared" ref="D69:O69" si="30">D52</f>
        <v>0</v>
      </c>
      <c r="E69" s="1136">
        <f t="shared" si="30"/>
        <v>0</v>
      </c>
      <c r="F69" s="1136">
        <f t="shared" si="30"/>
        <v>0</v>
      </c>
      <c r="G69" s="1136">
        <f t="shared" si="30"/>
        <v>0</v>
      </c>
      <c r="H69" s="1136">
        <f t="shared" si="30"/>
        <v>0</v>
      </c>
      <c r="I69" s="1136">
        <f t="shared" si="30"/>
        <v>0</v>
      </c>
      <c r="J69" s="1136">
        <f t="shared" si="30"/>
        <v>0</v>
      </c>
      <c r="K69" s="1136">
        <f t="shared" si="30"/>
        <v>0</v>
      </c>
      <c r="L69" s="1136">
        <f t="shared" si="30"/>
        <v>0</v>
      </c>
      <c r="M69" s="1136">
        <f t="shared" si="30"/>
        <v>0</v>
      </c>
      <c r="N69" s="1136">
        <f t="shared" si="30"/>
        <v>0</v>
      </c>
      <c r="O69" s="1136">
        <f t="shared" si="30"/>
        <v>0</v>
      </c>
      <c r="P69" s="1142"/>
      <c r="CV69" s="40" t="s">
        <v>58</v>
      </c>
      <c r="CW69" s="666" t="str">
        <f t="shared" si="26"/>
        <v>(+) Sum liquidity access</v>
      </c>
    </row>
    <row r="70" spans="2:130" x14ac:dyDescent="0.2">
      <c r="B70" s="637"/>
      <c r="C70" s="619" t="str">
        <f t="shared" si="27"/>
        <v>(-) Summe Liquiditätsabgang</v>
      </c>
      <c r="D70" s="1136">
        <f t="shared" ref="D70:O70" si="31">D66</f>
        <v>0</v>
      </c>
      <c r="E70" s="1136">
        <f t="shared" si="31"/>
        <v>0</v>
      </c>
      <c r="F70" s="1136">
        <f t="shared" si="31"/>
        <v>0</v>
      </c>
      <c r="G70" s="1136">
        <f t="shared" si="31"/>
        <v>0</v>
      </c>
      <c r="H70" s="1136">
        <f t="shared" si="31"/>
        <v>0</v>
      </c>
      <c r="I70" s="1136">
        <f t="shared" si="31"/>
        <v>0</v>
      </c>
      <c r="J70" s="1136">
        <f t="shared" si="31"/>
        <v>0</v>
      </c>
      <c r="K70" s="1136">
        <f t="shared" si="31"/>
        <v>0</v>
      </c>
      <c r="L70" s="1136">
        <f t="shared" si="31"/>
        <v>0</v>
      </c>
      <c r="M70" s="1136">
        <f t="shared" si="31"/>
        <v>0</v>
      </c>
      <c r="N70" s="1136">
        <f t="shared" si="31"/>
        <v>0</v>
      </c>
      <c r="O70" s="1136">
        <f t="shared" si="31"/>
        <v>0</v>
      </c>
      <c r="P70" s="1142"/>
      <c r="CV70" s="40" t="s">
        <v>59</v>
      </c>
      <c r="CW70" s="666" t="str">
        <f t="shared" si="26"/>
        <v>(-)Sum liquidity outflow</v>
      </c>
    </row>
    <row r="71" spans="2:130" ht="15.75" thickBot="1" x14ac:dyDescent="0.25">
      <c r="B71" s="1015"/>
      <c r="C71" s="1010" t="str">
        <f t="shared" si="27"/>
        <v>Liquiditätssaldo</v>
      </c>
      <c r="D71" s="1143">
        <f>D69-D70+D68</f>
        <v>0</v>
      </c>
      <c r="E71" s="1143">
        <f>E69-E70+E68</f>
        <v>0</v>
      </c>
      <c r="F71" s="1143">
        <f t="shared" ref="F71:O71" si="32">F69-F70+F68</f>
        <v>0</v>
      </c>
      <c r="G71" s="1143">
        <f t="shared" si="32"/>
        <v>0</v>
      </c>
      <c r="H71" s="1143">
        <f t="shared" si="32"/>
        <v>0</v>
      </c>
      <c r="I71" s="1143">
        <f t="shared" si="32"/>
        <v>0</v>
      </c>
      <c r="J71" s="1143">
        <f t="shared" si="32"/>
        <v>0</v>
      </c>
      <c r="K71" s="1143">
        <f t="shared" si="32"/>
        <v>0</v>
      </c>
      <c r="L71" s="1143">
        <f t="shared" si="32"/>
        <v>0</v>
      </c>
      <c r="M71" s="1143">
        <f t="shared" si="32"/>
        <v>0</v>
      </c>
      <c r="N71" s="1143">
        <f t="shared" si="32"/>
        <v>0</v>
      </c>
      <c r="O71" s="1143">
        <f t="shared" si="32"/>
        <v>0</v>
      </c>
      <c r="P71" s="1144"/>
      <c r="Q71" s="642"/>
      <c r="S71" s="640"/>
      <c r="CV71" s="40" t="s">
        <v>57</v>
      </c>
      <c r="CW71" s="666" t="str">
        <f t="shared" si="26"/>
        <v xml:space="preserve">Liquidity balance </v>
      </c>
    </row>
    <row r="72" spans="2:130" s="472" customFormat="1" x14ac:dyDescent="0.2">
      <c r="B72" s="644"/>
      <c r="C72" s="419"/>
      <c r="I72" s="645"/>
      <c r="P72" s="646"/>
      <c r="Q72" s="646"/>
      <c r="S72" s="223"/>
      <c r="CU72" s="349"/>
      <c r="CV72" s="4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</row>
    <row r="73" spans="2:130" s="472" customFormat="1" x14ac:dyDescent="0.2">
      <c r="I73" s="144" t="s">
        <v>447</v>
      </c>
      <c r="P73" s="646"/>
      <c r="Q73" s="646"/>
      <c r="S73" s="1030"/>
      <c r="CU73" s="349"/>
      <c r="CV73" s="4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</row>
    <row r="74" spans="2:130" s="57" customFormat="1" ht="24.75" x14ac:dyDescent="0.2">
      <c r="B74" s="600" t="str">
        <f ca="1">IF($C$3="English",CW74,CV74)</f>
        <v>6b  Ermittlung der Liquidität und des Kapitalbedarfes für die Jahre 2019 - 2023 in EURO</v>
      </c>
      <c r="D74" s="114"/>
      <c r="E74" s="114"/>
      <c r="F74" s="114"/>
      <c r="G74" s="114"/>
      <c r="H74" s="114"/>
      <c r="I74" s="130"/>
      <c r="J74" s="630" t="s">
        <v>448</v>
      </c>
      <c r="K74" s="114"/>
      <c r="M74" s="649" t="str">
        <f ca="1">C71 &amp;" "&amp; IF(C3="English",J74,I73) &amp;" "&amp; '1 Pers.Ausgaben|Pers Expenses'!C4&amp;" (EUR)"</f>
        <v>Liquiditätssaldo für das Jahr 2019 (EUR)</v>
      </c>
      <c r="N74" s="114"/>
      <c r="O74" s="114"/>
      <c r="P74" s="351"/>
      <c r="Q74" s="351"/>
      <c r="S74" s="118"/>
      <c r="CU74" s="349"/>
      <c r="CV74" s="40" t="str">
        <f ca="1">"6b  Ermittlung der Liquidität und des Kapitalbedarfes für die Jahre "&amp;'1 Pers.Ausgaben|Pers Expenses'!$C$4 &amp;" - "&amp; '1 Pers.Ausgaben|Pers Expenses'!$C$4+4&amp;" in EURO"</f>
        <v>6b  Ermittlung der Liquidität und des Kapitalbedarfes für die Jahre 2019 - 2023 in EURO</v>
      </c>
      <c r="CW74" s="57" t="str">
        <f ca="1">"6b Evaluation of liquidity and capital requirement for the years "&amp;'1 Pers.Ausgaben|Pers Expenses'!$C$4 &amp;" - "&amp; '1 Pers.Ausgaben|Pers Expenses'!$C$4+4&amp;" in EURO"</f>
        <v>6b Evaluation of liquidity and capital requirement for the years 2019 - 2023 in EURO</v>
      </c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</row>
    <row r="75" spans="2:130" s="57" customFormat="1" ht="15" thickBot="1" x14ac:dyDescent="0.25">
      <c r="B75" s="155"/>
      <c r="D75" s="114"/>
      <c r="E75" s="114"/>
      <c r="F75" s="114"/>
      <c r="G75" s="114"/>
      <c r="H75" s="114"/>
      <c r="I75" s="130"/>
      <c r="J75" s="114"/>
      <c r="K75" s="114"/>
      <c r="L75" s="114"/>
      <c r="M75" s="114"/>
      <c r="N75" s="114"/>
      <c r="O75" s="114"/>
      <c r="P75" s="351"/>
      <c r="Q75" s="351"/>
      <c r="S75" s="118"/>
      <c r="CU75" s="349"/>
      <c r="CV75" s="4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</row>
    <row r="76" spans="2:130" ht="15" thickBot="1" x14ac:dyDescent="0.25">
      <c r="B76" s="58" t="s">
        <v>109</v>
      </c>
      <c r="C76" s="632" t="str">
        <f>IF($C$3="English",CW76,CV76)</f>
        <v>Einzahlungen/Auszahlungen (MwSt-Satz s. Tab.2 und Tab.4)</v>
      </c>
      <c r="D76" s="159">
        <f ca="1">'1 Pers.Ausgaben|Pers Expenses'!C4</f>
        <v>2019</v>
      </c>
      <c r="E76" s="159">
        <f ca="1">D76+1</f>
        <v>2020</v>
      </c>
      <c r="F76" s="159">
        <f ca="1">E76+1</f>
        <v>2021</v>
      </c>
      <c r="G76" s="159">
        <f ca="1">F76+1</f>
        <v>2022</v>
      </c>
      <c r="H76" s="160">
        <f ca="1">G76+1</f>
        <v>2023</v>
      </c>
      <c r="J76" s="114"/>
      <c r="K76" s="114"/>
      <c r="L76" s="114"/>
      <c r="M76" s="114"/>
      <c r="N76" s="114"/>
      <c r="O76" s="114"/>
      <c r="P76" s="351"/>
      <c r="CV76" s="40" t="s">
        <v>145</v>
      </c>
      <c r="CW76" s="666" t="str">
        <f>CW7</f>
        <v>Receipts / pay offs (VAT rate s. tab 2 and tab 4)</v>
      </c>
    </row>
    <row r="77" spans="2:130" ht="14.25" customHeight="1" x14ac:dyDescent="0.2">
      <c r="B77" s="635">
        <v>1</v>
      </c>
      <c r="C77" s="619" t="str">
        <f t="shared" ref="C77:C106" si="33">IF($C$3="English",CW77,CV77)</f>
        <v>Konto / flüss. Mittel / Liquiditätssaldo</v>
      </c>
      <c r="D77" s="1145"/>
      <c r="E77" s="1136">
        <f>D106</f>
        <v>0</v>
      </c>
      <c r="F77" s="1136">
        <f>E106</f>
        <v>0</v>
      </c>
      <c r="G77" s="1136">
        <f>F106</f>
        <v>0</v>
      </c>
      <c r="H77" s="1137">
        <f>G106</f>
        <v>0</v>
      </c>
      <c r="I77" s="351"/>
      <c r="J77" s="114"/>
      <c r="K77" s="114"/>
      <c r="L77" s="114"/>
      <c r="M77" s="114"/>
      <c r="N77" s="114"/>
      <c r="O77" s="114"/>
      <c r="P77" s="351"/>
      <c r="CV77" s="892" t="s">
        <v>71</v>
      </c>
      <c r="CW77" s="666" t="str">
        <f t="shared" ref="CW77:CW79" si="34">CW8</f>
        <v>Account / liquid resources / liquidity balance / opening balance</v>
      </c>
    </row>
    <row r="78" spans="2:130" ht="14.25" customHeight="1" thickBot="1" x14ac:dyDescent="0.25">
      <c r="B78" s="651"/>
      <c r="C78" s="1009" t="str">
        <f t="shared" si="33"/>
        <v>Startguthaben (= Eigenkapital und -leistung aus Tab. 7a)</v>
      </c>
      <c r="D78" s="1146">
        <f>P9</f>
        <v>0</v>
      </c>
      <c r="E78" s="1147"/>
      <c r="F78" s="1147"/>
      <c r="G78" s="1147"/>
      <c r="H78" s="1148"/>
      <c r="I78" s="351"/>
      <c r="J78" s="652"/>
      <c r="K78" s="652"/>
      <c r="L78" s="652"/>
      <c r="M78" s="652"/>
      <c r="N78" s="652"/>
      <c r="O78" s="652"/>
      <c r="P78" s="652"/>
      <c r="Q78" s="652"/>
      <c r="CV78" s="892" t="s">
        <v>224</v>
      </c>
      <c r="CW78" s="666" t="str">
        <f t="shared" si="34"/>
        <v>Opening balance (= own capital, personal contribution from tab 7a)</v>
      </c>
    </row>
    <row r="79" spans="2:130" ht="14.25" customHeight="1" thickTop="1" x14ac:dyDescent="0.2">
      <c r="B79" s="635">
        <v>2</v>
      </c>
      <c r="C79" s="1008" t="str">
        <f t="shared" si="33"/>
        <v>Einnahmen / Einzahlungen</v>
      </c>
      <c r="D79" s="1136"/>
      <c r="E79" s="1136"/>
      <c r="F79" s="1136"/>
      <c r="G79" s="1136"/>
      <c r="H79" s="1137"/>
      <c r="I79" s="351"/>
      <c r="J79" s="652"/>
      <c r="K79" s="652"/>
      <c r="L79" s="652"/>
      <c r="M79" s="652"/>
      <c r="N79" s="652"/>
      <c r="O79" s="652"/>
      <c r="P79" s="652"/>
      <c r="Q79" s="652"/>
      <c r="CV79" s="892" t="s">
        <v>52</v>
      </c>
      <c r="CW79" s="666" t="str">
        <f t="shared" si="34"/>
        <v>Receipts / payments-in</v>
      </c>
    </row>
    <row r="80" spans="2:130" ht="14.25" customHeight="1" x14ac:dyDescent="0.2">
      <c r="B80" s="637"/>
      <c r="C80" s="619" t="str">
        <f t="shared" si="33"/>
        <v>Umsatzerlöse (ohne MwSt) (aus Tab 2a)</v>
      </c>
      <c r="D80" s="1136">
        <f>P11</f>
        <v>0</v>
      </c>
      <c r="E80" s="1136">
        <f>P45</f>
        <v>0</v>
      </c>
      <c r="F80" s="1136">
        <f>IF($F$3=0,IF(OR($C$4=0,$C$4=1,$C$4=3),'2  Umsatz|Sales'!G102,'2  Umsatz|Sales'!G102-F94-F95),IF($F$3=0.5,IF(OR($C$4=0,$C$4=1,$C$4=3),'2  Umsatz|Sales'!P68/2+'2  Umsatz|Sales'!G102*23/24,'2  Umsatz|Sales'!P68/2+'2  Umsatz|Sales'!G102*23/24-(O59+O60)/2-(F94+F95)*23/24),IF($F$3=1,IF(OR($C$4=0,$C$4=1,$C$4=3),'2  Umsatz|Sales'!P68+'2  Umsatz|Sales'!G102*11/12,'2  Umsatz|Sales'!P68+'2  Umsatz|Sales'!G102*11/12-(O59+O60)-(F94+F95)*11/12),IF($F$3=2,IF(OR($C$4=0,$C$4=1,$C$4=3),('2  Umsatz|Sales'!O68+'2  Umsatz|Sales'!P68)+'2  Umsatz|Sales'!G102*10/12,('2  Umsatz|Sales'!O68+'2  Umsatz|Sales'!P68)+'2  Umsatz|Sales'!G102*10/12-(N59+N60+O59+O60)-(F94+F95)*10/12),IF($F$3=3,IF(OR($C$4=0,$C$4=1,$C$4=3),('2  Umsatz|Sales'!N68+'2  Umsatz|Sales'!O68+'2  Umsatz|Sales'!P68)+'2  Umsatz|Sales'!G102*9/12,('2  Umsatz|Sales'!N68+'2  Umsatz|Sales'!O68+'2  Umsatz|Sales'!P68)+'2  Umsatz|Sales'!G102*9/12-(M59+M60+N59+N60+O59+O60)-(F94+F95)*9/12))))))</f>
        <v>0</v>
      </c>
      <c r="G80" s="1136">
        <f>IF($F$3=0,IF(OR($C$4=0,$C$4=1,$C$4=3),'2  Umsatz|Sales'!H102,'2  Umsatz|Sales'!H102-G94-G95),IF($F$3=0.5,IF(OR($C$4=0,$C$4=1,$C$4=3),'2  Umsatz|Sales'!G102*1/24+'2  Umsatz|Sales'!H102*23/24,'2  Umsatz|Sales'!G102*1/24+'2  Umsatz|Sales'!H102*23/24-(G94+G95)*23/24-(F94+F95)*1/24),IF($F$3=1,IF(OR($C$4=0,$C$4=1,$C$4=3),'2  Umsatz|Sales'!G102*1/12+'2  Umsatz|Sales'!H102*11/12,'2  Umsatz|Sales'!G102*1/12+'2  Umsatz|Sales'!H102*11/12-(G94+G95)*11/12-(F94+F95)*1/12),IF($F$3=2,IF(OR($C$4=0,$C$4=1,$C$4=3),'2  Umsatz|Sales'!G102*2/12+'2  Umsatz|Sales'!H102*10/12,'2  Umsatz|Sales'!G102*2/12+'2  Umsatz|Sales'!H102*10/12-(G94+G95)*10/12-(F94+F95)*2/12),IF($F$3=3,IF(OR($C$4=0,$C$4=1,$C$4=3),'2  Umsatz|Sales'!G102*3/12+'2  Umsatz|Sales'!H102*9/12,'2  Umsatz|Sales'!G102*3/12+'2  Umsatz|Sales'!H102*9/12-(G94+G95)*9/12-(F94+F95)*3/12))))))</f>
        <v>0</v>
      </c>
      <c r="H80" s="1137">
        <f>IF($F$3=0,IF(OR($C$4=0,$C$4=1,$C$4=3),'2  Umsatz|Sales'!I102,'2  Umsatz|Sales'!I102-H94-H95),IF($F$3=0.5,IF(OR($C$4=0,$C$4=1,$C$4=3),'2  Umsatz|Sales'!H102*1/24+'2  Umsatz|Sales'!I102*23/24,'2  Umsatz|Sales'!H102*1/24+'2  Umsatz|Sales'!I102*23/24-(H94+H95)*23/24-(G94+G95)*1/24),IF($F$3=1,IF(OR($C$4=0,$C$4=1,$C$4=3),'2  Umsatz|Sales'!H102*1/12+'2  Umsatz|Sales'!I102*11/12,'2  Umsatz|Sales'!H102*1/12+'2  Umsatz|Sales'!I102*11/12-(H94+H95)*11/12-(G94+G95)*1/12),IF($F$3=2,IF(OR($C$4=0,$C$4=1,$C$4=3),'2  Umsatz|Sales'!H102*2/12+'2  Umsatz|Sales'!I102*10/12,'2  Umsatz|Sales'!H102*2/12+'2  Umsatz|Sales'!I102*10/12-(H94+H95)*10/12-(G94+G95)*2/12),IF($F$3=3,IF(OR($C$4=0,$C$4=1,$C$4=3),'2  Umsatz|Sales'!H102*3/12+'2  Umsatz|Sales'!I102*9/12,'2  Umsatz|Sales'!H102*3/12+'2  Umsatz|Sales'!I102*9/12-(H94+H95)*9/12-(G94+G95)*3/12))))))</f>
        <v>0</v>
      </c>
      <c r="I80" s="351"/>
      <c r="J80" s="652"/>
      <c r="K80" s="652"/>
      <c r="L80" s="652"/>
      <c r="M80" s="652"/>
      <c r="N80" s="652"/>
      <c r="O80" s="652"/>
      <c r="P80" s="652"/>
      <c r="Q80" s="652"/>
      <c r="CV80" s="40" t="str">
        <f>"Umsatzerlöse "&amp;IF($C$6=0,"(ohne MwSt)","(mit MwSt)")&amp; " (aus Tab 2a)"</f>
        <v>Umsatzerlöse (ohne MwSt) (aus Tab 2a)</v>
      </c>
      <c r="CW80" s="60" t="str">
        <f>"Sales "&amp;IF($C$6=0,"(w/o VAT)","(includ. VAT)")&amp; " (from tab 2b)"</f>
        <v>Sales (w/o VAT) (from tab 2b)</v>
      </c>
    </row>
    <row r="81" spans="2:115" ht="14.25" customHeight="1" x14ac:dyDescent="0.2">
      <c r="B81" s="637"/>
      <c r="C81" s="619" t="str">
        <f t="shared" si="33"/>
        <v>in Rechnung gestellte MwSt. auf Umsatzerlöse (Zeile 93+94  Tab 6b)</v>
      </c>
      <c r="D81" s="1136">
        <f t="shared" ref="D81:D86" si="35">P12</f>
        <v>0</v>
      </c>
      <c r="E81" s="1136">
        <f t="shared" ref="E81:E86" si="36">P46</f>
        <v>0</v>
      </c>
      <c r="F81" s="1136">
        <f>IF($C$4=1,"",IF($F$3=0,F94+F95,IF($F$3=0.5,(O59+O60)/2+(F94+F95)*23/24,IF($F$3=1,(O59+O60)+(F94+F95)*11/12,IF($F$3=2,(N59+N60+O59+O60)+(F94+F95)*10/12,IF($F$3=3,(M59+M60+N59+N60+O59+O60)+(F94+F95)*9/12))))))</f>
        <v>0</v>
      </c>
      <c r="G81" s="1136">
        <f>IF($C$4=1,"",IF($F$3=0,G94+G95,IF($F$3=0.5,(F94+F95)*1/24+(G94+G95)*23/24,IF($F$3=1,(F94+F95)*1/12+(G94+G95)*11/12,IF($F$3=2,(F94+F95)*2/12+(G94+G95)*10/12,IF($F$3=3,(F94+F95)*3/12+(G94+G95)*9/12))))))</f>
        <v>0</v>
      </c>
      <c r="H81" s="1137">
        <f>IF($C$4=1,"",IF($F$3=0,H94+H95,IF($F$3=0.5,(G94+G95)*1/24+(H94+H95)*23/24,IF($F$3=1,(G94+G95)*1/12+(H94+H95)*11/12,IF($F$3=2,(G94+G95)*2/12+(H94+H95)*10/12,IF($F$3=3,(G94+G95)*3/12+(H94+H95)*9/12))))))</f>
        <v>0</v>
      </c>
      <c r="I81" s="351"/>
      <c r="J81" s="652"/>
      <c r="K81" s="652"/>
      <c r="L81" s="652"/>
      <c r="M81" s="652"/>
      <c r="N81" s="652"/>
      <c r="O81" s="652"/>
      <c r="P81" s="652"/>
      <c r="Q81" s="652"/>
      <c r="CV81" s="40" t="str">
        <f>IF($C$4=1,"","in Rechnung gestellte MwSt. auf Umsatzerlöse (Zeile 93+94  Tab 6b)")</f>
        <v>in Rechnung gestellte MwSt. auf Umsatzerlöse (Zeile 93+94  Tab 6b)</v>
      </c>
      <c r="CW81" s="666" t="str">
        <f>IF($C$4=1,"","Charged  VAT for sales (line 93+94 tab 6a-1;-2)")</f>
        <v>Charged  VAT for sales (line 93+94 tab 6a-1;-2)</v>
      </c>
    </row>
    <row r="82" spans="2:115" ht="14.25" customHeight="1" x14ac:dyDescent="0.2">
      <c r="B82" s="637"/>
      <c r="C82" s="619" t="str">
        <f t="shared" si="33"/>
        <v>Finanzierung (aus Tab. 7a o. Eigenanteil)</v>
      </c>
      <c r="D82" s="1136">
        <f t="shared" si="35"/>
        <v>0</v>
      </c>
      <c r="E82" s="1136">
        <f t="shared" si="36"/>
        <v>0</v>
      </c>
      <c r="F82" s="1136">
        <f>'7 Finanzierung|Financing'!H30</f>
        <v>0</v>
      </c>
      <c r="G82" s="1136">
        <f>'7 Finanzierung|Financing'!J30</f>
        <v>0</v>
      </c>
      <c r="H82" s="1137">
        <f>'7 Finanzierung|Financing'!L30</f>
        <v>0</v>
      </c>
      <c r="I82" s="1239"/>
      <c r="J82" s="653"/>
      <c r="K82" s="653"/>
      <c r="L82" s="653"/>
      <c r="M82" s="653"/>
      <c r="N82" s="653"/>
      <c r="O82" s="653"/>
      <c r="P82" s="652"/>
      <c r="Q82" s="652"/>
      <c r="CV82" s="40" t="str">
        <f>"Finanzierung (aus Tab. 7a o. Eigenanteil)"</f>
        <v>Finanzierung (aus Tab. 7a o. Eigenanteil)</v>
      </c>
      <c r="CW82" s="228" t="str">
        <f>CW47</f>
        <v>Financing (from tab 7a w/o equity ratio)</v>
      </c>
    </row>
    <row r="83" spans="2:115" ht="14.25" customHeight="1" x14ac:dyDescent="0.2">
      <c r="B83" s="637"/>
      <c r="C83" s="619" t="str">
        <f t="shared" si="33"/>
        <v>MwSt-Rückerstattung aus Betriebsausgaben (Zeilen 91+92 Tab. 6b)</v>
      </c>
      <c r="D83" s="1136">
        <f t="shared" si="35"/>
        <v>0</v>
      </c>
      <c r="E83" s="1136">
        <f t="shared" si="36"/>
        <v>0</v>
      </c>
      <c r="F83" s="1136">
        <f>IF($C$83="","",F92+F93)</f>
        <v>0</v>
      </c>
      <c r="G83" s="1136">
        <f>IF($C$83="","",G92+G93)</f>
        <v>0</v>
      </c>
      <c r="H83" s="1137">
        <f>IF($C$83="","",H92+H93)</f>
        <v>0</v>
      </c>
      <c r="I83" s="1239"/>
      <c r="J83" s="653"/>
      <c r="K83" s="653"/>
      <c r="L83" s="653"/>
      <c r="M83" s="653"/>
      <c r="N83" s="653"/>
      <c r="O83" s="653"/>
      <c r="P83" s="652"/>
      <c r="Q83" s="652"/>
      <c r="CV83" s="40" t="str">
        <f>IF($C$4=1,"","MwSt-Rückerstattung aus Betriebsausgaben (Zeilen 91+92 Tab. 6b)")</f>
        <v>MwSt-Rückerstattung aus Betriebsausgaben (Zeilen 91+92 Tab. 6b)</v>
      </c>
      <c r="CW83" s="60" t="str">
        <f>IF($C$4=1,"","VAT Payback from Business Cost Acquirements (out of tab 6b)")</f>
        <v>VAT Payback from Business Cost Acquirements (out of tab 6b)</v>
      </c>
    </row>
    <row r="84" spans="2:115" ht="14.25" customHeight="1" x14ac:dyDescent="0.2">
      <c r="B84" s="637"/>
      <c r="C84" s="619" t="str">
        <f t="shared" si="33"/>
        <v>MwSt-Rückerstattung aus Anschaffungen (Zeile 18 Tab. 6b)</v>
      </c>
      <c r="D84" s="1136">
        <f t="shared" si="35"/>
        <v>0</v>
      </c>
      <c r="E84" s="1136">
        <f t="shared" si="36"/>
        <v>0</v>
      </c>
      <c r="F84" s="1136">
        <f>F90</f>
        <v>0</v>
      </c>
      <c r="G84" s="1136">
        <f t="shared" ref="G84:H84" si="37">G90</f>
        <v>0</v>
      </c>
      <c r="H84" s="1136">
        <f t="shared" si="37"/>
        <v>0</v>
      </c>
      <c r="I84" s="1239"/>
      <c r="J84" s="653"/>
      <c r="K84" s="653"/>
      <c r="L84" s="653"/>
      <c r="M84" s="649" t="str">
        <f ca="1">C71&amp; " " &amp; IF(C3="English",J74,I73) &amp;" "&amp; '1 Pers.Ausgaben|Pers Expenses'!C4+1&amp;" (EUR)"</f>
        <v>Liquiditätssaldo für das Jahr 2020 (EUR)</v>
      </c>
      <c r="N84" s="653"/>
      <c r="O84" s="653"/>
      <c r="P84" s="652"/>
      <c r="Q84" s="652"/>
      <c r="CV84" s="40" t="str">
        <f>IF($C$4=1,"","MwSt-Rückerstattung aus Anschaffungen (Zeile 18 Tab. 6b)")</f>
        <v>MwSt-Rückerstattung aus Anschaffungen (Zeile 18 Tab. 6b)</v>
      </c>
      <c r="CW84" s="60" t="str">
        <f>IF($C$4=1,"","VAT Payback from Acquirements (out of tab 6b)")</f>
        <v>VAT Payback from Acquirements (out of tab 6b)</v>
      </c>
    </row>
    <row r="85" spans="2:115" ht="14.25" customHeight="1" x14ac:dyDescent="0.2">
      <c r="B85" s="637"/>
      <c r="C85" s="1450" t="str">
        <f t="shared" si="33"/>
        <v>Forderungsausgleich</v>
      </c>
      <c r="D85" s="1451">
        <f t="shared" si="35"/>
        <v>0</v>
      </c>
      <c r="E85" s="1451">
        <f t="shared" si="36"/>
        <v>0</v>
      </c>
      <c r="F85" s="1445"/>
      <c r="G85" s="1445"/>
      <c r="H85" s="1452"/>
      <c r="I85" s="1239"/>
      <c r="J85" s="653"/>
      <c r="K85" s="653"/>
      <c r="L85" s="653"/>
      <c r="M85" s="653"/>
      <c r="N85" s="653"/>
      <c r="O85" s="653"/>
      <c r="P85" s="652"/>
      <c r="Q85" s="652"/>
      <c r="S85" s="1556"/>
      <c r="CV85" s="40" t="s">
        <v>60</v>
      </c>
      <c r="CW85" s="228" t="str">
        <f>CW50</f>
        <v>Payments of outstanding bills</v>
      </c>
    </row>
    <row r="86" spans="2:115" ht="14.25" customHeight="1" x14ac:dyDescent="0.2">
      <c r="B86" s="637"/>
      <c r="C86" s="1449" t="s">
        <v>228</v>
      </c>
      <c r="D86" s="1453">
        <f t="shared" si="35"/>
        <v>0</v>
      </c>
      <c r="E86" s="1453">
        <f t="shared" si="36"/>
        <v>0</v>
      </c>
      <c r="F86" s="1447"/>
      <c r="G86" s="1447"/>
      <c r="H86" s="1454"/>
      <c r="I86" s="351"/>
      <c r="J86" s="652"/>
      <c r="K86" s="652"/>
      <c r="L86" s="652"/>
      <c r="M86" s="652"/>
      <c r="N86" s="652"/>
      <c r="O86" s="652"/>
      <c r="P86" s="652"/>
      <c r="Q86" s="652"/>
      <c r="S86" s="1556"/>
      <c r="CV86" s="418" t="s">
        <v>228</v>
      </c>
      <c r="CW86" s="228" t="str">
        <f t="shared" ref="CW86:CW88" si="38">CW51</f>
        <v>Other earnings e.g. vouchers, grants</v>
      </c>
    </row>
    <row r="87" spans="2:115" ht="14.25" customHeight="1" thickBot="1" x14ac:dyDescent="0.25">
      <c r="B87" s="638"/>
      <c r="C87" s="1011" t="str">
        <f t="shared" si="33"/>
        <v>Summe Liquiditätszugang</v>
      </c>
      <c r="D87" s="1140">
        <f>SUM(D79:D86)</f>
        <v>0</v>
      </c>
      <c r="E87" s="1140">
        <f>SUM(E79:E86)</f>
        <v>0</v>
      </c>
      <c r="F87" s="1140">
        <f>SUM(F79:F86)</f>
        <v>0</v>
      </c>
      <c r="G87" s="1140">
        <f>SUM(G79:G86)</f>
        <v>0</v>
      </c>
      <c r="H87" s="1141">
        <f>SUM(H79:H86)</f>
        <v>0</v>
      </c>
      <c r="I87" s="351"/>
      <c r="J87" s="652"/>
      <c r="K87" s="652"/>
      <c r="L87" s="652"/>
      <c r="M87" s="652"/>
      <c r="N87" s="652"/>
      <c r="O87" s="652"/>
      <c r="P87" s="652"/>
      <c r="Q87" s="652"/>
      <c r="CV87" s="40" t="s">
        <v>53</v>
      </c>
      <c r="CW87" s="228" t="str">
        <f t="shared" si="38"/>
        <v>Sum liquidity access</v>
      </c>
    </row>
    <row r="88" spans="2:115" ht="14.25" customHeight="1" thickTop="1" x14ac:dyDescent="0.2">
      <c r="B88" s="635">
        <v>3</v>
      </c>
      <c r="C88" s="621" t="str">
        <f t="shared" si="33"/>
        <v>Ausgaben / Auszahlungen</v>
      </c>
      <c r="D88" s="1136"/>
      <c r="E88" s="1136"/>
      <c r="F88" s="1136"/>
      <c r="G88" s="1136"/>
      <c r="H88" s="1137"/>
      <c r="I88" s="351"/>
      <c r="J88" s="652"/>
      <c r="K88" s="652"/>
      <c r="L88" s="652"/>
      <c r="M88" s="652"/>
      <c r="N88" s="652"/>
      <c r="O88" s="652"/>
      <c r="P88" s="652"/>
      <c r="Q88" s="652"/>
      <c r="CV88" s="40" t="s">
        <v>54</v>
      </c>
      <c r="CW88" s="228" t="str">
        <f t="shared" si="38"/>
        <v>Expenses / outgoings</v>
      </c>
    </row>
    <row r="89" spans="2:115" ht="14.25" customHeight="1" x14ac:dyDescent="0.2">
      <c r="B89" s="635"/>
      <c r="C89" s="620" t="str">
        <f t="shared" si="33"/>
        <v>Anschaffungen ohne MwSt (aus Tab 3b)</v>
      </c>
      <c r="D89" s="1136">
        <f t="shared" ref="D89:D99" si="39">P20</f>
        <v>0</v>
      </c>
      <c r="E89" s="1136">
        <f>P54</f>
        <v>0</v>
      </c>
      <c r="F89" s="1136">
        <f>IF($C$4&gt;0,'3 Anschaffungen|Investment'!I14,'3 Anschaffungen|Investment'!I14/(1+$B$2*$C$6))</f>
        <v>0</v>
      </c>
      <c r="G89" s="1136">
        <f>IF($C$4&gt;0,'3 Anschaffungen|Investment'!K14,'3 Anschaffungen|Investment'!K14/(1+$B$2*$C$6))</f>
        <v>0</v>
      </c>
      <c r="H89" s="1137">
        <f>IF($C$4&gt;0,'3 Anschaffungen|Investment'!M14,'3 Anschaffungen|Investment'!M14/(1+$B$2*$C$6))</f>
        <v>0</v>
      </c>
      <c r="I89" s="351"/>
      <c r="J89" s="652"/>
      <c r="K89" s="652"/>
      <c r="L89" s="652"/>
      <c r="M89" s="652"/>
      <c r="N89" s="652"/>
      <c r="O89" s="652"/>
      <c r="P89" s="652"/>
      <c r="Q89" s="652"/>
      <c r="CV89" s="40" t="str">
        <f>"Anschaffungen"&amp;IF($C$4&lt;&gt;1," ohne MwSt", " mit MwSt") &amp;" (aus Tab 3b)"</f>
        <v>Anschaffungen ohne MwSt (aus Tab 3b)</v>
      </c>
      <c r="CW89" s="60" t="str">
        <f>"Acquirements"&amp;IF($C$4&lt;&gt;1," w/o VAT", " incl VAT") &amp;" (out of tab 3b)"</f>
        <v>Acquirements w/o VAT (out of tab 3b)</v>
      </c>
    </row>
    <row r="90" spans="2:115" ht="14.25" customHeight="1" x14ac:dyDescent="0.2">
      <c r="B90" s="635"/>
      <c r="C90" s="620" t="str">
        <f t="shared" si="33"/>
        <v>auf Anschaffungen bezahlte 19% MwSt.</v>
      </c>
      <c r="D90" s="1136">
        <f t="shared" si="39"/>
        <v>0</v>
      </c>
      <c r="E90" s="1136">
        <f t="shared" ref="E90:E99" si="40">P55</f>
        <v>0</v>
      </c>
      <c r="F90" s="1136">
        <f>IF(C90="","",(F89-'3 Anschaffungen|Investment'!AA25)*$B$2)</f>
        <v>0</v>
      </c>
      <c r="G90" s="1136">
        <f>IF(C90="","",(G89-'3 Anschaffungen|Investment'!AC25)*$B$2)</f>
        <v>0</v>
      </c>
      <c r="H90" s="1137">
        <f>IF(C90="","",(H89-'3 Anschaffungen|Investment'!AE25)*$B$2)</f>
        <v>0</v>
      </c>
      <c r="I90" s="351"/>
      <c r="J90" s="652"/>
      <c r="K90" s="652"/>
      <c r="L90" s="652"/>
      <c r="M90" s="652"/>
      <c r="N90" s="652"/>
      <c r="O90" s="652"/>
      <c r="P90" s="652"/>
      <c r="Q90" s="652"/>
      <c r="CV90" s="40" t="str">
        <f>IF($C$4=1,"","auf Anschaffungen bezahlte " &amp; $B$2*100 &amp; "% MwSt.")</f>
        <v>auf Anschaffungen bezahlte 19% MwSt.</v>
      </c>
      <c r="CW90" s="60" t="str">
        <f>IF($C$4=1,"","For acquirements paid " &amp; $B$2*100 &amp; "% VAT")</f>
        <v>For acquirements paid 19% VAT</v>
      </c>
    </row>
    <row r="91" spans="2:115" ht="14.25" customHeight="1" x14ac:dyDescent="0.2">
      <c r="B91" s="635"/>
      <c r="C91" s="620" t="str">
        <f t="shared" si="33"/>
        <v>Betriebskosten I ohne MwSt (Übernahme aus Tab. 4b)</v>
      </c>
      <c r="D91" s="1136">
        <f t="shared" si="39"/>
        <v>0</v>
      </c>
      <c r="E91" s="1136">
        <f t="shared" si="40"/>
        <v>0</v>
      </c>
      <c r="F91" s="1136">
        <f>IF($C$4=2,'4  Betriebskosten|Operation Ex'!F215-F92-F93,'4  Betriebskosten|Operation Ex'!F215)</f>
        <v>0</v>
      </c>
      <c r="G91" s="1136">
        <f>IF($C$4=2,'4  Betriebskosten|Operation Ex'!G215-G92-G93,'4  Betriebskosten|Operation Ex'!G215)</f>
        <v>0</v>
      </c>
      <c r="H91" s="1137">
        <f>IF($C$4=2,'4  Betriebskosten|Operation Ex'!H215-H92-H93,'4  Betriebskosten|Operation Ex'!H215)</f>
        <v>0</v>
      </c>
      <c r="I91" s="351"/>
      <c r="J91" s="652"/>
      <c r="K91" s="652"/>
      <c r="L91" s="652"/>
      <c r="M91" s="652"/>
      <c r="N91" s="652"/>
      <c r="O91" s="652"/>
      <c r="P91" s="652"/>
      <c r="Q91" s="652"/>
      <c r="CV91" s="40" t="str">
        <f>IF($C$4=1,"Betriebskosten I mit MwSt (Übernahme aus Tab. 4b)","Betriebskosten I ohne MwSt (Übernahme aus Tab. 4b)")</f>
        <v>Betriebskosten I ohne MwSt (Übernahme aus Tab. 4b)</v>
      </c>
      <c r="CW91" s="60" t="str">
        <f>IF($C$4=1,"Operation Costs I inculding VAT (from Tab. 4b)","Operation Costs I w/o VAT (from tab 4b)")</f>
        <v>Operation Costs I w/o VAT (from tab 4b)</v>
      </c>
    </row>
    <row r="92" spans="2:115" ht="14.25" customHeight="1" x14ac:dyDescent="0.2">
      <c r="B92" s="635"/>
      <c r="C92" s="620" t="str">
        <f t="shared" si="33"/>
        <v>auf Betriebskosten bezahlte MwSt 19% (aus Tab. 4b Anhang)</v>
      </c>
      <c r="D92" s="1136">
        <f t="shared" si="39"/>
        <v>0</v>
      </c>
      <c r="E92" s="1136">
        <f t="shared" si="40"/>
        <v>0</v>
      </c>
      <c r="F92" s="1136">
        <f>IF($C$92="","",'4  Betriebskosten|Operation Ex'!F221)</f>
        <v>0</v>
      </c>
      <c r="G92" s="1136">
        <f>IF($C$92="","",'4  Betriebskosten|Operation Ex'!G221)</f>
        <v>0</v>
      </c>
      <c r="H92" s="1137">
        <f>IF($C$92="","",'4  Betriebskosten|Operation Ex'!H221)</f>
        <v>0</v>
      </c>
      <c r="I92" s="351"/>
      <c r="J92" s="652"/>
      <c r="K92" s="652"/>
      <c r="L92" s="652"/>
      <c r="M92" s="652"/>
      <c r="N92" s="652"/>
      <c r="O92" s="652"/>
      <c r="P92" s="652"/>
      <c r="Q92" s="652"/>
      <c r="CV92" s="893" t="str">
        <f>IF($C$4=1,"","auf Betriebskosten bezahlte MwSt "&amp;$B$2*100 &amp;"% (aus Tab. 4b Anhang)")</f>
        <v>auf Betriebskosten bezahlte MwSt 19% (aus Tab. 4b Anhang)</v>
      </c>
      <c r="CW92" s="60" t="str">
        <f>IF($C$4=1,"","Payed VAT "&amp;$B$2*100 &amp;"%  for Costs of Operation (from tab 4b annex)")</f>
        <v>Payed VAT 19%  for Costs of Operation (from tab 4b annex)</v>
      </c>
    </row>
    <row r="93" spans="2:115" ht="14.25" customHeight="1" x14ac:dyDescent="0.2">
      <c r="B93" s="635"/>
      <c r="C93" s="620" t="str">
        <f t="shared" si="33"/>
        <v>auf Betriebskosten bezahlte MwSt 7% (aus Tab. 4b Anhang)</v>
      </c>
      <c r="D93" s="1136">
        <f t="shared" si="39"/>
        <v>0</v>
      </c>
      <c r="E93" s="1136">
        <f t="shared" si="40"/>
        <v>0</v>
      </c>
      <c r="F93" s="1136">
        <f>IF($C$93="","",'4  Betriebskosten|Operation Ex'!F222)</f>
        <v>0</v>
      </c>
      <c r="G93" s="1136">
        <f>IF($C$93="","",'4  Betriebskosten|Operation Ex'!G222)</f>
        <v>0</v>
      </c>
      <c r="H93" s="1137">
        <f>IF($C$93="","",'4  Betriebskosten|Operation Ex'!H222)</f>
        <v>0</v>
      </c>
      <c r="I93" s="1239"/>
      <c r="J93" s="653"/>
      <c r="K93" s="653"/>
      <c r="L93" s="653"/>
      <c r="M93" s="653"/>
      <c r="N93" s="653"/>
      <c r="O93" s="653"/>
      <c r="P93" s="653"/>
      <c r="Q93" s="652"/>
      <c r="CV93" s="893" t="str">
        <f>IF($C$4=1,"","auf Betriebskosten bezahlte MwSt "&amp;$C$2*100&amp;"% (aus Tab. 4b Anhang)")</f>
        <v>auf Betriebskosten bezahlte MwSt 7% (aus Tab. 4b Anhang)</v>
      </c>
      <c r="CW93" s="60" t="str">
        <f>IF($C$4=1,"","Payed VAT "&amp;$C$2*100 &amp;"%  for Costs of Operation (from tab 4b annex)")</f>
        <v>Payed VAT 7%  for Costs of Operation (from tab 4b annex)</v>
      </c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</row>
    <row r="94" spans="2:115" ht="14.25" customHeight="1" x14ac:dyDescent="0.2">
      <c r="B94" s="635"/>
      <c r="C94" s="620" t="str">
        <f t="shared" si="33"/>
        <v>ans Finanzamt abzuführende 19% MwSt. aus Umsätzen (aus Tab. 2b)</v>
      </c>
      <c r="D94" s="1136">
        <f t="shared" si="39"/>
        <v>0</v>
      </c>
      <c r="E94" s="1136">
        <f t="shared" si="40"/>
        <v>0</v>
      </c>
      <c r="F94" s="1136">
        <f>IF($C$94="","",'2  Umsatz|Sales'!G101)</f>
        <v>0</v>
      </c>
      <c r="G94" s="1136">
        <f>IF($C$94="","",'2  Umsatz|Sales'!H101)</f>
        <v>0</v>
      </c>
      <c r="H94" s="1137">
        <f>IF($C$94="","",'2  Umsatz|Sales'!I101)</f>
        <v>0</v>
      </c>
      <c r="I94" s="1239"/>
      <c r="J94" s="653"/>
      <c r="K94" s="653"/>
      <c r="L94" s="653"/>
      <c r="M94" s="653"/>
      <c r="N94" s="653"/>
      <c r="O94" s="653"/>
      <c r="P94" s="653"/>
      <c r="Q94" s="652"/>
      <c r="CU94" s="844"/>
      <c r="CV94" s="893" t="str">
        <f>IF($C$4=1,"","ans Finanzamt abzuführende "&amp;$B$2*100&amp;"% MwSt. aus Umsätzen (aus Tab. 2b)")</f>
        <v>ans Finanzamt abzuführende 19% MwSt. aus Umsätzen (aus Tab. 2b)</v>
      </c>
      <c r="CW94" s="60" t="str">
        <f>IF($C$4=1,"","Payed VAT " &amp; $B$2*100 &amp; "% from Sales to Tax Office (tab 2b)")</f>
        <v>Payed VAT 19% from Sales to Tax Office (tab 2b)</v>
      </c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</row>
    <row r="95" spans="2:115" ht="14.25" customHeight="1" x14ac:dyDescent="0.2">
      <c r="B95" s="637"/>
      <c r="C95" s="620" t="str">
        <f t="shared" si="33"/>
        <v>ans Finanzamt abzuführende 7% MwSt. aus Umsätzen (aus Tab. 2b)</v>
      </c>
      <c r="D95" s="1136">
        <f t="shared" si="39"/>
        <v>0</v>
      </c>
      <c r="E95" s="1136">
        <f t="shared" si="40"/>
        <v>0</v>
      </c>
      <c r="F95" s="1136">
        <f>IF($C$95="","",'2  Umsatz|Sales'!G100)</f>
        <v>0</v>
      </c>
      <c r="G95" s="1136">
        <f>IF($C$95="","",'2  Umsatz|Sales'!H100)</f>
        <v>0</v>
      </c>
      <c r="H95" s="1137">
        <f>IF($C$95="","",'2  Umsatz|Sales'!I100)</f>
        <v>0</v>
      </c>
      <c r="I95" s="1239"/>
      <c r="J95" s="654"/>
      <c r="K95" s="654"/>
      <c r="L95" s="654"/>
      <c r="M95" s="649" t="str">
        <f ca="1">C106 &amp;" "&amp; IF(C3="English",J96,I96)&amp;" " &amp;'1 Pers.Ausgaben|Pers Expenses'!C4 &amp; " bis " &amp; '1 Pers.Ausgaben|Pers Expenses'!C4+4&amp;" (EUR)"</f>
        <v>Liquiditätssaldo für die Jahre 2019 bis 2023 (EUR)</v>
      </c>
      <c r="N95" s="654"/>
      <c r="O95" s="654"/>
      <c r="P95" s="1239"/>
      <c r="Q95" s="652"/>
      <c r="CU95" s="840"/>
      <c r="CV95" s="893" t="str">
        <f>IF($C$4=1,"","ans Finanzamt abzuführende "&amp;$C$2*100&amp;"% MwSt. aus Umsätzen (aus Tab. 2b)")</f>
        <v>ans Finanzamt abzuführende 7% MwSt. aus Umsätzen (aus Tab. 2b)</v>
      </c>
      <c r="CW95" s="60" t="str">
        <f>IF($C$4=1,"","Payed VAT " &amp; $C$2*100 &amp; "% from Sales to Tax Office (tab 2b)")</f>
        <v>Payed VAT 7% from Sales to Tax Office (tab 2b)</v>
      </c>
      <c r="CX95" s="130"/>
      <c r="CY95" s="130"/>
      <c r="CZ95" s="130"/>
      <c r="DA95" s="130"/>
      <c r="DB95" s="130"/>
      <c r="DC95" s="130"/>
      <c r="DD95" s="130"/>
      <c r="DE95" s="130"/>
      <c r="DF95" s="130"/>
      <c r="DG95" s="130"/>
      <c r="DH95" s="130"/>
      <c r="DI95" s="130"/>
      <c r="DJ95" s="130"/>
      <c r="DK95" s="130"/>
    </row>
    <row r="96" spans="2:115" ht="14.25" customHeight="1" x14ac:dyDescent="0.2">
      <c r="B96" s="637"/>
      <c r="C96" s="620" t="str">
        <f t="shared" si="33"/>
        <v>Kapitaldienst Tilgung (aus Tab. 7b-1)</v>
      </c>
      <c r="D96" s="1136">
        <f t="shared" si="39"/>
        <v>0</v>
      </c>
      <c r="E96" s="1136">
        <f t="shared" si="40"/>
        <v>0</v>
      </c>
      <c r="F96" s="1136">
        <f>'7 Finanzierung|Financing'!F57</f>
        <v>0</v>
      </c>
      <c r="G96" s="1136">
        <f>'7 Finanzierung|Financing'!G57</f>
        <v>0</v>
      </c>
      <c r="H96" s="1137">
        <f>'7 Finanzierung|Financing'!H57</f>
        <v>0</v>
      </c>
      <c r="I96" s="627" t="s">
        <v>570</v>
      </c>
      <c r="J96" s="1005" t="s">
        <v>571</v>
      </c>
      <c r="K96" s="653"/>
      <c r="L96" s="653"/>
      <c r="N96" s="653"/>
      <c r="O96" s="653"/>
      <c r="P96" s="653"/>
      <c r="Q96" s="652"/>
      <c r="CU96" s="840"/>
      <c r="CV96" s="893" t="s">
        <v>254</v>
      </c>
      <c r="CW96" s="666" t="s">
        <v>725</v>
      </c>
      <c r="CX96" s="130"/>
      <c r="CY96" s="130"/>
      <c r="CZ96" s="130"/>
      <c r="DA96" s="130"/>
      <c r="DB96" s="130"/>
      <c r="DC96" s="130"/>
      <c r="DD96" s="130"/>
      <c r="DE96" s="130"/>
      <c r="DF96" s="130"/>
      <c r="DG96" s="130"/>
      <c r="DH96" s="130"/>
      <c r="DI96" s="130"/>
      <c r="DJ96" s="130"/>
      <c r="DK96" s="130"/>
    </row>
    <row r="97" spans="2:130" ht="14.25" customHeight="1" x14ac:dyDescent="0.2">
      <c r="B97" s="635"/>
      <c r="C97" s="620" t="str">
        <f t="shared" si="33"/>
        <v>Gewerbesteuer (Übernahme aus Tab. 5c)</v>
      </c>
      <c r="D97" s="1136">
        <f t="shared" si="39"/>
        <v>0</v>
      </c>
      <c r="E97" s="1136">
        <f t="shared" si="40"/>
        <v>0</v>
      </c>
      <c r="F97" s="1136">
        <f>'5  Rentabilitaet|Profit'!F57</f>
        <v>0</v>
      </c>
      <c r="G97" s="1136">
        <f>'5  Rentabilitaet|Profit'!G57</f>
        <v>0</v>
      </c>
      <c r="H97" s="1137">
        <f>'5  Rentabilitaet|Profit'!H57</f>
        <v>0</v>
      </c>
      <c r="I97" s="1239"/>
      <c r="J97" s="653"/>
      <c r="K97" s="653"/>
      <c r="L97" s="653"/>
      <c r="M97" s="653"/>
      <c r="N97" s="653"/>
      <c r="O97" s="653"/>
      <c r="P97" s="653"/>
      <c r="Q97" s="652"/>
      <c r="CV97" s="40" t="s">
        <v>164</v>
      </c>
      <c r="CW97" s="666" t="str">
        <f>CW62</f>
        <v>Business tax (from tab 5c)</v>
      </c>
      <c r="CX97" s="130"/>
      <c r="CY97" s="130"/>
      <c r="CZ97" s="130"/>
      <c r="DA97" s="130"/>
      <c r="DB97" s="130"/>
      <c r="DC97" s="130"/>
      <c r="DD97" s="130"/>
      <c r="DE97" s="130"/>
      <c r="DF97" s="130"/>
      <c r="DG97" s="130"/>
      <c r="DH97" s="130"/>
      <c r="DI97" s="130"/>
      <c r="DJ97" s="130"/>
      <c r="DK97" s="130"/>
    </row>
    <row r="98" spans="2:130" ht="14.25" customHeight="1" x14ac:dyDescent="0.2">
      <c r="B98" s="637"/>
      <c r="C98" s="620" t="str">
        <f t="shared" si="33"/>
        <v>Einkommensteuer (Übernahme aus Tab. 5b; Jahreswert gezwölftelt)</v>
      </c>
      <c r="D98" s="1136">
        <f t="shared" si="39"/>
        <v>0</v>
      </c>
      <c r="E98" s="1136">
        <f t="shared" si="40"/>
        <v>0</v>
      </c>
      <c r="F98" s="1136">
        <f>'5  Rentabilitaet|Profit'!F59</f>
        <v>0</v>
      </c>
      <c r="G98" s="1136">
        <f>'5  Rentabilitaet|Profit'!G59</f>
        <v>0</v>
      </c>
      <c r="H98" s="1137">
        <f>'5  Rentabilitaet|Profit'!H59</f>
        <v>0</v>
      </c>
      <c r="I98" s="1239"/>
      <c r="J98" s="653"/>
      <c r="K98" s="653"/>
      <c r="L98" s="653"/>
      <c r="M98" s="653"/>
      <c r="N98" s="653"/>
      <c r="O98" s="653"/>
      <c r="P98" s="653"/>
      <c r="Q98" s="652"/>
      <c r="CU98" s="840"/>
      <c r="CV98" s="40" t="str">
        <f>IF($C$4&lt;&gt;3,"Einkommensteuer (Übernahme aus Tab. 5b; Jahreswert gezwölftelt)","Körperschaftsteuer (Übernahme aus Tab. 5b)")</f>
        <v>Einkommensteuer (Übernahme aus Tab. 5b; Jahreswert gezwölftelt)</v>
      </c>
      <c r="CW98" s="666" t="str">
        <f t="shared" ref="CW98:CW106" si="41">CW63</f>
        <v>Corporate Tax (from tab 5b)</v>
      </c>
      <c r="CX98" s="130"/>
      <c r="CY98" s="130"/>
      <c r="CZ98" s="130"/>
      <c r="DA98" s="130"/>
      <c r="DB98" s="130"/>
      <c r="DC98" s="130"/>
      <c r="DD98" s="130"/>
      <c r="DE98" s="130"/>
      <c r="DF98" s="130"/>
      <c r="DG98" s="130"/>
      <c r="DH98" s="130"/>
      <c r="DI98" s="130"/>
      <c r="DJ98" s="130"/>
      <c r="DK98" s="130"/>
    </row>
    <row r="99" spans="2:130" ht="14.25" customHeight="1" x14ac:dyDescent="0.2">
      <c r="B99" s="637"/>
      <c r="C99" s="620" t="str">
        <f>C64</f>
        <v/>
      </c>
      <c r="D99" s="1136">
        <f t="shared" si="39"/>
        <v>0</v>
      </c>
      <c r="E99" s="1136">
        <f t="shared" si="40"/>
        <v>0</v>
      </c>
      <c r="F99" s="1136">
        <f>IF($C$4&lt;=1,'1 Pers.Ausgaben|Pers Expenses'!F104,"")</f>
        <v>0</v>
      </c>
      <c r="G99" s="1136">
        <f>IF($C$4&lt;=1,'1 Pers.Ausgaben|Pers Expenses'!G104,"")</f>
        <v>0</v>
      </c>
      <c r="H99" s="1136">
        <f>IF($C$4&lt;=1,'1 Pers.Ausgaben|Pers Expenses'!H104,"")</f>
        <v>0</v>
      </c>
      <c r="I99" s="1239"/>
      <c r="J99" s="653"/>
      <c r="K99" s="653"/>
      <c r="L99" s="653"/>
      <c r="M99" s="653"/>
      <c r="N99" s="653"/>
      <c r="O99" s="653"/>
      <c r="P99" s="653"/>
      <c r="Q99" s="652"/>
      <c r="CU99" s="840"/>
      <c r="CV99" s="40" t="str">
        <f>IF(OR('Deckblatt Gruender|Data Founder'!$D$13='Deckblatt Gruender|Data Founder'!$C$2,'Deckblatt Gruender|Data Founder'!$D$13='Deckblatt Gruender|Data Founder'!$C$1),"Privatentnahmen Lebensunterhalt (aus Tab. 1b; siehe Kommentar)","")</f>
        <v/>
      </c>
      <c r="CW99" s="666" t="str">
        <f t="shared" si="41"/>
        <v/>
      </c>
      <c r="CX99" s="130"/>
      <c r="CY99" s="130"/>
      <c r="CZ99" s="130"/>
      <c r="DA99" s="130"/>
      <c r="DB99" s="130"/>
      <c r="DC99" s="130"/>
      <c r="DD99" s="130"/>
      <c r="DE99" s="130"/>
      <c r="DF99" s="130"/>
      <c r="DG99" s="130"/>
      <c r="DH99" s="130"/>
      <c r="DI99" s="130"/>
      <c r="DJ99" s="130"/>
      <c r="DK99" s="130"/>
    </row>
    <row r="100" spans="2:130" ht="14.25" customHeight="1" x14ac:dyDescent="0.2">
      <c r="B100" s="637"/>
      <c r="C100" s="1449" t="s">
        <v>55</v>
      </c>
      <c r="D100" s="1453" t="str">
        <f>IF(P31=0,"",P31)</f>
        <v/>
      </c>
      <c r="E100" s="1453" t="str">
        <f>IF(P65=0,"",P65)</f>
        <v/>
      </c>
      <c r="F100" s="1447"/>
      <c r="G100" s="1447"/>
      <c r="H100" s="1454"/>
      <c r="I100" s="351"/>
      <c r="J100" s="652"/>
      <c r="K100" s="652"/>
      <c r="L100" s="652"/>
      <c r="M100" s="652"/>
      <c r="N100" s="652"/>
      <c r="O100" s="652"/>
      <c r="P100" s="652"/>
      <c r="Q100" s="652"/>
      <c r="S100" s="1556"/>
      <c r="CU100" s="840"/>
      <c r="CV100" s="418" t="s">
        <v>55</v>
      </c>
      <c r="CW100" s="666" t="str">
        <f t="shared" si="41"/>
        <v>Other pay offs</v>
      </c>
      <c r="CX100" s="130"/>
      <c r="CY100" s="130"/>
      <c r="CZ100" s="130"/>
      <c r="DA100" s="130"/>
      <c r="DB100" s="130"/>
      <c r="DC100" s="130"/>
      <c r="DD100" s="130"/>
      <c r="DE100" s="130"/>
      <c r="DF100" s="130"/>
      <c r="DG100" s="130"/>
      <c r="DH100" s="130"/>
      <c r="DI100" s="130"/>
      <c r="DJ100" s="130"/>
      <c r="DK100" s="130"/>
    </row>
    <row r="101" spans="2:130" ht="14.25" customHeight="1" thickBot="1" x14ac:dyDescent="0.25">
      <c r="B101" s="638"/>
      <c r="C101" s="1011" t="str">
        <f t="shared" si="33"/>
        <v>Summe Liquiditätsabgang</v>
      </c>
      <c r="D101" s="1140">
        <f>SUM(D89:D100)</f>
        <v>0</v>
      </c>
      <c r="E101" s="1140">
        <f>SUM(E89:E100)</f>
        <v>0</v>
      </c>
      <c r="F101" s="1140">
        <f>SUM(F89:F100)</f>
        <v>0</v>
      </c>
      <c r="G101" s="1140">
        <f>SUM(G89:G100)</f>
        <v>0</v>
      </c>
      <c r="H101" s="1141">
        <f>SUM(H89:H100)</f>
        <v>0</v>
      </c>
      <c r="I101" s="351"/>
      <c r="J101" s="652"/>
      <c r="K101" s="652"/>
      <c r="L101" s="652"/>
      <c r="M101" s="652"/>
      <c r="N101" s="652"/>
      <c r="O101" s="652"/>
      <c r="P101" s="652"/>
      <c r="Q101" s="652"/>
      <c r="CV101" s="40" t="s">
        <v>56</v>
      </c>
      <c r="CW101" s="666" t="str">
        <f t="shared" si="41"/>
        <v>Sum liquidity outflow</v>
      </c>
      <c r="CX101" s="130"/>
      <c r="CY101" s="130"/>
      <c r="CZ101" s="130"/>
      <c r="DA101" s="130"/>
      <c r="DB101" s="130"/>
      <c r="DC101" s="130"/>
      <c r="DD101" s="130"/>
      <c r="DE101" s="130"/>
      <c r="DF101" s="130"/>
      <c r="DG101" s="130"/>
      <c r="DH101" s="130"/>
      <c r="DI101" s="130"/>
      <c r="DJ101" s="130"/>
      <c r="DK101" s="130"/>
    </row>
    <row r="102" spans="2:130" ht="14.25" customHeight="1" thickTop="1" x14ac:dyDescent="0.2">
      <c r="B102" s="635">
        <v>4</v>
      </c>
      <c r="C102" s="622" t="str">
        <f t="shared" si="33"/>
        <v>Liquiditätssaldo</v>
      </c>
      <c r="D102" s="1145"/>
      <c r="E102" s="1145"/>
      <c r="F102" s="1145"/>
      <c r="G102" s="1145"/>
      <c r="H102" s="1149"/>
      <c r="I102" s="351"/>
      <c r="J102" s="652"/>
      <c r="K102" s="652"/>
      <c r="L102" s="652"/>
      <c r="M102" s="652"/>
      <c r="N102" s="652"/>
      <c r="O102" s="652"/>
      <c r="P102" s="652"/>
      <c r="Q102" s="652"/>
      <c r="CV102" s="40" t="s">
        <v>57</v>
      </c>
      <c r="CW102" s="666" t="str">
        <f t="shared" si="41"/>
        <v xml:space="preserve">Liquidity balance </v>
      </c>
      <c r="CX102" s="130"/>
      <c r="CY102" s="130"/>
      <c r="CZ102" s="130"/>
      <c r="DA102" s="130"/>
      <c r="DB102" s="130"/>
      <c r="DC102" s="130"/>
      <c r="DD102" s="130"/>
      <c r="DE102" s="130"/>
      <c r="DF102" s="130"/>
      <c r="DG102" s="130"/>
      <c r="DH102" s="130"/>
      <c r="DI102" s="130"/>
      <c r="DJ102" s="130"/>
      <c r="DK102" s="130"/>
    </row>
    <row r="103" spans="2:130" ht="14.25" customHeight="1" x14ac:dyDescent="0.2">
      <c r="B103" s="635"/>
      <c r="C103" s="619" t="str">
        <f t="shared" si="33"/>
        <v xml:space="preserve">Konto/flüss. Mittel/ Liquiditätssaldo/Startg. </v>
      </c>
      <c r="D103" s="1136">
        <f>D78</f>
        <v>0</v>
      </c>
      <c r="E103" s="1136">
        <f>E77</f>
        <v>0</v>
      </c>
      <c r="F103" s="1136">
        <f>F77</f>
        <v>0</v>
      </c>
      <c r="G103" s="1136">
        <f>G77</f>
        <v>0</v>
      </c>
      <c r="H103" s="1137">
        <f>H77</f>
        <v>0</v>
      </c>
      <c r="I103" s="351"/>
      <c r="J103" s="652"/>
      <c r="K103" s="652"/>
      <c r="L103" s="652"/>
      <c r="M103" s="652"/>
      <c r="N103" s="652"/>
      <c r="O103" s="652"/>
      <c r="P103" s="652"/>
      <c r="Q103" s="652"/>
      <c r="CV103" s="40" t="s">
        <v>72</v>
      </c>
      <c r="CW103" s="666" t="str">
        <f t="shared" si="41"/>
        <v>Account / liquid resources / liquidity balance / opening balance</v>
      </c>
    </row>
    <row r="104" spans="2:130" ht="14.25" customHeight="1" x14ac:dyDescent="0.2">
      <c r="B104" s="635"/>
      <c r="C104" s="619" t="str">
        <f t="shared" si="33"/>
        <v>(+) Summe Liquiditätszugang</v>
      </c>
      <c r="D104" s="1136">
        <f>P18</f>
        <v>0</v>
      </c>
      <c r="E104" s="1136">
        <f>E87</f>
        <v>0</v>
      </c>
      <c r="F104" s="1136">
        <f>F87</f>
        <v>0</v>
      </c>
      <c r="G104" s="1136">
        <f>G87</f>
        <v>0</v>
      </c>
      <c r="H104" s="1137">
        <f>H87</f>
        <v>0</v>
      </c>
      <c r="I104" s="351"/>
      <c r="J104" s="652"/>
      <c r="K104" s="652"/>
      <c r="L104" s="652"/>
      <c r="M104" s="652"/>
      <c r="N104" s="652"/>
      <c r="O104" s="652"/>
      <c r="P104" s="652"/>
      <c r="Q104" s="652"/>
      <c r="CV104" s="40" t="s">
        <v>58</v>
      </c>
      <c r="CW104" s="666" t="str">
        <f t="shared" si="41"/>
        <v>(+) Sum liquidity access</v>
      </c>
    </row>
    <row r="105" spans="2:130" ht="14.25" customHeight="1" x14ac:dyDescent="0.2">
      <c r="B105" s="637"/>
      <c r="C105" s="619" t="str">
        <f t="shared" si="33"/>
        <v>(-) Summe Liquiditätsabgang</v>
      </c>
      <c r="D105" s="1136">
        <f>P32</f>
        <v>0</v>
      </c>
      <c r="E105" s="1136">
        <f>E101</f>
        <v>0</v>
      </c>
      <c r="F105" s="1136">
        <f>F101</f>
        <v>0</v>
      </c>
      <c r="G105" s="1136">
        <f>G101</f>
        <v>0</v>
      </c>
      <c r="H105" s="1137">
        <f>H101</f>
        <v>0</v>
      </c>
      <c r="I105" s="351"/>
      <c r="J105" s="652"/>
      <c r="K105" s="652"/>
      <c r="L105" s="652"/>
      <c r="M105" s="652"/>
      <c r="N105" s="652"/>
      <c r="O105" s="652"/>
      <c r="P105" s="652"/>
      <c r="Q105" s="652"/>
      <c r="CV105" s="40" t="s">
        <v>59</v>
      </c>
      <c r="CW105" s="666" t="str">
        <f t="shared" si="41"/>
        <v>(-)Sum liquidity outflow</v>
      </c>
    </row>
    <row r="106" spans="2:130" ht="14.25" customHeight="1" thickBot="1" x14ac:dyDescent="0.25">
      <c r="B106" s="643"/>
      <c r="C106" s="1242" t="str">
        <f t="shared" si="33"/>
        <v>Liquiditätssaldo</v>
      </c>
      <c r="D106" s="1143">
        <f>D103+D104-D105</f>
        <v>0</v>
      </c>
      <c r="E106" s="1143">
        <f>E103+E104-E105</f>
        <v>0</v>
      </c>
      <c r="F106" s="1143">
        <f>F103+F104-F105</f>
        <v>0</v>
      </c>
      <c r="G106" s="1143">
        <f>G103+G104-G105</f>
        <v>0</v>
      </c>
      <c r="H106" s="1150">
        <f>H103+H104-H105</f>
        <v>0</v>
      </c>
      <c r="I106" s="351"/>
      <c r="J106" s="652"/>
      <c r="K106" s="652"/>
      <c r="L106" s="652"/>
      <c r="M106" s="652"/>
      <c r="N106" s="652"/>
      <c r="O106" s="652"/>
      <c r="P106" s="652"/>
      <c r="Q106" s="652"/>
      <c r="CV106" s="40" t="s">
        <v>57</v>
      </c>
      <c r="CW106" s="666" t="str">
        <f t="shared" si="41"/>
        <v xml:space="preserve">Liquidity balance </v>
      </c>
    </row>
    <row r="107" spans="2:130" s="472" customFormat="1" x14ac:dyDescent="0.2">
      <c r="I107" s="646"/>
      <c r="J107" s="647"/>
      <c r="K107" s="647"/>
      <c r="L107" s="647"/>
      <c r="M107" s="647"/>
      <c r="N107" s="647"/>
      <c r="O107" s="647"/>
      <c r="P107" s="646"/>
      <c r="Q107" s="646"/>
      <c r="S107" s="223"/>
      <c r="CU107" s="349"/>
      <c r="CV107" s="4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</row>
    <row r="108" spans="2:130" s="472" customFormat="1" ht="23.25" thickBot="1" x14ac:dyDescent="0.25">
      <c r="B108" s="181" t="str">
        <f>IF($C$3="English",CW108,CV108)</f>
        <v>Anmerkungen</v>
      </c>
      <c r="I108" s="1245"/>
      <c r="J108" s="647"/>
      <c r="K108" s="647"/>
      <c r="L108" s="647"/>
      <c r="M108" s="647"/>
      <c r="N108" s="647"/>
      <c r="O108" s="647"/>
      <c r="P108" s="646"/>
      <c r="Q108" s="646"/>
      <c r="S108" s="95" t="s">
        <v>247</v>
      </c>
      <c r="CU108" s="349"/>
      <c r="CV108" s="40" t="s">
        <v>119</v>
      </c>
      <c r="CW108" s="60" t="s">
        <v>403</v>
      </c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</row>
    <row r="109" spans="2:130" s="57" customFormat="1" x14ac:dyDescent="0.2">
      <c r="B109" s="1678"/>
      <c r="C109" s="1679"/>
      <c r="D109" s="1679"/>
      <c r="E109" s="1679"/>
      <c r="F109" s="1679"/>
      <c r="G109" s="1679"/>
      <c r="H109" s="1679"/>
      <c r="I109" s="1679"/>
      <c r="J109" s="1679"/>
      <c r="K109" s="1679"/>
      <c r="L109" s="1679"/>
      <c r="M109" s="1679"/>
      <c r="N109" s="1679"/>
      <c r="O109" s="1679"/>
      <c r="P109" s="1680"/>
      <c r="Q109" s="1232"/>
      <c r="CU109" s="349"/>
      <c r="CV109" s="4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</row>
    <row r="110" spans="2:130" s="57" customFormat="1" x14ac:dyDescent="0.2">
      <c r="B110" s="1681"/>
      <c r="C110" s="1682"/>
      <c r="D110" s="1682"/>
      <c r="E110" s="1682"/>
      <c r="F110" s="1682"/>
      <c r="G110" s="1682"/>
      <c r="H110" s="1682"/>
      <c r="I110" s="1682"/>
      <c r="J110" s="1682"/>
      <c r="K110" s="1682"/>
      <c r="L110" s="1682"/>
      <c r="M110" s="1682"/>
      <c r="N110" s="1682"/>
      <c r="O110" s="1682"/>
      <c r="P110" s="1683"/>
      <c r="Q110" s="1232"/>
      <c r="CU110" s="349"/>
      <c r="CV110" s="4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</row>
    <row r="111" spans="2:130" s="57" customFormat="1" x14ac:dyDescent="0.2">
      <c r="B111" s="1681"/>
      <c r="C111" s="1682"/>
      <c r="D111" s="1682"/>
      <c r="E111" s="1682"/>
      <c r="F111" s="1682"/>
      <c r="G111" s="1682"/>
      <c r="H111" s="1682"/>
      <c r="I111" s="1682"/>
      <c r="J111" s="1682"/>
      <c r="K111" s="1682"/>
      <c r="L111" s="1682"/>
      <c r="M111" s="1682"/>
      <c r="N111" s="1682"/>
      <c r="O111" s="1682"/>
      <c r="P111" s="1683"/>
      <c r="Q111" s="1232"/>
      <c r="CU111" s="349"/>
      <c r="CV111" s="4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</row>
    <row r="112" spans="2:130" s="57" customFormat="1" ht="15" thickBot="1" x14ac:dyDescent="0.25">
      <c r="B112" s="1684"/>
      <c r="C112" s="1685"/>
      <c r="D112" s="1685"/>
      <c r="E112" s="1685"/>
      <c r="F112" s="1685"/>
      <c r="G112" s="1685"/>
      <c r="H112" s="1685"/>
      <c r="I112" s="1685"/>
      <c r="J112" s="1685"/>
      <c r="K112" s="1685"/>
      <c r="L112" s="1685"/>
      <c r="M112" s="1685"/>
      <c r="N112" s="1685"/>
      <c r="O112" s="1685"/>
      <c r="P112" s="1686"/>
      <c r="Q112" s="1232"/>
      <c r="CU112" s="349"/>
      <c r="CV112" s="4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</row>
    <row r="113" spans="2:134" s="57" customFormat="1" x14ac:dyDescent="0.2">
      <c r="D113" s="628"/>
      <c r="E113" s="628"/>
      <c r="F113" s="628"/>
      <c r="G113" s="628"/>
      <c r="H113" s="628"/>
      <c r="I113" s="1246"/>
      <c r="J113" s="114"/>
      <c r="K113" s="114"/>
      <c r="L113" s="114"/>
      <c r="M113" s="114"/>
      <c r="N113" s="114"/>
      <c r="O113" s="114"/>
      <c r="P113" s="351"/>
      <c r="Q113" s="351"/>
      <c r="CU113" s="349"/>
      <c r="CV113" s="4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</row>
    <row r="114" spans="2:134" s="95" customFormat="1" x14ac:dyDescent="0.2">
      <c r="D114" s="1029"/>
      <c r="E114" s="1029" t="s">
        <v>575</v>
      </c>
      <c r="F114" s="1059">
        <f>F115+F116</f>
        <v>1043.0299222492731</v>
      </c>
      <c r="G114" s="1059"/>
      <c r="H114" s="1059"/>
      <c r="I114" s="1247"/>
      <c r="J114" s="630"/>
      <c r="K114" s="630"/>
      <c r="L114" s="630"/>
      <c r="M114" s="630"/>
      <c r="N114" s="630"/>
      <c r="O114" s="630"/>
      <c r="P114" s="627"/>
      <c r="Q114" s="627"/>
      <c r="CU114" s="146"/>
      <c r="CV114" s="146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</row>
    <row r="115" spans="2:134" s="602" customFormat="1" x14ac:dyDescent="0.2">
      <c r="B115" s="95"/>
      <c r="C115" s="95"/>
      <c r="D115" s="1029"/>
      <c r="E115" s="1029" t="s">
        <v>572</v>
      </c>
      <c r="F115" s="1059">
        <v>85.046728971962636</v>
      </c>
      <c r="G115" s="1059">
        <v>78.504672897196372</v>
      </c>
      <c r="H115" s="1059">
        <v>2714.9532710280432</v>
      </c>
      <c r="I115" s="1247"/>
      <c r="J115" s="630"/>
      <c r="K115" s="630"/>
      <c r="L115" s="630"/>
      <c r="M115" s="630"/>
      <c r="N115" s="630"/>
      <c r="O115" s="630"/>
      <c r="P115" s="627"/>
      <c r="Q115" s="627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146"/>
      <c r="CV115" s="146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</row>
    <row r="116" spans="2:134" s="602" customFormat="1" x14ac:dyDescent="0.2">
      <c r="B116" s="95"/>
      <c r="C116" s="95"/>
      <c r="D116" s="1029"/>
      <c r="E116" s="1029" t="s">
        <v>573</v>
      </c>
      <c r="F116" s="1059">
        <v>957.98319327731042</v>
      </c>
      <c r="G116" s="1059">
        <v>63.865546218487395</v>
      </c>
      <c r="H116" s="1059">
        <v>4789.9159663865539</v>
      </c>
      <c r="I116" s="1247"/>
      <c r="J116" s="630"/>
      <c r="K116" s="630"/>
      <c r="L116" s="630"/>
      <c r="M116" s="630"/>
      <c r="N116" s="630"/>
      <c r="O116" s="630"/>
      <c r="P116" s="627"/>
      <c r="Q116" s="627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146"/>
      <c r="CV116" s="146"/>
      <c r="CW116" s="287"/>
      <c r="CX116" s="287"/>
      <c r="CY116" s="287"/>
      <c r="CZ116" s="287"/>
      <c r="DA116" s="287"/>
      <c r="DB116" s="287"/>
      <c r="DC116" s="287"/>
      <c r="DD116" s="287"/>
      <c r="DE116" s="287"/>
      <c r="DF116" s="287"/>
      <c r="DG116" s="287"/>
      <c r="DH116" s="287"/>
      <c r="DI116" s="287"/>
      <c r="DJ116" s="287"/>
      <c r="DK116" s="287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</row>
    <row r="117" spans="2:134" s="602" customFormat="1" x14ac:dyDescent="0.2">
      <c r="B117" s="95"/>
      <c r="C117" s="95"/>
      <c r="D117" s="1029"/>
      <c r="E117" s="1029" t="s">
        <v>574</v>
      </c>
      <c r="F117" s="1029">
        <v>7300</v>
      </c>
      <c r="G117" s="1029">
        <v>1600</v>
      </c>
      <c r="H117" s="1029">
        <v>71500</v>
      </c>
      <c r="I117" s="1247"/>
      <c r="J117" s="630"/>
      <c r="K117" s="630"/>
      <c r="L117" s="630"/>
      <c r="M117" s="630"/>
      <c r="N117" s="630"/>
      <c r="O117" s="630"/>
      <c r="P117" s="627"/>
      <c r="Q117" s="627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146"/>
      <c r="CV117" s="146"/>
      <c r="CW117" s="287"/>
      <c r="CX117" s="287"/>
      <c r="CY117" s="287"/>
      <c r="CZ117" s="287"/>
      <c r="DA117" s="287"/>
      <c r="DB117" s="287"/>
      <c r="DC117" s="287"/>
      <c r="DD117" s="287"/>
      <c r="DE117" s="287"/>
      <c r="DF117" s="287"/>
      <c r="DG117" s="287"/>
      <c r="DH117" s="287"/>
      <c r="DI117" s="287"/>
      <c r="DJ117" s="287"/>
      <c r="DK117" s="287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</row>
    <row r="118" spans="2:134" s="602" customFormat="1" x14ac:dyDescent="0.2">
      <c r="B118" s="95"/>
      <c r="C118" s="95"/>
      <c r="D118" s="1029"/>
      <c r="E118" s="1029"/>
      <c r="F118" s="1029"/>
      <c r="G118" s="1029"/>
      <c r="H118" s="1029"/>
      <c r="I118" s="1247"/>
      <c r="J118" s="630"/>
      <c r="K118" s="630"/>
      <c r="L118" s="630"/>
      <c r="M118" s="630"/>
      <c r="N118" s="630"/>
      <c r="O118" s="630"/>
      <c r="P118" s="627"/>
      <c r="Q118" s="627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146"/>
      <c r="CV118" s="146"/>
      <c r="CW118" s="287"/>
      <c r="CX118" s="287"/>
      <c r="CY118" s="287"/>
      <c r="CZ118" s="287"/>
      <c r="DA118" s="287"/>
      <c r="DB118" s="287"/>
      <c r="DC118" s="287"/>
      <c r="DD118" s="287"/>
      <c r="DE118" s="287"/>
      <c r="DF118" s="287"/>
      <c r="DG118" s="287"/>
      <c r="DH118" s="287"/>
      <c r="DI118" s="287"/>
      <c r="DJ118" s="287"/>
      <c r="DK118" s="287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</row>
    <row r="119" spans="2:134" s="615" customFormat="1" x14ac:dyDescent="0.2">
      <c r="B119" s="57"/>
      <c r="C119" s="57"/>
      <c r="D119" s="628"/>
      <c r="E119" s="628"/>
      <c r="F119" s="628"/>
      <c r="G119" s="628"/>
      <c r="H119" s="628"/>
      <c r="I119" s="1246"/>
      <c r="J119" s="114"/>
      <c r="K119" s="114"/>
      <c r="L119" s="114"/>
      <c r="M119" s="114"/>
      <c r="N119" s="114"/>
      <c r="O119" s="114"/>
      <c r="P119" s="351"/>
      <c r="Q119" s="351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349"/>
      <c r="CV119" s="4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57"/>
      <c r="EB119" s="57"/>
      <c r="EC119" s="57"/>
      <c r="ED119" s="57"/>
    </row>
    <row r="120" spans="2:134" s="615" customFormat="1" x14ac:dyDescent="0.2">
      <c r="B120" s="57"/>
      <c r="C120" s="57"/>
      <c r="D120" s="628"/>
      <c r="E120" s="628"/>
      <c r="F120" s="628"/>
      <c r="G120" s="628"/>
      <c r="H120" s="628"/>
      <c r="I120" s="1246"/>
      <c r="J120" s="114"/>
      <c r="K120" s="114"/>
      <c r="L120" s="114"/>
      <c r="M120" s="114"/>
      <c r="N120" s="114"/>
      <c r="O120" s="114"/>
      <c r="P120" s="351"/>
      <c r="Q120" s="351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349"/>
      <c r="CV120" s="4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57"/>
      <c r="EB120" s="57"/>
      <c r="EC120" s="57"/>
      <c r="ED120" s="57"/>
    </row>
    <row r="121" spans="2:134" s="615" customFormat="1" x14ac:dyDescent="0.2">
      <c r="B121" s="57"/>
      <c r="C121" s="57"/>
      <c r="D121" s="628"/>
      <c r="E121" s="628"/>
      <c r="F121" s="628"/>
      <c r="G121" s="628"/>
      <c r="H121" s="628"/>
      <c r="I121" s="1246"/>
      <c r="J121" s="114"/>
      <c r="K121" s="114"/>
      <c r="L121" s="114"/>
      <c r="M121" s="114"/>
      <c r="N121" s="114"/>
      <c r="O121" s="114"/>
      <c r="P121" s="351"/>
      <c r="Q121" s="351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349"/>
      <c r="CV121" s="4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57"/>
      <c r="EB121" s="57"/>
      <c r="EC121" s="57"/>
      <c r="ED121" s="57"/>
    </row>
    <row r="122" spans="2:134" s="615" customFormat="1" x14ac:dyDescent="0.2">
      <c r="B122" s="57"/>
      <c r="C122" s="57"/>
      <c r="D122" s="628"/>
      <c r="E122" s="628"/>
      <c r="F122" s="628"/>
      <c r="G122" s="628"/>
      <c r="H122" s="628"/>
      <c r="I122" s="1246"/>
      <c r="J122" s="114"/>
      <c r="K122" s="114"/>
      <c r="L122" s="114"/>
      <c r="M122" s="114"/>
      <c r="N122" s="114"/>
      <c r="O122" s="114"/>
      <c r="P122" s="351"/>
      <c r="Q122" s="351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349"/>
      <c r="CV122" s="4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57"/>
      <c r="EB122" s="57"/>
      <c r="EC122" s="57"/>
      <c r="ED122" s="57"/>
    </row>
    <row r="123" spans="2:134" s="615" customFormat="1" x14ac:dyDescent="0.2">
      <c r="B123" s="57"/>
      <c r="C123" s="57"/>
      <c r="D123" s="628"/>
      <c r="E123" s="628"/>
      <c r="F123" s="628"/>
      <c r="G123" s="628"/>
      <c r="H123" s="628"/>
      <c r="I123" s="1246"/>
      <c r="J123" s="114"/>
      <c r="K123" s="114"/>
      <c r="L123" s="114"/>
      <c r="M123" s="114"/>
      <c r="N123" s="114"/>
      <c r="O123" s="114"/>
      <c r="P123" s="351"/>
      <c r="Q123" s="351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349"/>
      <c r="CV123" s="4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57"/>
      <c r="EB123" s="57"/>
      <c r="EC123" s="57"/>
      <c r="ED123" s="57"/>
    </row>
    <row r="124" spans="2:134" s="615" customFormat="1" x14ac:dyDescent="0.2">
      <c r="B124" s="57"/>
      <c r="C124" s="57"/>
      <c r="D124" s="628"/>
      <c r="E124" s="628"/>
      <c r="F124" s="628"/>
      <c r="G124" s="628"/>
      <c r="H124" s="628"/>
      <c r="I124" s="1246"/>
      <c r="J124" s="114"/>
      <c r="K124" s="114"/>
      <c r="L124" s="114"/>
      <c r="M124" s="114"/>
      <c r="N124" s="114"/>
      <c r="O124" s="114"/>
      <c r="P124" s="351"/>
      <c r="Q124" s="351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349"/>
      <c r="CV124" s="4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57"/>
      <c r="EB124" s="57"/>
      <c r="EC124" s="57"/>
      <c r="ED124" s="57"/>
    </row>
    <row r="125" spans="2:134" s="615" customFormat="1" x14ac:dyDescent="0.2">
      <c r="B125" s="57"/>
      <c r="C125" s="57"/>
      <c r="D125" s="628"/>
      <c r="E125" s="628"/>
      <c r="F125" s="628"/>
      <c r="G125" s="628"/>
      <c r="H125" s="628"/>
      <c r="I125" s="1246"/>
      <c r="J125" s="114"/>
      <c r="K125" s="114"/>
      <c r="L125" s="114"/>
      <c r="M125" s="114"/>
      <c r="N125" s="114"/>
      <c r="O125" s="114"/>
      <c r="P125" s="351"/>
      <c r="Q125" s="351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349"/>
      <c r="CV125" s="4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57"/>
      <c r="EB125" s="57"/>
      <c r="EC125" s="57"/>
      <c r="ED125" s="57"/>
    </row>
    <row r="126" spans="2:134" s="615" customFormat="1" x14ac:dyDescent="0.2">
      <c r="B126" s="57"/>
      <c r="C126" s="57"/>
      <c r="D126" s="628"/>
      <c r="E126" s="628"/>
      <c r="F126" s="628"/>
      <c r="G126" s="628"/>
      <c r="H126" s="628"/>
      <c r="I126" s="1246"/>
      <c r="J126" s="114"/>
      <c r="K126" s="114"/>
      <c r="L126" s="114"/>
      <c r="M126" s="114"/>
      <c r="N126" s="114"/>
      <c r="O126" s="114"/>
      <c r="P126" s="351"/>
      <c r="Q126" s="351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349"/>
      <c r="CV126" s="4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57"/>
      <c r="EB126" s="57"/>
      <c r="EC126" s="57"/>
      <c r="ED126" s="57"/>
    </row>
    <row r="127" spans="2:134" s="615" customFormat="1" x14ac:dyDescent="0.2">
      <c r="B127" s="57"/>
      <c r="C127" s="57"/>
      <c r="D127" s="628"/>
      <c r="E127" s="628"/>
      <c r="F127" s="628"/>
      <c r="G127" s="628"/>
      <c r="H127" s="628"/>
      <c r="I127" s="1246"/>
      <c r="J127" s="114"/>
      <c r="K127" s="114"/>
      <c r="L127" s="114"/>
      <c r="M127" s="114"/>
      <c r="N127" s="114"/>
      <c r="O127" s="114"/>
      <c r="P127" s="351"/>
      <c r="Q127" s="351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349"/>
      <c r="CV127" s="4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57"/>
      <c r="EB127" s="57"/>
      <c r="EC127" s="57"/>
      <c r="ED127" s="57"/>
    </row>
    <row r="128" spans="2:134" s="615" customFormat="1" x14ac:dyDescent="0.2">
      <c r="B128" s="57"/>
      <c r="C128" s="57"/>
      <c r="D128" s="628"/>
      <c r="E128" s="628"/>
      <c r="F128" s="628"/>
      <c r="G128" s="628"/>
      <c r="H128" s="628"/>
      <c r="I128" s="1246"/>
      <c r="J128" s="114"/>
      <c r="K128" s="114"/>
      <c r="L128" s="114"/>
      <c r="M128" s="114"/>
      <c r="N128" s="114"/>
      <c r="O128" s="114"/>
      <c r="P128" s="351"/>
      <c r="Q128" s="351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349"/>
      <c r="CV128" s="4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57"/>
      <c r="EB128" s="57"/>
      <c r="EC128" s="57"/>
      <c r="ED128" s="57"/>
    </row>
    <row r="129" spans="2:134" s="615" customFormat="1" x14ac:dyDescent="0.2">
      <c r="B129" s="57"/>
      <c r="C129" s="57"/>
      <c r="D129" s="628"/>
      <c r="E129" s="628"/>
      <c r="F129" s="628"/>
      <c r="G129" s="628"/>
      <c r="H129" s="628"/>
      <c r="I129" s="1246"/>
      <c r="J129" s="114"/>
      <c r="K129" s="114"/>
      <c r="L129" s="114"/>
      <c r="M129" s="114"/>
      <c r="N129" s="114"/>
      <c r="O129" s="114"/>
      <c r="P129" s="351"/>
      <c r="Q129" s="351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349"/>
      <c r="CV129" s="4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57"/>
      <c r="EB129" s="57"/>
      <c r="EC129" s="57"/>
      <c r="ED129" s="57"/>
    </row>
    <row r="130" spans="2:134" s="615" customFormat="1" x14ac:dyDescent="0.2">
      <c r="B130" s="57"/>
      <c r="C130" s="57"/>
      <c r="D130" s="628"/>
      <c r="E130" s="628"/>
      <c r="F130" s="628"/>
      <c r="G130" s="628"/>
      <c r="H130" s="628"/>
      <c r="I130" s="1246"/>
      <c r="J130" s="114"/>
      <c r="K130" s="114"/>
      <c r="L130" s="114"/>
      <c r="M130" s="114"/>
      <c r="N130" s="114"/>
      <c r="O130" s="114"/>
      <c r="P130" s="351"/>
      <c r="Q130" s="351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349"/>
      <c r="CV130" s="4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57"/>
      <c r="EB130" s="57"/>
      <c r="EC130" s="57"/>
      <c r="ED130" s="57"/>
    </row>
    <row r="131" spans="2:134" s="615" customFormat="1" x14ac:dyDescent="0.2">
      <c r="B131" s="57"/>
      <c r="C131" s="57"/>
      <c r="D131" s="628"/>
      <c r="E131" s="628"/>
      <c r="F131" s="628"/>
      <c r="G131" s="628"/>
      <c r="H131" s="628"/>
      <c r="I131" s="1246"/>
      <c r="J131" s="114"/>
      <c r="K131" s="114"/>
      <c r="L131" s="114"/>
      <c r="M131" s="114"/>
      <c r="N131" s="114"/>
      <c r="O131" s="114"/>
      <c r="P131" s="351"/>
      <c r="Q131" s="351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349"/>
      <c r="CV131" s="4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57"/>
      <c r="EB131" s="57"/>
      <c r="EC131" s="57"/>
      <c r="ED131" s="57"/>
    </row>
    <row r="132" spans="2:134" s="615" customFormat="1" x14ac:dyDescent="0.2">
      <c r="B132" s="57"/>
      <c r="C132" s="57"/>
      <c r="D132" s="628"/>
      <c r="E132" s="628"/>
      <c r="F132" s="628"/>
      <c r="G132" s="628"/>
      <c r="H132" s="628"/>
      <c r="I132" s="1246"/>
      <c r="J132" s="114"/>
      <c r="K132" s="114"/>
      <c r="L132" s="114"/>
      <c r="M132" s="114"/>
      <c r="N132" s="114"/>
      <c r="O132" s="114"/>
      <c r="P132" s="351"/>
      <c r="Q132" s="351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349"/>
      <c r="CV132" s="4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57"/>
      <c r="EB132" s="57"/>
      <c r="EC132" s="57"/>
      <c r="ED132" s="57"/>
    </row>
    <row r="133" spans="2:134" s="615" customFormat="1" x14ac:dyDescent="0.2">
      <c r="B133" s="57"/>
      <c r="C133" s="57"/>
      <c r="D133" s="628"/>
      <c r="E133" s="628"/>
      <c r="F133" s="628"/>
      <c r="G133" s="628"/>
      <c r="H133" s="628"/>
      <c r="I133" s="1246"/>
      <c r="J133" s="114"/>
      <c r="K133" s="114"/>
      <c r="L133" s="114"/>
      <c r="M133" s="114"/>
      <c r="N133" s="114"/>
      <c r="O133" s="114"/>
      <c r="P133" s="351"/>
      <c r="Q133" s="351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349"/>
      <c r="CV133" s="4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57"/>
      <c r="EB133" s="57"/>
      <c r="EC133" s="57"/>
      <c r="ED133" s="57"/>
    </row>
    <row r="134" spans="2:134" s="615" customFormat="1" x14ac:dyDescent="0.2">
      <c r="B134" s="57"/>
      <c r="C134" s="57"/>
      <c r="D134" s="628"/>
      <c r="E134" s="628"/>
      <c r="F134" s="628"/>
      <c r="G134" s="628"/>
      <c r="H134" s="628"/>
      <c r="I134" s="1246"/>
      <c r="J134" s="114"/>
      <c r="K134" s="114"/>
      <c r="L134" s="114"/>
      <c r="M134" s="114"/>
      <c r="N134" s="114"/>
      <c r="O134" s="114"/>
      <c r="P134" s="351"/>
      <c r="Q134" s="351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349"/>
      <c r="CV134" s="4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57"/>
      <c r="EB134" s="57"/>
      <c r="EC134" s="57"/>
      <c r="ED134" s="57"/>
    </row>
    <row r="135" spans="2:134" s="615" customFormat="1" x14ac:dyDescent="0.2">
      <c r="B135" s="57"/>
      <c r="C135" s="57"/>
      <c r="D135" s="628"/>
      <c r="E135" s="628"/>
      <c r="F135" s="628"/>
      <c r="G135" s="628"/>
      <c r="H135" s="628"/>
      <c r="I135" s="1246"/>
      <c r="J135" s="114"/>
      <c r="K135" s="114"/>
      <c r="L135" s="114"/>
      <c r="M135" s="114"/>
      <c r="N135" s="114"/>
      <c r="O135" s="114"/>
      <c r="P135" s="351"/>
      <c r="Q135" s="351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349"/>
      <c r="CV135" s="4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57"/>
      <c r="EB135" s="57"/>
      <c r="EC135" s="57"/>
      <c r="ED135" s="57"/>
    </row>
    <row r="136" spans="2:134" s="615" customFormat="1" x14ac:dyDescent="0.2">
      <c r="B136" s="57"/>
      <c r="C136" s="57"/>
      <c r="D136" s="628"/>
      <c r="E136" s="628"/>
      <c r="F136" s="628"/>
      <c r="G136" s="628"/>
      <c r="H136" s="628"/>
      <c r="I136" s="1246"/>
      <c r="J136" s="114"/>
      <c r="K136" s="114"/>
      <c r="L136" s="114"/>
      <c r="M136" s="114"/>
      <c r="N136" s="114"/>
      <c r="O136" s="114"/>
      <c r="P136" s="351"/>
      <c r="Q136" s="351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349"/>
      <c r="CV136" s="4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57"/>
      <c r="EB136" s="57"/>
      <c r="EC136" s="57"/>
      <c r="ED136" s="57"/>
    </row>
    <row r="137" spans="2:134" s="615" customFormat="1" x14ac:dyDescent="0.2">
      <c r="B137" s="57"/>
      <c r="C137" s="57"/>
      <c r="D137" s="628"/>
      <c r="E137" s="628"/>
      <c r="F137" s="628"/>
      <c r="G137" s="628"/>
      <c r="H137" s="628"/>
      <c r="I137" s="1246"/>
      <c r="J137" s="114"/>
      <c r="K137" s="114"/>
      <c r="L137" s="114"/>
      <c r="M137" s="114"/>
      <c r="N137" s="114"/>
      <c r="O137" s="114"/>
      <c r="P137" s="351"/>
      <c r="Q137" s="351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349"/>
      <c r="CV137" s="4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57"/>
      <c r="EB137" s="57"/>
      <c r="EC137" s="57"/>
      <c r="ED137" s="57"/>
    </row>
    <row r="138" spans="2:134" s="615" customFormat="1" x14ac:dyDescent="0.2">
      <c r="B138" s="57"/>
      <c r="C138" s="57"/>
      <c r="D138" s="628"/>
      <c r="E138" s="628"/>
      <c r="F138" s="628"/>
      <c r="G138" s="628"/>
      <c r="H138" s="628"/>
      <c r="I138" s="1246"/>
      <c r="J138" s="114"/>
      <c r="K138" s="114"/>
      <c r="L138" s="114"/>
      <c r="M138" s="114"/>
      <c r="N138" s="114"/>
      <c r="O138" s="114"/>
      <c r="P138" s="351"/>
      <c r="Q138" s="351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349"/>
      <c r="CV138" s="4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57"/>
      <c r="EB138" s="57"/>
      <c r="EC138" s="57"/>
      <c r="ED138" s="57"/>
    </row>
    <row r="139" spans="2:134" s="615" customFormat="1" x14ac:dyDescent="0.2">
      <c r="B139" s="57"/>
      <c r="C139" s="57"/>
      <c r="D139" s="628"/>
      <c r="E139" s="628"/>
      <c r="F139" s="628"/>
      <c r="G139" s="628"/>
      <c r="H139" s="628"/>
      <c r="I139" s="1246"/>
      <c r="J139" s="114"/>
      <c r="K139" s="114"/>
      <c r="L139" s="114"/>
      <c r="M139" s="114"/>
      <c r="N139" s="114"/>
      <c r="O139" s="114"/>
      <c r="P139" s="351"/>
      <c r="Q139" s="351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349"/>
      <c r="CV139" s="4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57"/>
      <c r="EB139" s="57"/>
      <c r="EC139" s="57"/>
      <c r="ED139" s="57"/>
    </row>
    <row r="140" spans="2:134" s="615" customFormat="1" x14ac:dyDescent="0.2">
      <c r="B140" s="57"/>
      <c r="C140" s="57"/>
      <c r="D140" s="628"/>
      <c r="E140" s="628"/>
      <c r="F140" s="628"/>
      <c r="G140" s="628"/>
      <c r="H140" s="628"/>
      <c r="I140" s="1246"/>
      <c r="J140" s="114"/>
      <c r="K140" s="114"/>
      <c r="L140" s="114"/>
      <c r="M140" s="114"/>
      <c r="N140" s="114"/>
      <c r="O140" s="114"/>
      <c r="P140" s="351"/>
      <c r="Q140" s="351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349"/>
      <c r="CV140" s="4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57"/>
      <c r="EB140" s="57"/>
      <c r="EC140" s="57"/>
      <c r="ED140" s="57"/>
    </row>
    <row r="141" spans="2:134" s="615" customFormat="1" x14ac:dyDescent="0.2">
      <c r="B141" s="57"/>
      <c r="C141" s="57"/>
      <c r="D141" s="628"/>
      <c r="E141" s="628"/>
      <c r="F141" s="628"/>
      <c r="G141" s="628"/>
      <c r="H141" s="628"/>
      <c r="I141" s="1246"/>
      <c r="J141" s="114"/>
      <c r="K141" s="114"/>
      <c r="L141" s="114"/>
      <c r="M141" s="114"/>
      <c r="N141" s="114"/>
      <c r="O141" s="114"/>
      <c r="P141" s="351"/>
      <c r="Q141" s="351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349"/>
      <c r="CV141" s="4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57"/>
      <c r="EB141" s="57"/>
      <c r="EC141" s="57"/>
      <c r="ED141" s="57"/>
    </row>
    <row r="142" spans="2:134" s="615" customFormat="1" x14ac:dyDescent="0.2">
      <c r="B142" s="57"/>
      <c r="C142" s="57"/>
      <c r="D142" s="628"/>
      <c r="E142" s="628"/>
      <c r="F142" s="628"/>
      <c r="G142" s="628"/>
      <c r="H142" s="628"/>
      <c r="I142" s="1246"/>
      <c r="J142" s="114"/>
      <c r="K142" s="114"/>
      <c r="L142" s="114"/>
      <c r="M142" s="114"/>
      <c r="N142" s="114"/>
      <c r="O142" s="114"/>
      <c r="P142" s="351"/>
      <c r="Q142" s="351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349"/>
      <c r="CV142" s="4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57"/>
      <c r="EB142" s="57"/>
      <c r="EC142" s="57"/>
      <c r="ED142" s="57"/>
    </row>
    <row r="143" spans="2:134" s="615" customFormat="1" x14ac:dyDescent="0.2">
      <c r="B143" s="57"/>
      <c r="C143" s="57"/>
      <c r="D143" s="628"/>
      <c r="E143" s="628"/>
      <c r="F143" s="628"/>
      <c r="G143" s="628"/>
      <c r="H143" s="628"/>
      <c r="I143" s="1246"/>
      <c r="J143" s="114"/>
      <c r="K143" s="114"/>
      <c r="L143" s="114"/>
      <c r="M143" s="114"/>
      <c r="N143" s="114"/>
      <c r="O143" s="114"/>
      <c r="P143" s="351"/>
      <c r="Q143" s="351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349"/>
      <c r="CV143" s="4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57"/>
      <c r="EB143" s="57"/>
      <c r="EC143" s="57"/>
      <c r="ED143" s="57"/>
    </row>
    <row r="144" spans="2:134" s="615" customFormat="1" x14ac:dyDescent="0.2">
      <c r="B144" s="57"/>
      <c r="C144" s="57"/>
      <c r="D144" s="628"/>
      <c r="E144" s="628"/>
      <c r="F144" s="628"/>
      <c r="G144" s="628"/>
      <c r="H144" s="628"/>
      <c r="I144" s="1246"/>
      <c r="J144" s="114"/>
      <c r="K144" s="114"/>
      <c r="L144" s="114"/>
      <c r="M144" s="114"/>
      <c r="N144" s="114"/>
      <c r="O144" s="114"/>
      <c r="P144" s="351"/>
      <c r="Q144" s="351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349"/>
      <c r="CV144" s="4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57"/>
      <c r="EB144" s="57"/>
      <c r="EC144" s="57"/>
      <c r="ED144" s="57"/>
    </row>
    <row r="145" spans="2:134" s="615" customFormat="1" x14ac:dyDescent="0.2">
      <c r="B145" s="57"/>
      <c r="C145" s="57"/>
      <c r="D145" s="628"/>
      <c r="E145" s="628"/>
      <c r="F145" s="628"/>
      <c r="G145" s="628"/>
      <c r="H145" s="628"/>
      <c r="I145" s="1246"/>
      <c r="J145" s="114"/>
      <c r="K145" s="114"/>
      <c r="L145" s="114"/>
      <c r="M145" s="114"/>
      <c r="N145" s="114"/>
      <c r="O145" s="114"/>
      <c r="P145" s="351"/>
      <c r="Q145" s="351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349"/>
      <c r="CV145" s="4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57"/>
      <c r="EB145" s="57"/>
      <c r="EC145" s="57"/>
      <c r="ED145" s="57"/>
    </row>
    <row r="146" spans="2:134" s="615" customFormat="1" x14ac:dyDescent="0.2">
      <c r="B146" s="57"/>
      <c r="C146" s="57"/>
      <c r="D146" s="628"/>
      <c r="E146" s="628"/>
      <c r="F146" s="628"/>
      <c r="G146" s="628"/>
      <c r="H146" s="628"/>
      <c r="I146" s="1246"/>
      <c r="J146" s="114"/>
      <c r="K146" s="114"/>
      <c r="L146" s="114"/>
      <c r="M146" s="114"/>
      <c r="N146" s="114"/>
      <c r="O146" s="114"/>
      <c r="P146" s="351"/>
      <c r="Q146" s="351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349"/>
      <c r="CV146" s="4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57"/>
      <c r="EB146" s="57"/>
      <c r="EC146" s="57"/>
      <c r="ED146" s="57"/>
    </row>
    <row r="147" spans="2:134" s="615" customFormat="1" x14ac:dyDescent="0.2">
      <c r="B147" s="57"/>
      <c r="C147" s="57"/>
      <c r="D147" s="628"/>
      <c r="E147" s="628"/>
      <c r="F147" s="628"/>
      <c r="G147" s="628"/>
      <c r="H147" s="628"/>
      <c r="I147" s="1246"/>
      <c r="J147" s="114"/>
      <c r="K147" s="114"/>
      <c r="L147" s="114"/>
      <c r="M147" s="114"/>
      <c r="N147" s="114"/>
      <c r="O147" s="114"/>
      <c r="P147" s="351"/>
      <c r="Q147" s="351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349"/>
      <c r="CV147" s="4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57"/>
      <c r="EB147" s="57"/>
      <c r="EC147" s="57"/>
      <c r="ED147" s="57"/>
    </row>
    <row r="148" spans="2:134" s="615" customFormat="1" x14ac:dyDescent="0.2">
      <c r="B148" s="57"/>
      <c r="C148" s="57"/>
      <c r="D148" s="628"/>
      <c r="E148" s="628"/>
      <c r="F148" s="628"/>
      <c r="G148" s="628"/>
      <c r="H148" s="628"/>
      <c r="I148" s="1246"/>
      <c r="J148" s="114"/>
      <c r="K148" s="114"/>
      <c r="L148" s="114"/>
      <c r="M148" s="114"/>
      <c r="N148" s="114"/>
      <c r="O148" s="114"/>
      <c r="P148" s="351"/>
      <c r="Q148" s="351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349"/>
      <c r="CV148" s="4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57"/>
      <c r="EB148" s="57"/>
      <c r="EC148" s="57"/>
      <c r="ED148" s="57"/>
    </row>
    <row r="149" spans="2:134" s="615" customFormat="1" x14ac:dyDescent="0.2">
      <c r="B149" s="57"/>
      <c r="C149" s="57"/>
      <c r="D149" s="628"/>
      <c r="E149" s="628"/>
      <c r="F149" s="628"/>
      <c r="G149" s="628"/>
      <c r="H149" s="628"/>
      <c r="I149" s="1246"/>
      <c r="J149" s="114"/>
      <c r="K149" s="114"/>
      <c r="L149" s="114"/>
      <c r="M149" s="114"/>
      <c r="N149" s="114"/>
      <c r="O149" s="114"/>
      <c r="P149" s="351"/>
      <c r="Q149" s="351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349"/>
      <c r="CV149" s="4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57"/>
      <c r="EB149" s="57"/>
      <c r="EC149" s="57"/>
      <c r="ED149" s="57"/>
    </row>
    <row r="150" spans="2:134" s="615" customFormat="1" x14ac:dyDescent="0.2">
      <c r="B150" s="57"/>
      <c r="C150" s="57"/>
      <c r="D150" s="628"/>
      <c r="E150" s="628"/>
      <c r="F150" s="628"/>
      <c r="G150" s="628"/>
      <c r="H150" s="628"/>
      <c r="I150" s="1246"/>
      <c r="J150" s="114"/>
      <c r="K150" s="114"/>
      <c r="L150" s="114"/>
      <c r="M150" s="114"/>
      <c r="N150" s="114"/>
      <c r="O150" s="114"/>
      <c r="P150" s="351"/>
      <c r="Q150" s="351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349"/>
      <c r="CV150" s="4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57"/>
      <c r="EB150" s="57"/>
      <c r="EC150" s="57"/>
      <c r="ED150" s="57"/>
    </row>
    <row r="151" spans="2:134" s="615" customFormat="1" x14ac:dyDescent="0.2">
      <c r="B151" s="57"/>
      <c r="C151" s="57"/>
      <c r="D151" s="628"/>
      <c r="E151" s="628"/>
      <c r="F151" s="628"/>
      <c r="G151" s="628"/>
      <c r="H151" s="628"/>
      <c r="I151" s="1246"/>
      <c r="J151" s="114"/>
      <c r="K151" s="114"/>
      <c r="L151" s="114"/>
      <c r="M151" s="114"/>
      <c r="N151" s="114"/>
      <c r="O151" s="114"/>
      <c r="P151" s="351"/>
      <c r="Q151" s="351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349"/>
      <c r="CV151" s="4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57"/>
      <c r="EB151" s="57"/>
      <c r="EC151" s="57"/>
      <c r="ED151" s="57"/>
    </row>
    <row r="152" spans="2:134" s="615" customFormat="1" x14ac:dyDescent="0.2">
      <c r="B152" s="57"/>
      <c r="C152" s="57"/>
      <c r="D152" s="628"/>
      <c r="E152" s="628"/>
      <c r="F152" s="628"/>
      <c r="G152" s="628"/>
      <c r="H152" s="628"/>
      <c r="I152" s="1246"/>
      <c r="J152" s="114"/>
      <c r="K152" s="114"/>
      <c r="L152" s="114"/>
      <c r="M152" s="114"/>
      <c r="N152" s="114"/>
      <c r="O152" s="114"/>
      <c r="P152" s="351"/>
      <c r="Q152" s="351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349"/>
      <c r="CV152" s="4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57"/>
      <c r="EB152" s="57"/>
      <c r="EC152" s="57"/>
      <c r="ED152" s="57"/>
    </row>
    <row r="153" spans="2:134" s="615" customFormat="1" x14ac:dyDescent="0.2">
      <c r="B153" s="57"/>
      <c r="C153" s="57"/>
      <c r="D153" s="628"/>
      <c r="E153" s="628"/>
      <c r="F153" s="628"/>
      <c r="G153" s="628"/>
      <c r="H153" s="628"/>
      <c r="I153" s="1246"/>
      <c r="J153" s="114"/>
      <c r="K153" s="114"/>
      <c r="L153" s="114"/>
      <c r="M153" s="114"/>
      <c r="N153" s="114"/>
      <c r="O153" s="114"/>
      <c r="P153" s="351"/>
      <c r="Q153" s="351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349"/>
      <c r="CV153" s="4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57"/>
      <c r="EB153" s="57"/>
      <c r="EC153" s="57"/>
      <c r="ED153" s="57"/>
    </row>
    <row r="154" spans="2:134" s="615" customFormat="1" x14ac:dyDescent="0.2">
      <c r="B154" s="57"/>
      <c r="C154" s="57"/>
      <c r="D154" s="628"/>
      <c r="E154" s="628"/>
      <c r="F154" s="628"/>
      <c r="G154" s="628"/>
      <c r="H154" s="628"/>
      <c r="I154" s="1246"/>
      <c r="J154" s="114"/>
      <c r="K154" s="114"/>
      <c r="L154" s="114"/>
      <c r="M154" s="114"/>
      <c r="N154" s="114"/>
      <c r="O154" s="114"/>
      <c r="P154" s="351"/>
      <c r="Q154" s="351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349"/>
      <c r="CV154" s="4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57"/>
      <c r="EB154" s="57"/>
      <c r="EC154" s="57"/>
      <c r="ED154" s="57"/>
    </row>
    <row r="155" spans="2:134" s="615" customFormat="1" x14ac:dyDescent="0.2">
      <c r="B155" s="57"/>
      <c r="C155" s="57"/>
      <c r="D155" s="628"/>
      <c r="E155" s="628"/>
      <c r="F155" s="628"/>
      <c r="G155" s="628"/>
      <c r="H155" s="628"/>
      <c r="I155" s="1246"/>
      <c r="J155" s="114"/>
      <c r="K155" s="114"/>
      <c r="L155" s="114"/>
      <c r="M155" s="114"/>
      <c r="N155" s="114"/>
      <c r="O155" s="114"/>
      <c r="P155" s="351"/>
      <c r="Q155" s="351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349"/>
      <c r="CV155" s="4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57"/>
      <c r="EB155" s="57"/>
      <c r="EC155" s="57"/>
      <c r="ED155" s="57"/>
    </row>
    <row r="156" spans="2:134" s="615" customFormat="1" x14ac:dyDescent="0.2">
      <c r="B156" s="57"/>
      <c r="C156" s="57"/>
      <c r="D156" s="628"/>
      <c r="E156" s="628"/>
      <c r="F156" s="628"/>
      <c r="G156" s="628"/>
      <c r="H156" s="628"/>
      <c r="I156" s="1246"/>
      <c r="J156" s="114"/>
      <c r="K156" s="114"/>
      <c r="L156" s="114"/>
      <c r="M156" s="114"/>
      <c r="N156" s="114"/>
      <c r="O156" s="114"/>
      <c r="P156" s="351"/>
      <c r="Q156" s="351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349"/>
      <c r="CV156" s="4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57"/>
      <c r="EB156" s="57"/>
      <c r="EC156" s="57"/>
      <c r="ED156" s="57"/>
    </row>
    <row r="157" spans="2:134" s="615" customFormat="1" x14ac:dyDescent="0.2">
      <c r="B157" s="57"/>
      <c r="C157" s="57"/>
      <c r="D157" s="628"/>
      <c r="E157" s="628"/>
      <c r="F157" s="628"/>
      <c r="G157" s="628"/>
      <c r="H157" s="628"/>
      <c r="I157" s="1246"/>
      <c r="J157" s="114"/>
      <c r="K157" s="114"/>
      <c r="L157" s="114"/>
      <c r="M157" s="114"/>
      <c r="N157" s="114"/>
      <c r="O157" s="114"/>
      <c r="P157" s="351"/>
      <c r="Q157" s="351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349"/>
      <c r="CV157" s="4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57"/>
      <c r="EB157" s="57"/>
      <c r="EC157" s="57"/>
      <c r="ED157" s="57"/>
    </row>
    <row r="158" spans="2:134" s="615" customFormat="1" x14ac:dyDescent="0.2">
      <c r="B158" s="57"/>
      <c r="C158" s="57"/>
      <c r="D158" s="628"/>
      <c r="E158" s="628"/>
      <c r="F158" s="628"/>
      <c r="G158" s="628"/>
      <c r="H158" s="628"/>
      <c r="I158" s="1246"/>
      <c r="J158" s="114"/>
      <c r="K158" s="114"/>
      <c r="L158" s="114"/>
      <c r="M158" s="114"/>
      <c r="N158" s="114"/>
      <c r="O158" s="114"/>
      <c r="P158" s="351"/>
      <c r="Q158" s="351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349"/>
      <c r="CV158" s="4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57"/>
      <c r="EB158" s="57"/>
      <c r="EC158" s="57"/>
      <c r="ED158" s="57"/>
    </row>
    <row r="159" spans="2:134" s="615" customFormat="1" x14ac:dyDescent="0.2">
      <c r="B159" s="57"/>
      <c r="C159" s="57"/>
      <c r="D159" s="628"/>
      <c r="E159" s="628"/>
      <c r="F159" s="628"/>
      <c r="G159" s="628"/>
      <c r="H159" s="628"/>
      <c r="I159" s="1246"/>
      <c r="J159" s="114"/>
      <c r="K159" s="114"/>
      <c r="L159" s="114"/>
      <c r="M159" s="114"/>
      <c r="N159" s="114"/>
      <c r="O159" s="114"/>
      <c r="P159" s="351"/>
      <c r="Q159" s="351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349"/>
      <c r="CV159" s="4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57"/>
      <c r="EB159" s="57"/>
      <c r="EC159" s="57"/>
      <c r="ED159" s="57"/>
    </row>
    <row r="160" spans="2:134" s="615" customFormat="1" x14ac:dyDescent="0.2">
      <c r="B160" s="57"/>
      <c r="C160" s="57"/>
      <c r="D160" s="628"/>
      <c r="E160" s="628"/>
      <c r="F160" s="628"/>
      <c r="G160" s="628"/>
      <c r="H160" s="628"/>
      <c r="I160" s="1246"/>
      <c r="J160" s="114"/>
      <c r="K160" s="114"/>
      <c r="L160" s="114"/>
      <c r="M160" s="114"/>
      <c r="N160" s="114"/>
      <c r="O160" s="114"/>
      <c r="P160" s="351"/>
      <c r="Q160" s="351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349"/>
      <c r="CV160" s="4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57"/>
      <c r="EB160" s="57"/>
      <c r="EC160" s="57"/>
      <c r="ED160" s="57"/>
    </row>
    <row r="161" spans="2:134" s="615" customFormat="1" x14ac:dyDescent="0.2">
      <c r="B161" s="57"/>
      <c r="C161" s="57"/>
      <c r="D161" s="628"/>
      <c r="E161" s="628"/>
      <c r="F161" s="628"/>
      <c r="G161" s="628"/>
      <c r="H161" s="628"/>
      <c r="I161" s="1246"/>
      <c r="J161" s="114"/>
      <c r="K161" s="114"/>
      <c r="L161" s="114"/>
      <c r="M161" s="114"/>
      <c r="N161" s="114"/>
      <c r="O161" s="114"/>
      <c r="P161" s="351"/>
      <c r="Q161" s="351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349"/>
      <c r="CV161" s="4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57"/>
      <c r="EB161" s="57"/>
      <c r="EC161" s="57"/>
      <c r="ED161" s="57"/>
    </row>
    <row r="162" spans="2:134" s="615" customFormat="1" x14ac:dyDescent="0.2">
      <c r="B162" s="57"/>
      <c r="C162" s="57"/>
      <c r="D162" s="628"/>
      <c r="E162" s="628"/>
      <c r="F162" s="628"/>
      <c r="G162" s="628"/>
      <c r="H162" s="628"/>
      <c r="I162" s="1246"/>
      <c r="J162" s="114"/>
      <c r="K162" s="114"/>
      <c r="L162" s="114"/>
      <c r="M162" s="114"/>
      <c r="N162" s="114"/>
      <c r="O162" s="114"/>
      <c r="P162" s="351"/>
      <c r="Q162" s="351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349"/>
      <c r="CV162" s="4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57"/>
      <c r="EB162" s="57"/>
      <c r="EC162" s="57"/>
      <c r="ED162" s="57"/>
    </row>
    <row r="163" spans="2:134" s="615" customFormat="1" x14ac:dyDescent="0.2">
      <c r="B163" s="57"/>
      <c r="C163" s="57"/>
      <c r="D163" s="628"/>
      <c r="E163" s="628"/>
      <c r="F163" s="628"/>
      <c r="G163" s="628"/>
      <c r="H163" s="628"/>
      <c r="I163" s="1246"/>
      <c r="J163" s="114"/>
      <c r="K163" s="114"/>
      <c r="L163" s="114"/>
      <c r="M163" s="114"/>
      <c r="N163" s="114"/>
      <c r="O163" s="114"/>
      <c r="P163" s="351"/>
      <c r="Q163" s="351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349"/>
      <c r="CV163" s="4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57"/>
      <c r="EB163" s="57"/>
      <c r="EC163" s="57"/>
      <c r="ED163" s="57"/>
    </row>
    <row r="164" spans="2:134" s="615" customFormat="1" x14ac:dyDescent="0.2">
      <c r="B164" s="57"/>
      <c r="C164" s="57"/>
      <c r="D164" s="628"/>
      <c r="E164" s="628"/>
      <c r="F164" s="628"/>
      <c r="G164" s="628"/>
      <c r="H164" s="628"/>
      <c r="I164" s="1246"/>
      <c r="J164" s="114"/>
      <c r="K164" s="114"/>
      <c r="L164" s="114"/>
      <c r="M164" s="114"/>
      <c r="N164" s="114"/>
      <c r="O164" s="114"/>
      <c r="P164" s="351"/>
      <c r="Q164" s="351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349"/>
      <c r="CV164" s="4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57"/>
      <c r="EB164" s="57"/>
      <c r="EC164" s="57"/>
      <c r="ED164" s="57"/>
    </row>
    <row r="165" spans="2:134" s="615" customFormat="1" x14ac:dyDescent="0.2">
      <c r="B165" s="57"/>
      <c r="C165" s="57"/>
      <c r="D165" s="628"/>
      <c r="E165" s="628"/>
      <c r="F165" s="628"/>
      <c r="G165" s="628"/>
      <c r="H165" s="628"/>
      <c r="I165" s="1246"/>
      <c r="J165" s="114"/>
      <c r="K165" s="114"/>
      <c r="L165" s="114"/>
      <c r="M165" s="114"/>
      <c r="N165" s="114"/>
      <c r="O165" s="114"/>
      <c r="P165" s="351"/>
      <c r="Q165" s="351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349"/>
      <c r="CV165" s="4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57"/>
      <c r="EB165" s="57"/>
      <c r="EC165" s="57"/>
      <c r="ED165" s="57"/>
    </row>
    <row r="166" spans="2:134" s="615" customFormat="1" x14ac:dyDescent="0.2">
      <c r="B166" s="57"/>
      <c r="C166" s="57"/>
      <c r="D166" s="628"/>
      <c r="E166" s="628"/>
      <c r="F166" s="628"/>
      <c r="G166" s="628"/>
      <c r="H166" s="628"/>
      <c r="I166" s="1246"/>
      <c r="J166" s="114"/>
      <c r="K166" s="114"/>
      <c r="L166" s="114"/>
      <c r="M166" s="114"/>
      <c r="N166" s="114"/>
      <c r="O166" s="114"/>
      <c r="P166" s="351"/>
      <c r="Q166" s="351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349"/>
      <c r="CV166" s="4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57"/>
      <c r="EB166" s="57"/>
      <c r="EC166" s="57"/>
      <c r="ED166" s="57"/>
    </row>
    <row r="167" spans="2:134" s="615" customFormat="1" x14ac:dyDescent="0.2">
      <c r="B167" s="57"/>
      <c r="C167" s="57"/>
      <c r="D167" s="628"/>
      <c r="E167" s="628"/>
      <c r="F167" s="628"/>
      <c r="G167" s="628"/>
      <c r="H167" s="628"/>
      <c r="I167" s="1246"/>
      <c r="J167" s="114"/>
      <c r="K167" s="114"/>
      <c r="L167" s="114"/>
      <c r="M167" s="114"/>
      <c r="N167" s="114"/>
      <c r="O167" s="114"/>
      <c r="P167" s="351"/>
      <c r="Q167" s="351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349"/>
      <c r="CV167" s="4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57"/>
      <c r="EB167" s="57"/>
      <c r="EC167" s="57"/>
      <c r="ED167" s="57"/>
    </row>
    <row r="168" spans="2:134" s="615" customFormat="1" x14ac:dyDescent="0.2">
      <c r="B168" s="57"/>
      <c r="C168" s="57"/>
      <c r="D168" s="628"/>
      <c r="E168" s="628"/>
      <c r="F168" s="628"/>
      <c r="G168" s="628"/>
      <c r="H168" s="628"/>
      <c r="I168" s="1246"/>
      <c r="J168" s="114"/>
      <c r="K168" s="114"/>
      <c r="L168" s="114"/>
      <c r="M168" s="114"/>
      <c r="N168" s="114"/>
      <c r="O168" s="114"/>
      <c r="P168" s="351"/>
      <c r="Q168" s="351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349"/>
      <c r="CV168" s="4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57"/>
      <c r="EB168" s="57"/>
      <c r="EC168" s="57"/>
      <c r="ED168" s="57"/>
    </row>
    <row r="169" spans="2:134" s="615" customFormat="1" x14ac:dyDescent="0.2">
      <c r="B169" s="57"/>
      <c r="C169" s="57"/>
      <c r="D169" s="628"/>
      <c r="E169" s="628"/>
      <c r="F169" s="628"/>
      <c r="G169" s="628"/>
      <c r="H169" s="628"/>
      <c r="I169" s="1246"/>
      <c r="J169" s="114"/>
      <c r="K169" s="114"/>
      <c r="L169" s="114"/>
      <c r="M169" s="114"/>
      <c r="N169" s="114"/>
      <c r="O169" s="114"/>
      <c r="P169" s="351"/>
      <c r="Q169" s="351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349"/>
      <c r="CV169" s="4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57"/>
      <c r="EB169" s="57"/>
      <c r="EC169" s="57"/>
      <c r="ED169" s="57"/>
    </row>
    <row r="170" spans="2:134" s="615" customFormat="1" x14ac:dyDescent="0.2">
      <c r="B170" s="57"/>
      <c r="C170" s="57"/>
      <c r="D170" s="628"/>
      <c r="E170" s="628"/>
      <c r="F170" s="628"/>
      <c r="G170" s="628"/>
      <c r="H170" s="628"/>
      <c r="I170" s="1246"/>
      <c r="J170" s="114"/>
      <c r="K170" s="114"/>
      <c r="L170" s="114"/>
      <c r="M170" s="114"/>
      <c r="N170" s="114"/>
      <c r="O170" s="114"/>
      <c r="P170" s="351"/>
      <c r="Q170" s="351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349"/>
      <c r="CV170" s="4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57"/>
      <c r="EB170" s="57"/>
      <c r="EC170" s="57"/>
      <c r="ED170" s="57"/>
    </row>
    <row r="171" spans="2:134" s="615" customFormat="1" x14ac:dyDescent="0.2">
      <c r="B171" s="57"/>
      <c r="C171" s="57"/>
      <c r="D171" s="628"/>
      <c r="E171" s="628"/>
      <c r="F171" s="628"/>
      <c r="G171" s="628"/>
      <c r="H171" s="628"/>
      <c r="I171" s="1246"/>
      <c r="J171" s="114"/>
      <c r="K171" s="114"/>
      <c r="L171" s="114"/>
      <c r="M171" s="114"/>
      <c r="N171" s="114"/>
      <c r="O171" s="114"/>
      <c r="P171" s="351"/>
      <c r="Q171" s="351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349"/>
      <c r="CV171" s="4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57"/>
      <c r="EB171" s="57"/>
      <c r="EC171" s="57"/>
      <c r="ED171" s="57"/>
    </row>
    <row r="172" spans="2:134" s="615" customFormat="1" x14ac:dyDescent="0.2">
      <c r="B172" s="57"/>
      <c r="C172" s="57"/>
      <c r="D172" s="628"/>
      <c r="E172" s="628"/>
      <c r="F172" s="628"/>
      <c r="G172" s="628"/>
      <c r="H172" s="628"/>
      <c r="I172" s="1246"/>
      <c r="J172" s="114"/>
      <c r="K172" s="114"/>
      <c r="L172" s="114"/>
      <c r="M172" s="114"/>
      <c r="N172" s="114"/>
      <c r="O172" s="114"/>
      <c r="P172" s="351"/>
      <c r="Q172" s="351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349"/>
      <c r="CV172" s="4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57"/>
      <c r="EB172" s="57"/>
      <c r="EC172" s="57"/>
      <c r="ED172" s="57"/>
    </row>
    <row r="173" spans="2:134" s="615" customFormat="1" x14ac:dyDescent="0.2">
      <c r="B173" s="57"/>
      <c r="C173" s="57"/>
      <c r="D173" s="628"/>
      <c r="E173" s="628"/>
      <c r="F173" s="628"/>
      <c r="G173" s="628"/>
      <c r="H173" s="628"/>
      <c r="I173" s="1246"/>
      <c r="J173" s="114"/>
      <c r="K173" s="114"/>
      <c r="L173" s="114"/>
      <c r="M173" s="114"/>
      <c r="N173" s="114"/>
      <c r="O173" s="114"/>
      <c r="P173" s="351"/>
      <c r="Q173" s="351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349"/>
      <c r="CV173" s="4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57"/>
      <c r="EB173" s="57"/>
      <c r="EC173" s="57"/>
      <c r="ED173" s="57"/>
    </row>
    <row r="174" spans="2:134" s="615" customFormat="1" x14ac:dyDescent="0.2">
      <c r="B174" s="57"/>
      <c r="C174" s="57"/>
      <c r="D174" s="628"/>
      <c r="E174" s="628"/>
      <c r="F174" s="628"/>
      <c r="G174" s="628"/>
      <c r="H174" s="628"/>
      <c r="I174" s="1246"/>
      <c r="J174" s="114"/>
      <c r="K174" s="114"/>
      <c r="L174" s="114"/>
      <c r="M174" s="114"/>
      <c r="N174" s="114"/>
      <c r="O174" s="114"/>
      <c r="P174" s="351"/>
      <c r="Q174" s="351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349"/>
      <c r="CV174" s="4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57"/>
      <c r="EB174" s="57"/>
      <c r="EC174" s="57"/>
      <c r="ED174" s="57"/>
    </row>
    <row r="175" spans="2:134" s="615" customFormat="1" x14ac:dyDescent="0.2">
      <c r="B175" s="57"/>
      <c r="C175" s="57"/>
      <c r="D175" s="628"/>
      <c r="E175" s="628"/>
      <c r="F175" s="628"/>
      <c r="G175" s="628"/>
      <c r="H175" s="628"/>
      <c r="I175" s="1246"/>
      <c r="J175" s="114"/>
      <c r="K175" s="114"/>
      <c r="L175" s="114"/>
      <c r="M175" s="114"/>
      <c r="N175" s="114"/>
      <c r="O175" s="114"/>
      <c r="P175" s="351"/>
      <c r="Q175" s="351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349"/>
      <c r="CV175" s="4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57"/>
      <c r="EB175" s="57"/>
      <c r="EC175" s="57"/>
      <c r="ED175" s="57"/>
    </row>
    <row r="176" spans="2:134" s="615" customFormat="1" x14ac:dyDescent="0.2">
      <c r="B176" s="57"/>
      <c r="C176" s="57"/>
      <c r="D176" s="628"/>
      <c r="E176" s="628"/>
      <c r="F176" s="628"/>
      <c r="G176" s="628"/>
      <c r="H176" s="628"/>
      <c r="I176" s="1246"/>
      <c r="J176" s="114"/>
      <c r="K176" s="114"/>
      <c r="L176" s="114"/>
      <c r="M176" s="114"/>
      <c r="N176" s="114"/>
      <c r="O176" s="114"/>
      <c r="P176" s="351"/>
      <c r="Q176" s="351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349"/>
      <c r="CV176" s="4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57"/>
      <c r="EB176" s="57"/>
      <c r="EC176" s="57"/>
      <c r="ED176" s="57"/>
    </row>
    <row r="177" spans="2:134" s="615" customFormat="1" x14ac:dyDescent="0.2">
      <c r="B177" s="57"/>
      <c r="C177" s="57"/>
      <c r="D177" s="628"/>
      <c r="E177" s="628"/>
      <c r="F177" s="628"/>
      <c r="G177" s="628"/>
      <c r="H177" s="628"/>
      <c r="I177" s="1246"/>
      <c r="J177" s="114"/>
      <c r="K177" s="114"/>
      <c r="L177" s="114"/>
      <c r="M177" s="114"/>
      <c r="N177" s="114"/>
      <c r="O177" s="114"/>
      <c r="P177" s="351"/>
      <c r="Q177" s="351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349"/>
      <c r="CV177" s="4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57"/>
      <c r="EB177" s="57"/>
      <c r="EC177" s="57"/>
      <c r="ED177" s="57"/>
    </row>
    <row r="178" spans="2:134" s="615" customFormat="1" x14ac:dyDescent="0.2">
      <c r="B178" s="57"/>
      <c r="C178" s="57"/>
      <c r="D178" s="628"/>
      <c r="E178" s="628"/>
      <c r="F178" s="628"/>
      <c r="G178" s="628"/>
      <c r="H178" s="628"/>
      <c r="I178" s="1246"/>
      <c r="J178" s="114"/>
      <c r="K178" s="114"/>
      <c r="L178" s="114"/>
      <c r="M178" s="114"/>
      <c r="N178" s="114"/>
      <c r="O178" s="114"/>
      <c r="P178" s="351"/>
      <c r="Q178" s="351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349"/>
      <c r="CV178" s="4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57"/>
      <c r="EB178" s="57"/>
      <c r="EC178" s="57"/>
      <c r="ED178" s="57"/>
    </row>
    <row r="179" spans="2:134" s="615" customFormat="1" x14ac:dyDescent="0.2">
      <c r="B179" s="57"/>
      <c r="C179" s="57"/>
      <c r="D179" s="628"/>
      <c r="E179" s="628"/>
      <c r="F179" s="628"/>
      <c r="G179" s="628"/>
      <c r="H179" s="628"/>
      <c r="I179" s="1246"/>
      <c r="J179" s="114"/>
      <c r="K179" s="114"/>
      <c r="L179" s="114"/>
      <c r="M179" s="114"/>
      <c r="N179" s="114"/>
      <c r="O179" s="114"/>
      <c r="P179" s="351"/>
      <c r="Q179" s="351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349"/>
      <c r="CV179" s="4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57"/>
      <c r="EB179" s="57"/>
      <c r="EC179" s="57"/>
      <c r="ED179" s="57"/>
    </row>
    <row r="180" spans="2:134" s="615" customFormat="1" x14ac:dyDescent="0.2">
      <c r="B180" s="57"/>
      <c r="C180" s="57"/>
      <c r="D180" s="628"/>
      <c r="E180" s="628"/>
      <c r="F180" s="628"/>
      <c r="G180" s="628"/>
      <c r="H180" s="628"/>
      <c r="I180" s="1246"/>
      <c r="J180" s="114"/>
      <c r="K180" s="114"/>
      <c r="L180" s="114"/>
      <c r="M180" s="114"/>
      <c r="N180" s="114"/>
      <c r="O180" s="114"/>
      <c r="P180" s="351"/>
      <c r="Q180" s="351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349"/>
      <c r="CV180" s="4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57"/>
      <c r="EB180" s="57"/>
      <c r="EC180" s="57"/>
      <c r="ED180" s="57"/>
    </row>
    <row r="181" spans="2:134" s="615" customFormat="1" x14ac:dyDescent="0.2">
      <c r="B181" s="57"/>
      <c r="C181" s="57"/>
      <c r="D181" s="628"/>
      <c r="E181" s="628"/>
      <c r="F181" s="628"/>
      <c r="G181" s="628"/>
      <c r="H181" s="628"/>
      <c r="I181" s="1246"/>
      <c r="J181" s="114"/>
      <c r="K181" s="114"/>
      <c r="L181" s="114"/>
      <c r="M181" s="114"/>
      <c r="N181" s="114"/>
      <c r="O181" s="114"/>
      <c r="P181" s="351"/>
      <c r="Q181" s="351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349"/>
      <c r="CV181" s="4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57"/>
      <c r="EB181" s="57"/>
      <c r="EC181" s="57"/>
      <c r="ED181" s="57"/>
    </row>
    <row r="182" spans="2:134" s="615" customFormat="1" x14ac:dyDescent="0.2">
      <c r="B182" s="57"/>
      <c r="C182" s="57"/>
      <c r="D182" s="628"/>
      <c r="E182" s="628"/>
      <c r="F182" s="628"/>
      <c r="G182" s="628"/>
      <c r="H182" s="628"/>
      <c r="I182" s="1246"/>
      <c r="J182" s="114"/>
      <c r="K182" s="114"/>
      <c r="L182" s="114"/>
      <c r="M182" s="114"/>
      <c r="N182" s="114"/>
      <c r="O182" s="114"/>
      <c r="P182" s="351"/>
      <c r="Q182" s="351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349"/>
      <c r="CV182" s="4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57"/>
      <c r="EB182" s="57"/>
      <c r="EC182" s="57"/>
      <c r="ED182" s="57"/>
    </row>
    <row r="183" spans="2:134" s="615" customFormat="1" x14ac:dyDescent="0.2">
      <c r="B183" s="57"/>
      <c r="C183" s="57"/>
      <c r="D183" s="628"/>
      <c r="E183" s="628"/>
      <c r="F183" s="628"/>
      <c r="G183" s="628"/>
      <c r="H183" s="628"/>
      <c r="I183" s="1246"/>
      <c r="J183" s="114"/>
      <c r="K183" s="114"/>
      <c r="L183" s="114"/>
      <c r="M183" s="114"/>
      <c r="N183" s="114"/>
      <c r="O183" s="114"/>
      <c r="P183" s="351"/>
      <c r="Q183" s="351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349"/>
      <c r="CV183" s="4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57"/>
      <c r="EB183" s="57"/>
      <c r="EC183" s="57"/>
      <c r="ED183" s="57"/>
    </row>
    <row r="184" spans="2:134" s="615" customFormat="1" x14ac:dyDescent="0.2">
      <c r="B184" s="57"/>
      <c r="C184" s="57"/>
      <c r="D184" s="628"/>
      <c r="E184" s="628"/>
      <c r="F184" s="628"/>
      <c r="G184" s="628"/>
      <c r="H184" s="628"/>
      <c r="I184" s="1246"/>
      <c r="J184" s="114"/>
      <c r="K184" s="114"/>
      <c r="L184" s="114"/>
      <c r="M184" s="114"/>
      <c r="N184" s="114"/>
      <c r="O184" s="114"/>
      <c r="P184" s="351"/>
      <c r="Q184" s="351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349"/>
      <c r="CV184" s="4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57"/>
      <c r="EB184" s="57"/>
      <c r="EC184" s="57"/>
      <c r="ED184" s="57"/>
    </row>
    <row r="185" spans="2:134" s="615" customFormat="1" x14ac:dyDescent="0.2">
      <c r="B185" s="57"/>
      <c r="C185" s="57"/>
      <c r="D185" s="628"/>
      <c r="E185" s="628"/>
      <c r="F185" s="628"/>
      <c r="G185" s="628"/>
      <c r="H185" s="628"/>
      <c r="I185" s="1246"/>
      <c r="J185" s="114"/>
      <c r="K185" s="114"/>
      <c r="L185" s="114"/>
      <c r="M185" s="114"/>
      <c r="N185" s="114"/>
      <c r="O185" s="114"/>
      <c r="P185" s="351"/>
      <c r="Q185" s="351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349"/>
      <c r="CV185" s="4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57"/>
      <c r="EB185" s="57"/>
      <c r="EC185" s="57"/>
      <c r="ED185" s="57"/>
    </row>
    <row r="186" spans="2:134" s="615" customFormat="1" x14ac:dyDescent="0.2">
      <c r="B186" s="57"/>
      <c r="C186" s="57"/>
      <c r="D186" s="628"/>
      <c r="E186" s="628"/>
      <c r="F186" s="628"/>
      <c r="G186" s="628"/>
      <c r="H186" s="628"/>
      <c r="I186" s="1246"/>
      <c r="J186" s="114"/>
      <c r="K186" s="114"/>
      <c r="L186" s="114"/>
      <c r="M186" s="114"/>
      <c r="N186" s="114"/>
      <c r="O186" s="114"/>
      <c r="P186" s="351"/>
      <c r="Q186" s="351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349"/>
      <c r="CV186" s="4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57"/>
      <c r="EB186" s="57"/>
      <c r="EC186" s="57"/>
      <c r="ED186" s="57"/>
    </row>
    <row r="187" spans="2:134" s="615" customFormat="1" x14ac:dyDescent="0.2">
      <c r="B187" s="57"/>
      <c r="C187" s="57"/>
      <c r="D187" s="628"/>
      <c r="E187" s="628"/>
      <c r="F187" s="628"/>
      <c r="G187" s="628"/>
      <c r="H187" s="628"/>
      <c r="I187" s="1246"/>
      <c r="J187" s="114"/>
      <c r="K187" s="114"/>
      <c r="L187" s="114"/>
      <c r="M187" s="114"/>
      <c r="N187" s="114"/>
      <c r="O187" s="114"/>
      <c r="P187" s="351"/>
      <c r="Q187" s="351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349"/>
      <c r="CV187" s="4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57"/>
      <c r="EB187" s="57"/>
      <c r="EC187" s="57"/>
      <c r="ED187" s="57"/>
    </row>
    <row r="188" spans="2:134" s="615" customFormat="1" x14ac:dyDescent="0.2">
      <c r="B188" s="57"/>
      <c r="C188" s="57"/>
      <c r="D188" s="628"/>
      <c r="E188" s="628"/>
      <c r="F188" s="628"/>
      <c r="G188" s="628"/>
      <c r="H188" s="628"/>
      <c r="I188" s="1246"/>
      <c r="J188" s="114"/>
      <c r="K188" s="114"/>
      <c r="L188" s="114"/>
      <c r="M188" s="114"/>
      <c r="N188" s="114"/>
      <c r="O188" s="114"/>
      <c r="P188" s="351"/>
      <c r="Q188" s="351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349"/>
      <c r="CV188" s="4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57"/>
      <c r="EB188" s="57"/>
      <c r="EC188" s="57"/>
      <c r="ED188" s="57"/>
    </row>
    <row r="189" spans="2:134" s="615" customFormat="1" x14ac:dyDescent="0.2">
      <c r="B189" s="57"/>
      <c r="C189" s="57"/>
      <c r="D189" s="628"/>
      <c r="E189" s="628"/>
      <c r="F189" s="628"/>
      <c r="G189" s="628"/>
      <c r="H189" s="628"/>
      <c r="I189" s="1246"/>
      <c r="J189" s="114"/>
      <c r="K189" s="114"/>
      <c r="L189" s="114"/>
      <c r="M189" s="114"/>
      <c r="N189" s="114"/>
      <c r="O189" s="114"/>
      <c r="P189" s="351"/>
      <c r="Q189" s="351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349"/>
      <c r="CV189" s="4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57"/>
      <c r="EB189" s="57"/>
      <c r="EC189" s="57"/>
      <c r="ED189" s="57"/>
    </row>
    <row r="190" spans="2:134" s="615" customFormat="1" x14ac:dyDescent="0.2">
      <c r="B190" s="57"/>
      <c r="C190" s="57"/>
      <c r="D190" s="628"/>
      <c r="E190" s="628"/>
      <c r="F190" s="628"/>
      <c r="G190" s="628"/>
      <c r="H190" s="628"/>
      <c r="I190" s="1246"/>
      <c r="J190" s="114"/>
      <c r="K190" s="114"/>
      <c r="L190" s="114"/>
      <c r="M190" s="114"/>
      <c r="N190" s="114"/>
      <c r="O190" s="114"/>
      <c r="P190" s="351"/>
      <c r="Q190" s="351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349"/>
      <c r="CV190" s="4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57"/>
      <c r="EB190" s="57"/>
      <c r="EC190" s="57"/>
      <c r="ED190" s="57"/>
    </row>
    <row r="191" spans="2:134" s="615" customFormat="1" x14ac:dyDescent="0.2">
      <c r="B191" s="57"/>
      <c r="C191" s="57"/>
      <c r="D191" s="628"/>
      <c r="E191" s="628"/>
      <c r="F191" s="628"/>
      <c r="G191" s="628"/>
      <c r="H191" s="628"/>
      <c r="I191" s="1246"/>
      <c r="J191" s="114"/>
      <c r="K191" s="114"/>
      <c r="L191" s="114"/>
      <c r="M191" s="114"/>
      <c r="N191" s="114"/>
      <c r="O191" s="114"/>
      <c r="P191" s="351"/>
      <c r="Q191" s="351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349"/>
      <c r="CV191" s="4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57"/>
      <c r="EB191" s="57"/>
      <c r="EC191" s="57"/>
      <c r="ED191" s="57"/>
    </row>
    <row r="192" spans="2:134" s="615" customFormat="1" x14ac:dyDescent="0.2">
      <c r="B192" s="57"/>
      <c r="C192" s="57"/>
      <c r="D192" s="628"/>
      <c r="E192" s="628"/>
      <c r="F192" s="628"/>
      <c r="G192" s="628"/>
      <c r="H192" s="628"/>
      <c r="I192" s="1246"/>
      <c r="J192" s="114"/>
      <c r="K192" s="114"/>
      <c r="L192" s="114"/>
      <c r="M192" s="114"/>
      <c r="N192" s="114"/>
      <c r="O192" s="114"/>
      <c r="P192" s="351"/>
      <c r="Q192" s="351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349"/>
      <c r="CV192" s="4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57"/>
      <c r="EB192" s="57"/>
      <c r="EC192" s="57"/>
      <c r="ED192" s="57"/>
    </row>
    <row r="193" spans="2:134" s="615" customFormat="1" x14ac:dyDescent="0.2">
      <c r="B193" s="57"/>
      <c r="C193" s="57"/>
      <c r="D193" s="628"/>
      <c r="E193" s="628"/>
      <c r="F193" s="628"/>
      <c r="G193" s="628"/>
      <c r="H193" s="628"/>
      <c r="I193" s="1246"/>
      <c r="J193" s="114"/>
      <c r="K193" s="114"/>
      <c r="L193" s="114"/>
      <c r="M193" s="114"/>
      <c r="N193" s="114"/>
      <c r="O193" s="114"/>
      <c r="P193" s="351"/>
      <c r="Q193" s="351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349"/>
      <c r="CV193" s="4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57"/>
      <c r="EB193" s="57"/>
      <c r="EC193" s="57"/>
      <c r="ED193" s="57"/>
    </row>
    <row r="194" spans="2:134" s="615" customFormat="1" x14ac:dyDescent="0.2">
      <c r="B194" s="57"/>
      <c r="C194" s="57"/>
      <c r="D194" s="628"/>
      <c r="E194" s="628"/>
      <c r="F194" s="628"/>
      <c r="G194" s="628"/>
      <c r="H194" s="628"/>
      <c r="I194" s="1246"/>
      <c r="J194" s="114"/>
      <c r="K194" s="114"/>
      <c r="L194" s="114"/>
      <c r="M194" s="114"/>
      <c r="N194" s="114"/>
      <c r="O194" s="114"/>
      <c r="P194" s="351"/>
      <c r="Q194" s="351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349"/>
      <c r="CV194" s="4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57"/>
      <c r="EB194" s="57"/>
      <c r="EC194" s="57"/>
      <c r="ED194" s="57"/>
    </row>
    <row r="195" spans="2:134" s="615" customFormat="1" x14ac:dyDescent="0.2">
      <c r="B195" s="57"/>
      <c r="C195" s="57"/>
      <c r="D195" s="628"/>
      <c r="E195" s="628"/>
      <c r="F195" s="628"/>
      <c r="G195" s="628"/>
      <c r="H195" s="628"/>
      <c r="I195" s="1246"/>
      <c r="J195" s="114"/>
      <c r="K195" s="114"/>
      <c r="L195" s="114"/>
      <c r="M195" s="114"/>
      <c r="N195" s="114"/>
      <c r="O195" s="114"/>
      <c r="P195" s="351"/>
      <c r="Q195" s="351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349"/>
      <c r="CV195" s="4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57"/>
      <c r="EB195" s="57"/>
      <c r="EC195" s="57"/>
      <c r="ED195" s="57"/>
    </row>
    <row r="196" spans="2:134" s="615" customFormat="1" x14ac:dyDescent="0.2">
      <c r="B196" s="57"/>
      <c r="C196" s="57"/>
      <c r="D196" s="628"/>
      <c r="E196" s="628"/>
      <c r="F196" s="628"/>
      <c r="G196" s="628"/>
      <c r="H196" s="628"/>
      <c r="I196" s="1246"/>
      <c r="J196" s="114"/>
      <c r="K196" s="114"/>
      <c r="L196" s="114"/>
      <c r="M196" s="114"/>
      <c r="N196" s="114"/>
      <c r="O196" s="114"/>
      <c r="P196" s="351"/>
      <c r="Q196" s="351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349"/>
      <c r="CV196" s="4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57"/>
      <c r="EB196" s="57"/>
      <c r="EC196" s="57"/>
      <c r="ED196" s="57"/>
    </row>
    <row r="197" spans="2:134" s="615" customFormat="1" x14ac:dyDescent="0.2">
      <c r="B197" s="57"/>
      <c r="C197" s="57"/>
      <c r="D197" s="628"/>
      <c r="E197" s="628"/>
      <c r="F197" s="628"/>
      <c r="G197" s="628"/>
      <c r="H197" s="628"/>
      <c r="I197" s="1246"/>
      <c r="J197" s="114"/>
      <c r="K197" s="114"/>
      <c r="L197" s="114"/>
      <c r="M197" s="114"/>
      <c r="N197" s="114"/>
      <c r="O197" s="114"/>
      <c r="P197" s="351"/>
      <c r="Q197" s="351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349"/>
      <c r="CV197" s="4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57"/>
      <c r="EB197" s="57"/>
      <c r="EC197" s="57"/>
      <c r="ED197" s="57"/>
    </row>
    <row r="198" spans="2:134" s="615" customFormat="1" x14ac:dyDescent="0.2">
      <c r="B198" s="57"/>
      <c r="C198" s="57"/>
      <c r="D198" s="628"/>
      <c r="E198" s="628"/>
      <c r="F198" s="628"/>
      <c r="G198" s="628"/>
      <c r="H198" s="628"/>
      <c r="I198" s="1246"/>
      <c r="J198" s="114"/>
      <c r="K198" s="114"/>
      <c r="L198" s="114"/>
      <c r="M198" s="114"/>
      <c r="N198" s="114"/>
      <c r="O198" s="114"/>
      <c r="P198" s="351"/>
      <c r="Q198" s="351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349"/>
      <c r="CV198" s="4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57"/>
      <c r="EB198" s="57"/>
      <c r="EC198" s="57"/>
      <c r="ED198" s="57"/>
    </row>
    <row r="199" spans="2:134" s="615" customFormat="1" x14ac:dyDescent="0.2">
      <c r="B199" s="57"/>
      <c r="C199" s="57"/>
      <c r="D199" s="628"/>
      <c r="E199" s="628"/>
      <c r="F199" s="628"/>
      <c r="G199" s="628"/>
      <c r="H199" s="628"/>
      <c r="I199" s="1246"/>
      <c r="J199" s="114"/>
      <c r="K199" s="114"/>
      <c r="L199" s="114"/>
      <c r="M199" s="114"/>
      <c r="N199" s="114"/>
      <c r="O199" s="114"/>
      <c r="P199" s="351"/>
      <c r="Q199" s="351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349"/>
      <c r="CV199" s="4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57"/>
      <c r="EB199" s="57"/>
      <c r="EC199" s="57"/>
      <c r="ED199" s="57"/>
    </row>
    <row r="200" spans="2:134" s="615" customFormat="1" x14ac:dyDescent="0.2">
      <c r="B200" s="57"/>
      <c r="C200" s="57"/>
      <c r="D200" s="628"/>
      <c r="E200" s="628"/>
      <c r="F200" s="628"/>
      <c r="G200" s="628"/>
      <c r="H200" s="628"/>
      <c r="I200" s="1246"/>
      <c r="J200" s="114"/>
      <c r="K200" s="114"/>
      <c r="L200" s="114"/>
      <c r="M200" s="114"/>
      <c r="N200" s="114"/>
      <c r="O200" s="114"/>
      <c r="P200" s="351"/>
      <c r="Q200" s="351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349"/>
      <c r="CV200" s="4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57"/>
      <c r="EB200" s="57"/>
      <c r="EC200" s="57"/>
      <c r="ED200" s="57"/>
    </row>
    <row r="201" spans="2:134" s="602" customFormat="1" x14ac:dyDescent="0.2">
      <c r="B201" s="95"/>
      <c r="C201" s="95">
        <f ca="1">'1 Pers.Ausgaben|Pers Expenses'!$C$4</f>
        <v>2019</v>
      </c>
      <c r="D201" s="630" t="str">
        <f>D7</f>
        <v>Jan.</v>
      </c>
      <c r="E201" s="630" t="str">
        <f t="shared" ref="E201:O201" si="42">E7</f>
        <v>Febr.</v>
      </c>
      <c r="F201" s="630" t="str">
        <f t="shared" si="42"/>
        <v>März</v>
      </c>
      <c r="G201" s="630" t="str">
        <f t="shared" si="42"/>
        <v>April</v>
      </c>
      <c r="H201" s="630" t="str">
        <f t="shared" si="42"/>
        <v>Mai</v>
      </c>
      <c r="I201" s="627" t="str">
        <f t="shared" si="42"/>
        <v>Juni</v>
      </c>
      <c r="J201" s="630" t="str">
        <f t="shared" si="42"/>
        <v>Juli</v>
      </c>
      <c r="K201" s="630" t="str">
        <f t="shared" si="42"/>
        <v>Aug.</v>
      </c>
      <c r="L201" s="630" t="str">
        <f t="shared" si="42"/>
        <v>Sept.</v>
      </c>
      <c r="M201" s="630" t="str">
        <f t="shared" si="42"/>
        <v>Okt.</v>
      </c>
      <c r="N201" s="630" t="str">
        <f t="shared" si="42"/>
        <v>Nov.</v>
      </c>
      <c r="O201" s="630" t="str">
        <f t="shared" si="42"/>
        <v>Dez.</v>
      </c>
      <c r="P201" s="627"/>
      <c r="Q201" s="627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146"/>
      <c r="CV201" s="146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</row>
    <row r="202" spans="2:134" s="602" customFormat="1" x14ac:dyDescent="0.2">
      <c r="B202" s="95"/>
      <c r="C202" s="1028" t="s">
        <v>210</v>
      </c>
      <c r="D202" s="646" t="str">
        <f t="shared" ref="D202:O202" si="43">IF(D37&gt;0,D37,"")</f>
        <v/>
      </c>
      <c r="E202" s="646" t="str">
        <f t="shared" si="43"/>
        <v/>
      </c>
      <c r="F202" s="646" t="str">
        <f t="shared" si="43"/>
        <v/>
      </c>
      <c r="G202" s="646" t="str">
        <f t="shared" si="43"/>
        <v/>
      </c>
      <c r="H202" s="646" t="str">
        <f t="shared" si="43"/>
        <v/>
      </c>
      <c r="I202" s="646" t="str">
        <f t="shared" si="43"/>
        <v/>
      </c>
      <c r="J202" s="646" t="str">
        <f t="shared" si="43"/>
        <v/>
      </c>
      <c r="K202" s="646" t="str">
        <f t="shared" si="43"/>
        <v/>
      </c>
      <c r="L202" s="646" t="str">
        <f t="shared" si="43"/>
        <v/>
      </c>
      <c r="M202" s="646" t="str">
        <f t="shared" si="43"/>
        <v/>
      </c>
      <c r="N202" s="646" t="str">
        <f t="shared" si="43"/>
        <v/>
      </c>
      <c r="O202" s="646" t="str">
        <f t="shared" si="43"/>
        <v/>
      </c>
      <c r="P202" s="627"/>
      <c r="Q202" s="627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146"/>
      <c r="CV202" s="146"/>
      <c r="CW202" s="287"/>
      <c r="CX202" s="287"/>
      <c r="CY202" s="287"/>
      <c r="CZ202" s="287"/>
      <c r="DA202" s="287"/>
      <c r="DB202" s="287"/>
      <c r="DC202" s="287"/>
      <c r="DD202" s="287"/>
      <c r="DE202" s="287"/>
      <c r="DF202" s="287"/>
      <c r="DG202" s="287"/>
      <c r="DH202" s="287"/>
      <c r="DI202" s="287"/>
      <c r="DJ202" s="287"/>
      <c r="DK202" s="287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</row>
    <row r="203" spans="2:134" s="602" customFormat="1" x14ac:dyDescent="0.2">
      <c r="B203" s="95"/>
      <c r="C203" s="1028" t="s">
        <v>209</v>
      </c>
      <c r="D203" s="1029">
        <f t="shared" ref="D203:O203" si="44">IF(D37&lt;=0,D37,"")</f>
        <v>0</v>
      </c>
      <c r="E203" s="1029">
        <f t="shared" si="44"/>
        <v>0</v>
      </c>
      <c r="F203" s="1029">
        <f t="shared" si="44"/>
        <v>0</v>
      </c>
      <c r="G203" s="1029">
        <f t="shared" si="44"/>
        <v>0</v>
      </c>
      <c r="H203" s="1029">
        <f t="shared" si="44"/>
        <v>0</v>
      </c>
      <c r="I203" s="1247">
        <f t="shared" si="44"/>
        <v>0</v>
      </c>
      <c r="J203" s="1029">
        <f t="shared" si="44"/>
        <v>0</v>
      </c>
      <c r="K203" s="1029">
        <f t="shared" si="44"/>
        <v>0</v>
      </c>
      <c r="L203" s="1029">
        <f t="shared" si="44"/>
        <v>0</v>
      </c>
      <c r="M203" s="1029">
        <f t="shared" si="44"/>
        <v>0</v>
      </c>
      <c r="N203" s="1029">
        <f t="shared" si="44"/>
        <v>0</v>
      </c>
      <c r="O203" s="1029">
        <f t="shared" si="44"/>
        <v>0</v>
      </c>
      <c r="P203" s="627"/>
      <c r="Q203" s="627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146"/>
      <c r="CV203" s="146"/>
      <c r="CW203" s="287"/>
      <c r="CX203" s="287"/>
      <c r="CY203" s="287"/>
      <c r="CZ203" s="287"/>
      <c r="DA203" s="287"/>
      <c r="DB203" s="287"/>
      <c r="DC203" s="287"/>
      <c r="DD203" s="287"/>
      <c r="DE203" s="287"/>
      <c r="DF203" s="287"/>
      <c r="DG203" s="287"/>
      <c r="DH203" s="287"/>
      <c r="DI203" s="287"/>
      <c r="DJ203" s="287"/>
      <c r="DK203" s="287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</row>
    <row r="204" spans="2:134" s="602" customFormat="1" x14ac:dyDescent="0.2">
      <c r="B204" s="95"/>
      <c r="C204" s="95"/>
      <c r="D204" s="1029"/>
      <c r="E204" s="1029"/>
      <c r="F204" s="1029"/>
      <c r="G204" s="1029"/>
      <c r="H204" s="1029"/>
      <c r="I204" s="1247"/>
      <c r="J204" s="630"/>
      <c r="K204" s="630"/>
      <c r="L204" s="630"/>
      <c r="M204" s="630"/>
      <c r="N204" s="630"/>
      <c r="O204" s="630"/>
      <c r="P204" s="627"/>
      <c r="Q204" s="627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146"/>
      <c r="CV204" s="146"/>
      <c r="CW204" s="287"/>
      <c r="CX204" s="287"/>
      <c r="CY204" s="287"/>
      <c r="CZ204" s="287"/>
      <c r="DA204" s="287"/>
      <c r="DB204" s="287"/>
      <c r="DC204" s="287"/>
      <c r="DD204" s="287"/>
      <c r="DE204" s="287"/>
      <c r="DF204" s="287"/>
      <c r="DG204" s="287"/>
      <c r="DH204" s="287"/>
      <c r="DI204" s="287"/>
      <c r="DJ204" s="287"/>
      <c r="DK204" s="287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</row>
    <row r="205" spans="2:134" s="602" customFormat="1" x14ac:dyDescent="0.2">
      <c r="B205" s="95"/>
      <c r="C205" s="95">
        <f ca="1">'1 Pers.Ausgaben|Pers Expenses'!$C$4+1</f>
        <v>2020</v>
      </c>
      <c r="D205" s="630" t="str">
        <f>D7</f>
        <v>Jan.</v>
      </c>
      <c r="E205" s="630" t="str">
        <f t="shared" ref="E205:O205" si="45">E7</f>
        <v>Febr.</v>
      </c>
      <c r="F205" s="630" t="str">
        <f t="shared" si="45"/>
        <v>März</v>
      </c>
      <c r="G205" s="630" t="str">
        <f t="shared" si="45"/>
        <v>April</v>
      </c>
      <c r="H205" s="630" t="str">
        <f t="shared" si="45"/>
        <v>Mai</v>
      </c>
      <c r="I205" s="627" t="str">
        <f t="shared" si="45"/>
        <v>Juni</v>
      </c>
      <c r="J205" s="630" t="str">
        <f t="shared" si="45"/>
        <v>Juli</v>
      </c>
      <c r="K205" s="630" t="str">
        <f t="shared" si="45"/>
        <v>Aug.</v>
      </c>
      <c r="L205" s="630" t="str">
        <f t="shared" si="45"/>
        <v>Sept.</v>
      </c>
      <c r="M205" s="630" t="str">
        <f t="shared" si="45"/>
        <v>Okt.</v>
      </c>
      <c r="N205" s="630" t="str">
        <f t="shared" si="45"/>
        <v>Nov.</v>
      </c>
      <c r="O205" s="630" t="str">
        <f t="shared" si="45"/>
        <v>Dez.</v>
      </c>
      <c r="P205" s="627"/>
      <c r="Q205" s="627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146"/>
      <c r="CV205" s="146"/>
      <c r="CW205" s="287"/>
      <c r="CX205" s="287"/>
      <c r="CY205" s="287"/>
      <c r="CZ205" s="287"/>
      <c r="DA205" s="287"/>
      <c r="DB205" s="287"/>
      <c r="DC205" s="287"/>
      <c r="DD205" s="287"/>
      <c r="DE205" s="287"/>
      <c r="DF205" s="287"/>
      <c r="DG205" s="287"/>
      <c r="DH205" s="287"/>
      <c r="DI205" s="287"/>
      <c r="DJ205" s="287"/>
      <c r="DK205" s="287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</row>
    <row r="206" spans="2:134" s="602" customFormat="1" x14ac:dyDescent="0.2">
      <c r="B206" s="95"/>
      <c r="C206" s="1028" t="s">
        <v>210</v>
      </c>
      <c r="D206" s="646" t="str">
        <f t="shared" ref="D206:O206" si="46">IF(D71&gt;0,D71,"")</f>
        <v/>
      </c>
      <c r="E206" s="646" t="str">
        <f t="shared" si="46"/>
        <v/>
      </c>
      <c r="F206" s="646" t="str">
        <f t="shared" si="46"/>
        <v/>
      </c>
      <c r="G206" s="646" t="str">
        <f t="shared" si="46"/>
        <v/>
      </c>
      <c r="H206" s="646" t="str">
        <f t="shared" si="46"/>
        <v/>
      </c>
      <c r="I206" s="646" t="str">
        <f t="shared" si="46"/>
        <v/>
      </c>
      <c r="J206" s="646" t="str">
        <f t="shared" si="46"/>
        <v/>
      </c>
      <c r="K206" s="646" t="str">
        <f t="shared" si="46"/>
        <v/>
      </c>
      <c r="L206" s="646" t="str">
        <f t="shared" si="46"/>
        <v/>
      </c>
      <c r="M206" s="646" t="str">
        <f t="shared" si="46"/>
        <v/>
      </c>
      <c r="N206" s="646" t="str">
        <f t="shared" si="46"/>
        <v/>
      </c>
      <c r="O206" s="646" t="str">
        <f t="shared" si="46"/>
        <v/>
      </c>
      <c r="P206" s="627"/>
      <c r="Q206" s="627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146"/>
      <c r="CV206" s="146"/>
      <c r="CW206" s="287"/>
      <c r="CX206" s="287"/>
      <c r="CY206" s="287"/>
      <c r="CZ206" s="287"/>
      <c r="DA206" s="287"/>
      <c r="DB206" s="287"/>
      <c r="DC206" s="287"/>
      <c r="DD206" s="287"/>
      <c r="DE206" s="287"/>
      <c r="DF206" s="287"/>
      <c r="DG206" s="287"/>
      <c r="DH206" s="287"/>
      <c r="DI206" s="287"/>
      <c r="DJ206" s="287"/>
      <c r="DK206" s="287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</row>
    <row r="207" spans="2:134" s="602" customFormat="1" x14ac:dyDescent="0.2">
      <c r="B207" s="95"/>
      <c r="C207" s="1028" t="s">
        <v>209</v>
      </c>
      <c r="D207" s="647">
        <f t="shared" ref="D207:O207" si="47">IF(D71&lt;=0,D71,"")</f>
        <v>0</v>
      </c>
      <c r="E207" s="647">
        <f t="shared" si="47"/>
        <v>0</v>
      </c>
      <c r="F207" s="647">
        <f t="shared" si="47"/>
        <v>0</v>
      </c>
      <c r="G207" s="647">
        <f t="shared" si="47"/>
        <v>0</v>
      </c>
      <c r="H207" s="647">
        <f t="shared" si="47"/>
        <v>0</v>
      </c>
      <c r="I207" s="646">
        <f t="shared" si="47"/>
        <v>0</v>
      </c>
      <c r="J207" s="647">
        <f t="shared" si="47"/>
        <v>0</v>
      </c>
      <c r="K207" s="647">
        <f t="shared" si="47"/>
        <v>0</v>
      </c>
      <c r="L207" s="647">
        <f t="shared" si="47"/>
        <v>0</v>
      </c>
      <c r="M207" s="647">
        <f t="shared" si="47"/>
        <v>0</v>
      </c>
      <c r="N207" s="647">
        <f t="shared" si="47"/>
        <v>0</v>
      </c>
      <c r="O207" s="647">
        <f t="shared" si="47"/>
        <v>0</v>
      </c>
      <c r="P207" s="627"/>
      <c r="Q207" s="627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146"/>
      <c r="CV207" s="146"/>
      <c r="CW207" s="287"/>
      <c r="CX207" s="287"/>
      <c r="CY207" s="287"/>
      <c r="CZ207" s="287"/>
      <c r="DA207" s="287"/>
      <c r="DB207" s="287"/>
      <c r="DC207" s="287"/>
      <c r="DD207" s="287"/>
      <c r="DE207" s="287"/>
      <c r="DF207" s="287"/>
      <c r="DG207" s="287"/>
      <c r="DH207" s="287"/>
      <c r="DI207" s="287"/>
      <c r="DJ207" s="287"/>
      <c r="DK207" s="287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</row>
    <row r="208" spans="2:134" s="602" customFormat="1" x14ac:dyDescent="0.2">
      <c r="B208" s="95"/>
      <c r="C208" s="95"/>
      <c r="D208" s="1029"/>
      <c r="E208" s="1029"/>
      <c r="F208" s="1029"/>
      <c r="G208" s="1029"/>
      <c r="H208" s="1029"/>
      <c r="I208" s="1247"/>
      <c r="J208" s="630"/>
      <c r="K208" s="630"/>
      <c r="L208" s="630"/>
      <c r="M208" s="630"/>
      <c r="N208" s="630"/>
      <c r="O208" s="630"/>
      <c r="P208" s="627"/>
      <c r="Q208" s="627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146"/>
      <c r="CV208" s="146"/>
      <c r="CW208" s="287"/>
      <c r="CX208" s="287"/>
      <c r="CY208" s="287"/>
      <c r="CZ208" s="287"/>
      <c r="DA208" s="287"/>
      <c r="DB208" s="287"/>
      <c r="DC208" s="287"/>
      <c r="DD208" s="287"/>
      <c r="DE208" s="287"/>
      <c r="DF208" s="287"/>
      <c r="DG208" s="287"/>
      <c r="DH208" s="287"/>
      <c r="DI208" s="287"/>
      <c r="DJ208" s="287"/>
      <c r="DK208" s="287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</row>
    <row r="209" spans="2:134" s="602" customFormat="1" x14ac:dyDescent="0.2">
      <c r="B209" s="95"/>
      <c r="C209" s="95"/>
      <c r="D209" s="1029"/>
      <c r="E209" s="1029"/>
      <c r="F209" s="1029"/>
      <c r="G209" s="1029"/>
      <c r="H209" s="1029"/>
      <c r="I209" s="1247"/>
      <c r="J209" s="630"/>
      <c r="K209" s="630"/>
      <c r="L209" s="630"/>
      <c r="M209" s="630"/>
      <c r="N209" s="630"/>
      <c r="O209" s="630"/>
      <c r="P209" s="627"/>
      <c r="Q209" s="627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146"/>
      <c r="CV209" s="146"/>
      <c r="CW209" s="287"/>
      <c r="CX209" s="287"/>
      <c r="CY209" s="287"/>
      <c r="CZ209" s="287"/>
      <c r="DA209" s="287"/>
      <c r="DB209" s="287"/>
      <c r="DC209" s="287"/>
      <c r="DD209" s="287"/>
      <c r="DE209" s="287"/>
      <c r="DF209" s="287"/>
      <c r="DG209" s="287"/>
      <c r="DH209" s="287"/>
      <c r="DI209" s="287"/>
      <c r="DJ209" s="287"/>
      <c r="DK209" s="287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</row>
    <row r="210" spans="2:134" s="602" customFormat="1" x14ac:dyDescent="0.2">
      <c r="B210" s="95"/>
      <c r="D210" s="1029">
        <f ca="1">'1 Pers.Ausgaben|Pers Expenses'!$C$4</f>
        <v>2019</v>
      </c>
      <c r="E210" s="1029">
        <f ca="1">D210+1</f>
        <v>2020</v>
      </c>
      <c r="F210" s="1029">
        <f ca="1">E210+1</f>
        <v>2021</v>
      </c>
      <c r="G210" s="1029">
        <f ca="1">F210+1</f>
        <v>2022</v>
      </c>
      <c r="H210" s="1029">
        <f ca="1">G210+1</f>
        <v>2023</v>
      </c>
      <c r="I210" s="1247"/>
      <c r="J210" s="630"/>
      <c r="K210" s="630"/>
      <c r="L210" s="630"/>
      <c r="M210" s="630"/>
      <c r="N210" s="630"/>
      <c r="O210" s="630"/>
      <c r="P210" s="627"/>
      <c r="Q210" s="627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146"/>
      <c r="CV210" s="146"/>
      <c r="CW210" s="287"/>
      <c r="CX210" s="287"/>
      <c r="CY210" s="287"/>
      <c r="CZ210" s="287"/>
      <c r="DA210" s="287"/>
      <c r="DB210" s="287"/>
      <c r="DC210" s="287"/>
      <c r="DD210" s="287"/>
      <c r="DE210" s="287"/>
      <c r="DF210" s="287"/>
      <c r="DG210" s="287"/>
      <c r="DH210" s="287"/>
      <c r="DI210" s="287"/>
      <c r="DJ210" s="287"/>
      <c r="DK210" s="287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</row>
    <row r="211" spans="2:134" s="95" customFormat="1" x14ac:dyDescent="0.2">
      <c r="C211" s="1028" t="s">
        <v>210</v>
      </c>
      <c r="D211" s="646" t="str">
        <f>IF(D106&gt;0,D106,"")</f>
        <v/>
      </c>
      <c r="E211" s="646" t="str">
        <f>IF(E106&gt;0,E106,"")</f>
        <v/>
      </c>
      <c r="F211" s="646" t="str">
        <f>IF(F106&gt;0,F106,"")</f>
        <v/>
      </c>
      <c r="G211" s="646" t="str">
        <f>IF(G106&gt;0,G106,"")</f>
        <v/>
      </c>
      <c r="H211" s="646" t="str">
        <f>IF(H106&gt;0,H106,"")</f>
        <v/>
      </c>
      <c r="I211" s="627"/>
      <c r="J211" s="630"/>
      <c r="K211" s="630"/>
      <c r="L211" s="630"/>
      <c r="M211" s="630"/>
      <c r="N211" s="630"/>
      <c r="O211" s="630"/>
      <c r="P211" s="627"/>
      <c r="Q211" s="627"/>
      <c r="CU211" s="146"/>
      <c r="CV211" s="146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</row>
    <row r="212" spans="2:134" s="95" customFormat="1" x14ac:dyDescent="0.2">
      <c r="C212" s="1028" t="s">
        <v>209</v>
      </c>
      <c r="D212" s="647">
        <f>IF(D106&lt;=0,D106,"")</f>
        <v>0</v>
      </c>
      <c r="E212" s="647">
        <f>IF(E106&lt;=0,E106,"")</f>
        <v>0</v>
      </c>
      <c r="F212" s="647">
        <f>IF(F106&lt;=0,F106,"")</f>
        <v>0</v>
      </c>
      <c r="G212" s="647">
        <f>IF(G106&lt;=0,G106,"")</f>
        <v>0</v>
      </c>
      <c r="H212" s="647">
        <f>IF(H106&lt;=0,H106,"")</f>
        <v>0</v>
      </c>
      <c r="I212" s="627"/>
      <c r="J212" s="630"/>
      <c r="K212" s="630"/>
      <c r="L212" s="630"/>
      <c r="M212" s="630"/>
      <c r="N212" s="630"/>
      <c r="O212" s="630"/>
      <c r="P212" s="627"/>
      <c r="Q212" s="627"/>
      <c r="CU212" s="146"/>
      <c r="CV212" s="146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</row>
    <row r="213" spans="2:134" s="57" customFormat="1" x14ac:dyDescent="0.2">
      <c r="D213" s="114"/>
      <c r="E213" s="114"/>
      <c r="F213" s="114"/>
      <c r="G213" s="114"/>
      <c r="H213" s="114"/>
      <c r="I213" s="351"/>
      <c r="J213" s="114"/>
      <c r="K213" s="114"/>
      <c r="L213" s="114"/>
      <c r="M213" s="114"/>
      <c r="N213" s="114"/>
      <c r="O213" s="114"/>
      <c r="P213" s="351"/>
      <c r="Q213" s="351"/>
      <c r="CU213" s="349"/>
      <c r="CV213" s="4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</row>
    <row r="214" spans="2:134" s="57" customFormat="1" x14ac:dyDescent="0.2">
      <c r="D214" s="114"/>
      <c r="E214" s="114"/>
      <c r="F214" s="114"/>
      <c r="G214" s="114"/>
      <c r="H214" s="114"/>
      <c r="I214" s="351"/>
      <c r="J214" s="114"/>
      <c r="K214" s="114"/>
      <c r="L214" s="114"/>
      <c r="M214" s="114"/>
      <c r="N214" s="114"/>
      <c r="O214" s="114"/>
      <c r="P214" s="351"/>
      <c r="Q214" s="351"/>
      <c r="CU214" s="349"/>
      <c r="CV214" s="4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</row>
    <row r="215" spans="2:134" s="57" customFormat="1" x14ac:dyDescent="0.2">
      <c r="D215" s="114"/>
      <c r="E215" s="114"/>
      <c r="F215" s="114"/>
      <c r="G215" s="114"/>
      <c r="H215" s="114"/>
      <c r="I215" s="351"/>
      <c r="J215" s="114"/>
      <c r="K215" s="114"/>
      <c r="L215" s="114"/>
      <c r="M215" s="114"/>
      <c r="N215" s="114"/>
      <c r="O215" s="114"/>
      <c r="P215" s="351"/>
      <c r="Q215" s="351"/>
      <c r="CU215" s="349"/>
      <c r="CV215" s="4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</row>
    <row r="216" spans="2:134" s="57" customFormat="1" x14ac:dyDescent="0.2">
      <c r="D216" s="114"/>
      <c r="E216" s="114"/>
      <c r="F216" s="114"/>
      <c r="G216" s="114"/>
      <c r="H216" s="114"/>
      <c r="I216" s="351"/>
      <c r="J216" s="114"/>
      <c r="K216" s="114"/>
      <c r="L216" s="114"/>
      <c r="M216" s="114"/>
      <c r="N216" s="114"/>
      <c r="O216" s="114"/>
      <c r="P216" s="351"/>
      <c r="Q216" s="351"/>
      <c r="CU216" s="349"/>
      <c r="CV216" s="4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</row>
    <row r="217" spans="2:134" s="57" customFormat="1" x14ac:dyDescent="0.2">
      <c r="D217" s="114"/>
      <c r="E217" s="114"/>
      <c r="F217" s="114"/>
      <c r="G217" s="114"/>
      <c r="H217" s="114"/>
      <c r="I217" s="351"/>
      <c r="J217" s="114"/>
      <c r="K217" s="114"/>
      <c r="L217" s="114"/>
      <c r="M217" s="114"/>
      <c r="N217" s="114"/>
      <c r="O217" s="114"/>
      <c r="P217" s="351"/>
      <c r="Q217" s="351"/>
      <c r="CU217" s="349"/>
      <c r="CV217" s="4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</row>
    <row r="218" spans="2:134" s="57" customFormat="1" x14ac:dyDescent="0.2">
      <c r="D218" s="114"/>
      <c r="E218" s="114"/>
      <c r="F218" s="114"/>
      <c r="G218" s="114"/>
      <c r="H218" s="114"/>
      <c r="I218" s="351"/>
      <c r="J218" s="114"/>
      <c r="K218" s="114"/>
      <c r="L218" s="114"/>
      <c r="M218" s="114"/>
      <c r="N218" s="114"/>
      <c r="O218" s="114"/>
      <c r="P218" s="351"/>
      <c r="Q218" s="351"/>
      <c r="CU218" s="349"/>
      <c r="CV218" s="4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</row>
    <row r="219" spans="2:134" s="57" customFormat="1" x14ac:dyDescent="0.2">
      <c r="D219" s="114"/>
      <c r="E219" s="114"/>
      <c r="F219" s="114"/>
      <c r="G219" s="114"/>
      <c r="H219" s="114"/>
      <c r="I219" s="351"/>
      <c r="J219" s="114"/>
      <c r="K219" s="114"/>
      <c r="L219" s="114"/>
      <c r="M219" s="114"/>
      <c r="N219" s="114"/>
      <c r="O219" s="114"/>
      <c r="P219" s="351"/>
      <c r="Q219" s="351"/>
      <c r="CU219" s="349"/>
      <c r="CV219" s="4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</row>
    <row r="220" spans="2:134" s="57" customFormat="1" x14ac:dyDescent="0.2">
      <c r="D220" s="114"/>
      <c r="E220" s="114"/>
      <c r="F220" s="114"/>
      <c r="G220" s="114"/>
      <c r="H220" s="114"/>
      <c r="I220" s="351"/>
      <c r="J220" s="114"/>
      <c r="K220" s="114"/>
      <c r="L220" s="114"/>
      <c r="M220" s="114"/>
      <c r="N220" s="114"/>
      <c r="O220" s="114"/>
      <c r="P220" s="351"/>
      <c r="Q220" s="351"/>
      <c r="CU220" s="349"/>
      <c r="CV220" s="4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</row>
    <row r="221" spans="2:134" s="57" customFormat="1" x14ac:dyDescent="0.2">
      <c r="D221" s="114"/>
      <c r="E221" s="114"/>
      <c r="F221" s="114"/>
      <c r="G221" s="114"/>
      <c r="H221" s="114"/>
      <c r="I221" s="351"/>
      <c r="J221" s="114"/>
      <c r="K221" s="114"/>
      <c r="L221" s="114"/>
      <c r="M221" s="114"/>
      <c r="N221" s="114"/>
      <c r="O221" s="114"/>
      <c r="P221" s="351"/>
      <c r="Q221" s="351"/>
      <c r="CU221" s="349"/>
      <c r="CV221" s="4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</row>
    <row r="222" spans="2:134" s="57" customFormat="1" x14ac:dyDescent="0.2">
      <c r="D222" s="114"/>
      <c r="E222" s="114"/>
      <c r="F222" s="114"/>
      <c r="G222" s="114"/>
      <c r="H222" s="114"/>
      <c r="I222" s="351"/>
      <c r="J222" s="114"/>
      <c r="K222" s="114"/>
      <c r="L222" s="114"/>
      <c r="M222" s="114"/>
      <c r="N222" s="114"/>
      <c r="O222" s="114"/>
      <c r="P222" s="351"/>
      <c r="Q222" s="351"/>
      <c r="CU222" s="349"/>
      <c r="CV222" s="4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</row>
    <row r="223" spans="2:134" s="57" customFormat="1" x14ac:dyDescent="0.2">
      <c r="D223" s="114"/>
      <c r="E223" s="114"/>
      <c r="F223" s="114"/>
      <c r="G223" s="114"/>
      <c r="H223" s="114"/>
      <c r="I223" s="351"/>
      <c r="J223" s="114"/>
      <c r="K223" s="114"/>
      <c r="L223" s="114"/>
      <c r="M223" s="114"/>
      <c r="N223" s="114"/>
      <c r="O223" s="114"/>
      <c r="P223" s="351"/>
      <c r="Q223" s="351"/>
      <c r="CU223" s="349"/>
      <c r="CV223" s="4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</row>
    <row r="224" spans="2:134" s="57" customFormat="1" x14ac:dyDescent="0.2">
      <c r="D224" s="114"/>
      <c r="E224" s="114"/>
      <c r="F224" s="114"/>
      <c r="G224" s="114"/>
      <c r="H224" s="114"/>
      <c r="I224" s="351"/>
      <c r="J224" s="114"/>
      <c r="K224" s="114"/>
      <c r="L224" s="114"/>
      <c r="M224" s="114"/>
      <c r="N224" s="114"/>
      <c r="O224" s="114"/>
      <c r="P224" s="351"/>
      <c r="Q224" s="351"/>
      <c r="CU224" s="349"/>
      <c r="CV224" s="4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</row>
    <row r="225" spans="4:130" s="57" customFormat="1" x14ac:dyDescent="0.2">
      <c r="D225" s="114"/>
      <c r="E225" s="114"/>
      <c r="F225" s="114"/>
      <c r="G225" s="114"/>
      <c r="H225" s="114"/>
      <c r="I225" s="351"/>
      <c r="J225" s="114"/>
      <c r="K225" s="114"/>
      <c r="L225" s="114"/>
      <c r="M225" s="114"/>
      <c r="N225" s="114"/>
      <c r="O225" s="114"/>
      <c r="P225" s="351"/>
      <c r="Q225" s="351"/>
      <c r="CU225" s="349"/>
      <c r="CV225" s="40"/>
      <c r="CW225" s="60"/>
      <c r="CX225" s="60"/>
      <c r="CY225" s="60"/>
      <c r="CZ225" s="60"/>
      <c r="DA225" s="60"/>
      <c r="DB225" s="60"/>
      <c r="DC225" s="60"/>
      <c r="DD225" s="60"/>
      <c r="DE225" s="60"/>
      <c r="DF225" s="60"/>
      <c r="DG225" s="60"/>
      <c r="DH225" s="60"/>
      <c r="DI225" s="60"/>
      <c r="DJ225" s="60"/>
      <c r="DK225" s="60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</row>
    <row r="226" spans="4:130" s="57" customFormat="1" x14ac:dyDescent="0.2">
      <c r="D226" s="114"/>
      <c r="E226" s="114"/>
      <c r="F226" s="114"/>
      <c r="G226" s="114"/>
      <c r="H226" s="114"/>
      <c r="I226" s="351"/>
      <c r="J226" s="114"/>
      <c r="K226" s="114"/>
      <c r="L226" s="114"/>
      <c r="M226" s="114"/>
      <c r="N226" s="114"/>
      <c r="O226" s="114"/>
      <c r="P226" s="351"/>
      <c r="Q226" s="351"/>
      <c r="CU226" s="349"/>
      <c r="CV226" s="40"/>
      <c r="CW226" s="60"/>
      <c r="CX226" s="60"/>
      <c r="CY226" s="60"/>
      <c r="CZ226" s="60"/>
      <c r="DA226" s="60"/>
      <c r="DB226" s="60"/>
      <c r="DC226" s="60"/>
      <c r="DD226" s="60"/>
      <c r="DE226" s="60"/>
      <c r="DF226" s="60"/>
      <c r="DG226" s="60"/>
      <c r="DH226" s="60"/>
      <c r="DI226" s="60"/>
      <c r="DJ226" s="60"/>
      <c r="DK226" s="60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</row>
    <row r="227" spans="4:130" s="57" customFormat="1" x14ac:dyDescent="0.2">
      <c r="D227" s="114"/>
      <c r="E227" s="114"/>
      <c r="F227" s="114"/>
      <c r="G227" s="114"/>
      <c r="H227" s="114"/>
      <c r="I227" s="351"/>
      <c r="J227" s="114"/>
      <c r="K227" s="114"/>
      <c r="L227" s="114"/>
      <c r="M227" s="114"/>
      <c r="N227" s="114"/>
      <c r="O227" s="114"/>
      <c r="P227" s="351"/>
      <c r="Q227" s="351"/>
      <c r="CU227" s="349"/>
      <c r="CV227" s="40"/>
      <c r="CW227" s="60"/>
      <c r="CX227" s="60"/>
      <c r="CY227" s="60"/>
      <c r="CZ227" s="60"/>
      <c r="DA227" s="60"/>
      <c r="DB227" s="60"/>
      <c r="DC227" s="60"/>
      <c r="DD227" s="60"/>
      <c r="DE227" s="60"/>
      <c r="DF227" s="60"/>
      <c r="DG227" s="60"/>
      <c r="DH227" s="60"/>
      <c r="DI227" s="60"/>
      <c r="DJ227" s="60"/>
      <c r="DK227" s="60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</row>
    <row r="228" spans="4:130" s="57" customFormat="1" x14ac:dyDescent="0.2">
      <c r="D228" s="114"/>
      <c r="E228" s="114"/>
      <c r="F228" s="114"/>
      <c r="G228" s="114"/>
      <c r="H228" s="114"/>
      <c r="I228" s="351"/>
      <c r="J228" s="114"/>
      <c r="K228" s="114"/>
      <c r="L228" s="114"/>
      <c r="M228" s="114"/>
      <c r="N228" s="114"/>
      <c r="O228" s="114"/>
      <c r="P228" s="351"/>
      <c r="Q228" s="351"/>
      <c r="CU228" s="349"/>
      <c r="CV228" s="40"/>
      <c r="CW228" s="60"/>
      <c r="CX228" s="60"/>
      <c r="CY228" s="60"/>
      <c r="CZ228" s="60"/>
      <c r="DA228" s="60"/>
      <c r="DB228" s="60"/>
      <c r="DC228" s="60"/>
      <c r="DD228" s="60"/>
      <c r="DE228" s="60"/>
      <c r="DF228" s="60"/>
      <c r="DG228" s="60"/>
      <c r="DH228" s="60"/>
      <c r="DI228" s="60"/>
      <c r="DJ228" s="60"/>
      <c r="DK228" s="60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</row>
    <row r="229" spans="4:130" s="57" customFormat="1" x14ac:dyDescent="0.2">
      <c r="D229" s="114"/>
      <c r="E229" s="114"/>
      <c r="F229" s="114"/>
      <c r="G229" s="114"/>
      <c r="H229" s="114"/>
      <c r="I229" s="351"/>
      <c r="J229" s="114"/>
      <c r="K229" s="114"/>
      <c r="L229" s="114"/>
      <c r="M229" s="114"/>
      <c r="N229" s="114"/>
      <c r="O229" s="114"/>
      <c r="P229" s="351"/>
      <c r="Q229" s="351"/>
      <c r="CU229" s="349"/>
      <c r="CV229" s="40"/>
      <c r="CW229" s="60"/>
      <c r="CX229" s="60"/>
      <c r="CY229" s="60"/>
      <c r="CZ229" s="60"/>
      <c r="DA229" s="60"/>
      <c r="DB229" s="60"/>
      <c r="DC229" s="60"/>
      <c r="DD229" s="60"/>
      <c r="DE229" s="60"/>
      <c r="DF229" s="60"/>
      <c r="DG229" s="60"/>
      <c r="DH229" s="60"/>
      <c r="DI229" s="60"/>
      <c r="DJ229" s="60"/>
      <c r="DK229" s="60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</row>
    <row r="230" spans="4:130" s="57" customFormat="1" x14ac:dyDescent="0.2">
      <c r="D230" s="114"/>
      <c r="E230" s="114"/>
      <c r="F230" s="114"/>
      <c r="G230" s="114"/>
      <c r="H230" s="114"/>
      <c r="I230" s="351"/>
      <c r="J230" s="114"/>
      <c r="K230" s="114"/>
      <c r="L230" s="114"/>
      <c r="M230" s="114"/>
      <c r="N230" s="114"/>
      <c r="O230" s="114"/>
      <c r="P230" s="351"/>
      <c r="Q230" s="351"/>
      <c r="CU230" s="349"/>
      <c r="CV230" s="40"/>
      <c r="CW230" s="60"/>
      <c r="CX230" s="60"/>
      <c r="CY230" s="60"/>
      <c r="CZ230" s="60"/>
      <c r="DA230" s="60"/>
      <c r="DB230" s="60"/>
      <c r="DC230" s="60"/>
      <c r="DD230" s="60"/>
      <c r="DE230" s="60"/>
      <c r="DF230" s="60"/>
      <c r="DG230" s="60"/>
      <c r="DH230" s="60"/>
      <c r="DI230" s="60"/>
      <c r="DJ230" s="60"/>
      <c r="DK230" s="60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</row>
    <row r="231" spans="4:130" s="57" customFormat="1" x14ac:dyDescent="0.2">
      <c r="D231" s="114"/>
      <c r="E231" s="114"/>
      <c r="F231" s="114"/>
      <c r="G231" s="114"/>
      <c r="H231" s="114"/>
      <c r="I231" s="351"/>
      <c r="J231" s="114"/>
      <c r="K231" s="114"/>
      <c r="L231" s="114"/>
      <c r="M231" s="114"/>
      <c r="N231" s="114"/>
      <c r="O231" s="114"/>
      <c r="P231" s="351"/>
      <c r="Q231" s="351"/>
      <c r="CU231" s="349"/>
      <c r="CV231" s="4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</row>
    <row r="232" spans="4:130" s="57" customFormat="1" x14ac:dyDescent="0.2">
      <c r="D232" s="114"/>
      <c r="E232" s="114"/>
      <c r="F232" s="114"/>
      <c r="G232" s="114"/>
      <c r="H232" s="114"/>
      <c r="I232" s="351"/>
      <c r="J232" s="114"/>
      <c r="K232" s="114"/>
      <c r="L232" s="114"/>
      <c r="M232" s="114"/>
      <c r="N232" s="114"/>
      <c r="O232" s="114"/>
      <c r="P232" s="351"/>
      <c r="Q232" s="351"/>
      <c r="CU232" s="349"/>
      <c r="CV232" s="4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</row>
    <row r="233" spans="4:130" s="57" customFormat="1" x14ac:dyDescent="0.2">
      <c r="D233" s="114"/>
      <c r="E233" s="114"/>
      <c r="F233" s="114"/>
      <c r="G233" s="114"/>
      <c r="H233" s="114"/>
      <c r="I233" s="351"/>
      <c r="J233" s="114"/>
      <c r="K233" s="114"/>
      <c r="L233" s="114"/>
      <c r="M233" s="114"/>
      <c r="N233" s="114"/>
      <c r="O233" s="114"/>
      <c r="P233" s="351"/>
      <c r="Q233" s="351"/>
      <c r="CU233" s="349"/>
      <c r="CV233" s="4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</row>
    <row r="234" spans="4:130" s="57" customFormat="1" x14ac:dyDescent="0.2">
      <c r="D234" s="114"/>
      <c r="E234" s="114"/>
      <c r="F234" s="114"/>
      <c r="G234" s="114"/>
      <c r="H234" s="114"/>
      <c r="I234" s="351"/>
      <c r="J234" s="114"/>
      <c r="K234" s="114"/>
      <c r="L234" s="114"/>
      <c r="M234" s="114"/>
      <c r="N234" s="114"/>
      <c r="O234" s="114"/>
      <c r="P234" s="351"/>
      <c r="Q234" s="351"/>
      <c r="CU234" s="349"/>
      <c r="CV234" s="40"/>
      <c r="CW234" s="60"/>
      <c r="CX234" s="60"/>
      <c r="CY234" s="60"/>
      <c r="CZ234" s="60"/>
      <c r="DA234" s="60"/>
      <c r="DB234" s="60"/>
      <c r="DC234" s="60"/>
      <c r="DD234" s="60"/>
      <c r="DE234" s="60"/>
      <c r="DF234" s="60"/>
      <c r="DG234" s="60"/>
      <c r="DH234" s="60"/>
      <c r="DI234" s="60"/>
      <c r="DJ234" s="60"/>
      <c r="DK234" s="60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</row>
    <row r="235" spans="4:130" s="57" customFormat="1" x14ac:dyDescent="0.2">
      <c r="D235" s="114"/>
      <c r="E235" s="114"/>
      <c r="F235" s="114"/>
      <c r="G235" s="114"/>
      <c r="H235" s="114"/>
      <c r="I235" s="351"/>
      <c r="J235" s="114"/>
      <c r="K235" s="114"/>
      <c r="L235" s="114"/>
      <c r="M235" s="114"/>
      <c r="N235" s="114"/>
      <c r="O235" s="114"/>
      <c r="P235" s="351"/>
      <c r="Q235" s="351"/>
      <c r="CU235" s="349"/>
      <c r="CV235" s="40"/>
      <c r="CW235" s="60"/>
      <c r="CX235" s="60"/>
      <c r="CY235" s="60"/>
      <c r="CZ235" s="60"/>
      <c r="DA235" s="60"/>
      <c r="DB235" s="60"/>
      <c r="DC235" s="60"/>
      <c r="DD235" s="60"/>
      <c r="DE235" s="60"/>
      <c r="DF235" s="60"/>
      <c r="DG235" s="60"/>
      <c r="DH235" s="60"/>
      <c r="DI235" s="60"/>
      <c r="DJ235" s="60"/>
      <c r="DK235" s="60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</row>
    <row r="236" spans="4:130" s="57" customFormat="1" x14ac:dyDescent="0.2">
      <c r="D236" s="114"/>
      <c r="E236" s="114"/>
      <c r="F236" s="114"/>
      <c r="G236" s="114"/>
      <c r="H236" s="114"/>
      <c r="I236" s="351"/>
      <c r="J236" s="114"/>
      <c r="K236" s="114"/>
      <c r="L236" s="114"/>
      <c r="M236" s="114"/>
      <c r="N236" s="114"/>
      <c r="O236" s="114"/>
      <c r="P236" s="351"/>
      <c r="Q236" s="351"/>
      <c r="CU236" s="349"/>
      <c r="CV236" s="40"/>
      <c r="CW236" s="60"/>
      <c r="CX236" s="60"/>
      <c r="CY236" s="60"/>
      <c r="CZ236" s="60"/>
      <c r="DA236" s="60"/>
      <c r="DB236" s="60"/>
      <c r="DC236" s="60"/>
      <c r="DD236" s="60"/>
      <c r="DE236" s="60"/>
      <c r="DF236" s="60"/>
      <c r="DG236" s="60"/>
      <c r="DH236" s="60"/>
      <c r="DI236" s="60"/>
      <c r="DJ236" s="60"/>
      <c r="DK236" s="60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</row>
    <row r="237" spans="4:130" s="57" customFormat="1" x14ac:dyDescent="0.2">
      <c r="D237" s="114"/>
      <c r="E237" s="114"/>
      <c r="F237" s="114"/>
      <c r="G237" s="114"/>
      <c r="H237" s="114"/>
      <c r="I237" s="351"/>
      <c r="J237" s="114"/>
      <c r="K237" s="114"/>
      <c r="L237" s="114"/>
      <c r="M237" s="114"/>
      <c r="N237" s="114"/>
      <c r="O237" s="114"/>
      <c r="P237" s="351"/>
      <c r="Q237" s="351"/>
      <c r="CU237" s="349"/>
      <c r="CV237" s="4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</row>
    <row r="238" spans="4:130" s="57" customFormat="1" x14ac:dyDescent="0.2">
      <c r="D238" s="114"/>
      <c r="E238" s="114"/>
      <c r="F238" s="114"/>
      <c r="G238" s="114"/>
      <c r="H238" s="114"/>
      <c r="I238" s="351"/>
      <c r="J238" s="114"/>
      <c r="K238" s="114"/>
      <c r="L238" s="114"/>
      <c r="M238" s="114"/>
      <c r="N238" s="114"/>
      <c r="O238" s="114"/>
      <c r="P238" s="351"/>
      <c r="Q238" s="351"/>
      <c r="CU238" s="349"/>
      <c r="CV238" s="4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</row>
    <row r="239" spans="4:130" s="57" customFormat="1" x14ac:dyDescent="0.2">
      <c r="D239" s="114"/>
      <c r="E239" s="114"/>
      <c r="F239" s="114"/>
      <c r="G239" s="114"/>
      <c r="H239" s="114"/>
      <c r="I239" s="351"/>
      <c r="J239" s="114"/>
      <c r="K239" s="114"/>
      <c r="L239" s="114"/>
      <c r="M239" s="114"/>
      <c r="N239" s="114"/>
      <c r="O239" s="114"/>
      <c r="P239" s="351"/>
      <c r="Q239" s="351"/>
      <c r="CU239" s="349"/>
      <c r="CV239" s="4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</row>
    <row r="240" spans="4:130" s="57" customFormat="1" x14ac:dyDescent="0.2">
      <c r="D240" s="114"/>
      <c r="E240" s="114"/>
      <c r="F240" s="114"/>
      <c r="G240" s="114"/>
      <c r="H240" s="114"/>
      <c r="I240" s="351"/>
      <c r="J240" s="114"/>
      <c r="K240" s="114"/>
      <c r="L240" s="114"/>
      <c r="M240" s="114"/>
      <c r="N240" s="114"/>
      <c r="O240" s="114"/>
      <c r="P240" s="351"/>
      <c r="Q240" s="351"/>
      <c r="CU240" s="349"/>
      <c r="CV240" s="4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</row>
    <row r="241" spans="4:130" s="57" customFormat="1" x14ac:dyDescent="0.2">
      <c r="D241" s="114"/>
      <c r="E241" s="114"/>
      <c r="F241" s="114"/>
      <c r="G241" s="114"/>
      <c r="H241" s="114"/>
      <c r="I241" s="351"/>
      <c r="J241" s="114"/>
      <c r="K241" s="114"/>
      <c r="L241" s="114"/>
      <c r="M241" s="114"/>
      <c r="N241" s="114"/>
      <c r="O241" s="114"/>
      <c r="P241" s="351"/>
      <c r="Q241" s="351"/>
      <c r="CU241" s="349"/>
      <c r="CV241" s="4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</row>
    <row r="242" spans="4:130" s="57" customFormat="1" x14ac:dyDescent="0.2">
      <c r="D242" s="114"/>
      <c r="E242" s="114"/>
      <c r="F242" s="114"/>
      <c r="G242" s="114"/>
      <c r="H242" s="114"/>
      <c r="I242" s="351"/>
      <c r="J242" s="114"/>
      <c r="K242" s="114"/>
      <c r="L242" s="114"/>
      <c r="M242" s="114"/>
      <c r="N242" s="114"/>
      <c r="O242" s="114"/>
      <c r="P242" s="351"/>
      <c r="Q242" s="351"/>
      <c r="CU242" s="349"/>
      <c r="CV242" s="4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</row>
    <row r="243" spans="4:130" s="57" customFormat="1" x14ac:dyDescent="0.2">
      <c r="D243" s="114"/>
      <c r="E243" s="114"/>
      <c r="F243" s="114"/>
      <c r="G243" s="114"/>
      <c r="H243" s="114"/>
      <c r="I243" s="351"/>
      <c r="J243" s="114"/>
      <c r="K243" s="114"/>
      <c r="L243" s="114"/>
      <c r="M243" s="114"/>
      <c r="N243" s="114"/>
      <c r="O243" s="114"/>
      <c r="P243" s="351"/>
      <c r="Q243" s="351"/>
      <c r="CU243" s="349"/>
      <c r="CV243" s="4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</row>
    <row r="244" spans="4:130" s="57" customFormat="1" x14ac:dyDescent="0.2">
      <c r="D244" s="114"/>
      <c r="E244" s="114"/>
      <c r="F244" s="114"/>
      <c r="G244" s="114"/>
      <c r="H244" s="114"/>
      <c r="I244" s="351"/>
      <c r="J244" s="114"/>
      <c r="K244" s="114"/>
      <c r="L244" s="114"/>
      <c r="M244" s="114"/>
      <c r="N244" s="114"/>
      <c r="O244" s="114"/>
      <c r="P244" s="351"/>
      <c r="Q244" s="351"/>
      <c r="CU244" s="349"/>
      <c r="CV244" s="4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</row>
    <row r="245" spans="4:130" s="57" customFormat="1" x14ac:dyDescent="0.2">
      <c r="D245" s="114"/>
      <c r="E245" s="114"/>
      <c r="F245" s="114"/>
      <c r="G245" s="114"/>
      <c r="H245" s="114"/>
      <c r="I245" s="351"/>
      <c r="J245" s="114"/>
      <c r="K245" s="114"/>
      <c r="L245" s="114"/>
      <c r="M245" s="114"/>
      <c r="N245" s="114"/>
      <c r="O245" s="114"/>
      <c r="P245" s="351"/>
      <c r="Q245" s="351"/>
      <c r="CU245" s="349"/>
      <c r="CV245" s="4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</row>
    <row r="246" spans="4:130" s="57" customFormat="1" x14ac:dyDescent="0.2">
      <c r="D246" s="114"/>
      <c r="E246" s="114"/>
      <c r="F246" s="114"/>
      <c r="G246" s="114"/>
      <c r="H246" s="114"/>
      <c r="I246" s="351"/>
      <c r="J246" s="114"/>
      <c r="K246" s="114"/>
      <c r="L246" s="114"/>
      <c r="M246" s="114"/>
      <c r="N246" s="114"/>
      <c r="O246" s="114"/>
      <c r="P246" s="351"/>
      <c r="Q246" s="351"/>
      <c r="CU246" s="349"/>
      <c r="CV246" s="40"/>
      <c r="CW246" s="60"/>
      <c r="CX246" s="60"/>
      <c r="CY246" s="60"/>
      <c r="CZ246" s="60"/>
      <c r="DA246" s="60"/>
      <c r="DB246" s="60"/>
      <c r="DC246" s="60"/>
      <c r="DD246" s="60"/>
      <c r="DE246" s="60"/>
      <c r="DF246" s="60"/>
      <c r="DG246" s="60"/>
      <c r="DH246" s="60"/>
      <c r="DI246" s="60"/>
      <c r="DJ246" s="60"/>
      <c r="DK246" s="60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</row>
    <row r="247" spans="4:130" s="57" customFormat="1" x14ac:dyDescent="0.2">
      <c r="D247" s="114"/>
      <c r="E247" s="114"/>
      <c r="F247" s="114"/>
      <c r="G247" s="114"/>
      <c r="H247" s="114"/>
      <c r="I247" s="351"/>
      <c r="J247" s="114"/>
      <c r="K247" s="114"/>
      <c r="L247" s="114"/>
      <c r="M247" s="114"/>
      <c r="N247" s="114"/>
      <c r="O247" s="114"/>
      <c r="P247" s="351"/>
      <c r="Q247" s="351"/>
      <c r="CU247" s="349"/>
      <c r="CV247" s="4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</row>
    <row r="248" spans="4:130" s="57" customFormat="1" x14ac:dyDescent="0.2">
      <c r="D248" s="114"/>
      <c r="E248" s="114"/>
      <c r="F248" s="114"/>
      <c r="G248" s="114"/>
      <c r="H248" s="114"/>
      <c r="I248" s="351"/>
      <c r="J248" s="114"/>
      <c r="K248" s="114"/>
      <c r="L248" s="114"/>
      <c r="M248" s="114"/>
      <c r="N248" s="114"/>
      <c r="O248" s="114"/>
      <c r="P248" s="351"/>
      <c r="Q248" s="351"/>
      <c r="CU248" s="349"/>
      <c r="CV248" s="40"/>
      <c r="CW248" s="60"/>
      <c r="CX248" s="60"/>
      <c r="CY248" s="60"/>
      <c r="CZ248" s="60"/>
      <c r="DA248" s="60"/>
      <c r="DB248" s="60"/>
      <c r="DC248" s="60"/>
      <c r="DD248" s="60"/>
      <c r="DE248" s="60"/>
      <c r="DF248" s="60"/>
      <c r="DG248" s="60"/>
      <c r="DH248" s="60"/>
      <c r="DI248" s="60"/>
      <c r="DJ248" s="60"/>
      <c r="DK248" s="60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</row>
    <row r="249" spans="4:130" s="57" customFormat="1" x14ac:dyDescent="0.2">
      <c r="D249" s="114"/>
      <c r="E249" s="114"/>
      <c r="F249" s="114"/>
      <c r="G249" s="114"/>
      <c r="H249" s="114"/>
      <c r="I249" s="351"/>
      <c r="J249" s="114"/>
      <c r="K249" s="114"/>
      <c r="L249" s="114"/>
      <c r="M249" s="114"/>
      <c r="N249" s="114"/>
      <c r="O249" s="114"/>
      <c r="P249" s="351"/>
      <c r="Q249" s="351"/>
      <c r="CU249" s="349"/>
      <c r="CV249" s="4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</row>
    <row r="250" spans="4:130" s="57" customFormat="1" x14ac:dyDescent="0.2">
      <c r="D250" s="114"/>
      <c r="E250" s="114"/>
      <c r="F250" s="114"/>
      <c r="G250" s="114"/>
      <c r="H250" s="114"/>
      <c r="I250" s="351"/>
      <c r="J250" s="114"/>
      <c r="K250" s="114"/>
      <c r="L250" s="114"/>
      <c r="M250" s="114"/>
      <c r="N250" s="114"/>
      <c r="O250" s="114"/>
      <c r="P250" s="351"/>
      <c r="Q250" s="351"/>
      <c r="CU250" s="349"/>
      <c r="CV250" s="40"/>
      <c r="CW250" s="60"/>
      <c r="CX250" s="60"/>
      <c r="CY250" s="60"/>
      <c r="CZ250" s="60"/>
      <c r="DA250" s="60"/>
      <c r="DB250" s="60"/>
      <c r="DC250" s="60"/>
      <c r="DD250" s="60"/>
      <c r="DE250" s="60"/>
      <c r="DF250" s="60"/>
      <c r="DG250" s="60"/>
      <c r="DH250" s="60"/>
      <c r="DI250" s="60"/>
      <c r="DJ250" s="60"/>
      <c r="DK250" s="60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</row>
    <row r="251" spans="4:130" s="57" customFormat="1" x14ac:dyDescent="0.2">
      <c r="D251" s="114"/>
      <c r="E251" s="114"/>
      <c r="F251" s="114"/>
      <c r="G251" s="114"/>
      <c r="H251" s="114"/>
      <c r="I251" s="351"/>
      <c r="J251" s="114"/>
      <c r="K251" s="114"/>
      <c r="L251" s="114"/>
      <c r="M251" s="114"/>
      <c r="N251" s="114"/>
      <c r="O251" s="114"/>
      <c r="P251" s="351"/>
      <c r="Q251" s="351"/>
      <c r="CU251" s="349"/>
      <c r="CV251" s="4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</row>
    <row r="252" spans="4:130" s="57" customFormat="1" x14ac:dyDescent="0.2">
      <c r="D252" s="114"/>
      <c r="E252" s="114"/>
      <c r="F252" s="114"/>
      <c r="G252" s="114"/>
      <c r="H252" s="114"/>
      <c r="I252" s="351"/>
      <c r="J252" s="114"/>
      <c r="K252" s="114"/>
      <c r="L252" s="114"/>
      <c r="M252" s="114"/>
      <c r="N252" s="114"/>
      <c r="O252" s="114"/>
      <c r="P252" s="351"/>
      <c r="Q252" s="351"/>
      <c r="CU252" s="349"/>
      <c r="CV252" s="4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</row>
    <row r="253" spans="4:130" s="57" customFormat="1" x14ac:dyDescent="0.2">
      <c r="D253" s="114"/>
      <c r="E253" s="114"/>
      <c r="F253" s="114"/>
      <c r="G253" s="114"/>
      <c r="H253" s="114"/>
      <c r="I253" s="351"/>
      <c r="J253" s="114"/>
      <c r="K253" s="114"/>
      <c r="L253" s="114"/>
      <c r="M253" s="114"/>
      <c r="N253" s="114"/>
      <c r="O253" s="114"/>
      <c r="P253" s="351"/>
      <c r="Q253" s="351"/>
      <c r="CU253" s="349"/>
      <c r="CV253" s="4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</row>
    <row r="254" spans="4:130" s="57" customFormat="1" x14ac:dyDescent="0.2">
      <c r="D254" s="114"/>
      <c r="E254" s="114"/>
      <c r="F254" s="114"/>
      <c r="G254" s="114"/>
      <c r="H254" s="114"/>
      <c r="I254" s="351"/>
      <c r="J254" s="114"/>
      <c r="K254" s="114"/>
      <c r="L254" s="114"/>
      <c r="M254" s="114"/>
      <c r="N254" s="114"/>
      <c r="O254" s="114"/>
      <c r="P254" s="351"/>
      <c r="Q254" s="351"/>
      <c r="CU254" s="349"/>
      <c r="CV254" s="4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</row>
    <row r="255" spans="4:130" s="57" customFormat="1" x14ac:dyDescent="0.2">
      <c r="D255" s="114"/>
      <c r="E255" s="114"/>
      <c r="F255" s="114"/>
      <c r="G255" s="114"/>
      <c r="H255" s="114"/>
      <c r="I255" s="351"/>
      <c r="J255" s="114"/>
      <c r="K255" s="114"/>
      <c r="L255" s="114"/>
      <c r="M255" s="114"/>
      <c r="N255" s="114"/>
      <c r="O255" s="114"/>
      <c r="P255" s="351"/>
      <c r="Q255" s="351"/>
      <c r="CU255" s="349"/>
      <c r="CV255" s="4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</row>
    <row r="256" spans="4:130" s="57" customFormat="1" x14ac:dyDescent="0.2">
      <c r="D256" s="114"/>
      <c r="E256" s="114"/>
      <c r="F256" s="114"/>
      <c r="G256" s="114"/>
      <c r="H256" s="114"/>
      <c r="I256" s="351"/>
      <c r="J256" s="114"/>
      <c r="K256" s="114"/>
      <c r="L256" s="114"/>
      <c r="M256" s="114"/>
      <c r="N256" s="114"/>
      <c r="O256" s="114"/>
      <c r="P256" s="351"/>
      <c r="Q256" s="351"/>
      <c r="CU256" s="349"/>
      <c r="CV256" s="4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</row>
    <row r="257" spans="4:130" s="57" customFormat="1" x14ac:dyDescent="0.2">
      <c r="D257" s="114"/>
      <c r="E257" s="114"/>
      <c r="F257" s="114"/>
      <c r="G257" s="114"/>
      <c r="H257" s="114"/>
      <c r="I257" s="351"/>
      <c r="J257" s="114"/>
      <c r="K257" s="114"/>
      <c r="L257" s="114"/>
      <c r="M257" s="114"/>
      <c r="N257" s="114"/>
      <c r="O257" s="114"/>
      <c r="P257" s="351"/>
      <c r="Q257" s="351"/>
      <c r="CU257" s="349"/>
      <c r="CV257" s="4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</row>
    <row r="258" spans="4:130" s="57" customFormat="1" x14ac:dyDescent="0.2">
      <c r="D258" s="114"/>
      <c r="E258" s="114"/>
      <c r="F258" s="114"/>
      <c r="G258" s="114"/>
      <c r="H258" s="114"/>
      <c r="I258" s="351"/>
      <c r="J258" s="114"/>
      <c r="K258" s="114"/>
      <c r="L258" s="114"/>
      <c r="M258" s="114"/>
      <c r="N258" s="114"/>
      <c r="O258" s="114"/>
      <c r="P258" s="351"/>
      <c r="Q258" s="351"/>
      <c r="CU258" s="349"/>
      <c r="CV258" s="4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</row>
    <row r="259" spans="4:130" s="57" customFormat="1" x14ac:dyDescent="0.2">
      <c r="D259" s="114"/>
      <c r="E259" s="114"/>
      <c r="F259" s="114"/>
      <c r="G259" s="114"/>
      <c r="H259" s="114"/>
      <c r="I259" s="351"/>
      <c r="J259" s="114"/>
      <c r="K259" s="114"/>
      <c r="L259" s="114"/>
      <c r="M259" s="114"/>
      <c r="N259" s="114"/>
      <c r="O259" s="114"/>
      <c r="P259" s="351"/>
      <c r="Q259" s="351"/>
      <c r="CU259" s="349"/>
      <c r="CV259" s="40"/>
      <c r="CW259" s="60"/>
      <c r="CX259" s="60"/>
      <c r="CY259" s="60"/>
      <c r="CZ259" s="60"/>
      <c r="DA259" s="60"/>
      <c r="DB259" s="60"/>
      <c r="DC259" s="60"/>
      <c r="DD259" s="60"/>
      <c r="DE259" s="60"/>
      <c r="DF259" s="60"/>
      <c r="DG259" s="60"/>
      <c r="DH259" s="60"/>
      <c r="DI259" s="60"/>
      <c r="DJ259" s="60"/>
      <c r="DK259" s="60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</row>
    <row r="260" spans="4:130" s="57" customFormat="1" x14ac:dyDescent="0.2">
      <c r="D260" s="114"/>
      <c r="E260" s="114"/>
      <c r="F260" s="114"/>
      <c r="G260" s="114"/>
      <c r="H260" s="114"/>
      <c r="I260" s="351"/>
      <c r="J260" s="114"/>
      <c r="K260" s="114"/>
      <c r="L260" s="114"/>
      <c r="M260" s="114"/>
      <c r="N260" s="114"/>
      <c r="O260" s="114"/>
      <c r="P260" s="351"/>
      <c r="Q260" s="351"/>
      <c r="CU260" s="349"/>
      <c r="CV260" s="40"/>
      <c r="CW260" s="60"/>
      <c r="CX260" s="60"/>
      <c r="CY260" s="60"/>
      <c r="CZ260" s="60"/>
      <c r="DA260" s="60"/>
      <c r="DB260" s="60"/>
      <c r="DC260" s="60"/>
      <c r="DD260" s="60"/>
      <c r="DE260" s="60"/>
      <c r="DF260" s="60"/>
      <c r="DG260" s="60"/>
      <c r="DH260" s="60"/>
      <c r="DI260" s="60"/>
      <c r="DJ260" s="60"/>
      <c r="DK260" s="60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</row>
    <row r="261" spans="4:130" s="57" customFormat="1" x14ac:dyDescent="0.2">
      <c r="D261" s="114"/>
      <c r="E261" s="114"/>
      <c r="F261" s="114"/>
      <c r="G261" s="114"/>
      <c r="H261" s="114"/>
      <c r="I261" s="351"/>
      <c r="J261" s="114"/>
      <c r="K261" s="114"/>
      <c r="L261" s="114"/>
      <c r="M261" s="114"/>
      <c r="N261" s="114"/>
      <c r="O261" s="114"/>
      <c r="P261" s="351"/>
      <c r="Q261" s="351"/>
      <c r="CU261" s="349"/>
      <c r="CV261" s="4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</row>
    <row r="262" spans="4:130" s="57" customFormat="1" x14ac:dyDescent="0.2">
      <c r="D262" s="114"/>
      <c r="E262" s="114"/>
      <c r="F262" s="114"/>
      <c r="G262" s="114"/>
      <c r="H262" s="114"/>
      <c r="I262" s="351"/>
      <c r="J262" s="114"/>
      <c r="K262" s="114"/>
      <c r="L262" s="114"/>
      <c r="M262" s="114"/>
      <c r="N262" s="114"/>
      <c r="O262" s="114"/>
      <c r="P262" s="351"/>
      <c r="Q262" s="351"/>
      <c r="CU262" s="349"/>
      <c r="CV262" s="4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</row>
    <row r="263" spans="4:130" s="57" customFormat="1" x14ac:dyDescent="0.2">
      <c r="D263" s="114"/>
      <c r="E263" s="114"/>
      <c r="F263" s="114"/>
      <c r="G263" s="114"/>
      <c r="H263" s="114"/>
      <c r="I263" s="351"/>
      <c r="J263" s="114"/>
      <c r="K263" s="114"/>
      <c r="L263" s="114"/>
      <c r="M263" s="114"/>
      <c r="N263" s="114"/>
      <c r="O263" s="114"/>
      <c r="P263" s="351"/>
      <c r="Q263" s="351"/>
      <c r="CU263" s="349"/>
      <c r="CV263" s="4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</row>
    <row r="264" spans="4:130" s="57" customFormat="1" x14ac:dyDescent="0.2">
      <c r="D264" s="114"/>
      <c r="E264" s="114"/>
      <c r="F264" s="114"/>
      <c r="G264" s="114"/>
      <c r="H264" s="114"/>
      <c r="I264" s="351"/>
      <c r="J264" s="114"/>
      <c r="K264" s="114"/>
      <c r="L264" s="114"/>
      <c r="M264" s="114"/>
      <c r="N264" s="114"/>
      <c r="O264" s="114"/>
      <c r="P264" s="351"/>
      <c r="Q264" s="351"/>
      <c r="CU264" s="349"/>
      <c r="CV264" s="4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</row>
    <row r="265" spans="4:130" s="57" customFormat="1" x14ac:dyDescent="0.2">
      <c r="D265" s="114"/>
      <c r="E265" s="114"/>
      <c r="F265" s="114"/>
      <c r="G265" s="114"/>
      <c r="H265" s="114"/>
      <c r="I265" s="351"/>
      <c r="J265" s="114"/>
      <c r="K265" s="114"/>
      <c r="L265" s="114"/>
      <c r="M265" s="114"/>
      <c r="N265" s="114"/>
      <c r="O265" s="114"/>
      <c r="P265" s="351"/>
      <c r="Q265" s="351"/>
      <c r="S265" s="118"/>
      <c r="CU265" s="349"/>
      <c r="CV265" s="40"/>
      <c r="CW265" s="60"/>
      <c r="CX265" s="60"/>
      <c r="CY265" s="60"/>
      <c r="CZ265" s="60"/>
      <c r="DA265" s="60"/>
      <c r="DB265" s="60"/>
      <c r="DC265" s="60"/>
      <c r="DD265" s="60"/>
      <c r="DE265" s="60"/>
      <c r="DF265" s="60"/>
      <c r="DG265" s="60"/>
      <c r="DH265" s="60"/>
      <c r="DI265" s="60"/>
      <c r="DJ265" s="60"/>
      <c r="DK265" s="60"/>
      <c r="DL265" s="95"/>
      <c r="DM265" s="95"/>
      <c r="DN265" s="95"/>
      <c r="DO265" s="95"/>
      <c r="DP265" s="95"/>
      <c r="DQ265" s="95"/>
      <c r="DR265" s="95"/>
      <c r="DS265" s="95"/>
      <c r="DT265" s="95"/>
      <c r="DU265" s="95"/>
      <c r="DV265" s="95"/>
      <c r="DW265" s="95"/>
      <c r="DX265" s="95"/>
      <c r="DY265" s="95"/>
      <c r="DZ265" s="95"/>
    </row>
    <row r="266" spans="4:130" s="57" customFormat="1" x14ac:dyDescent="0.2">
      <c r="D266" s="114"/>
      <c r="E266" s="114"/>
      <c r="F266" s="114"/>
      <c r="G266" s="114"/>
      <c r="H266" s="114"/>
      <c r="I266" s="351"/>
      <c r="J266" s="114"/>
      <c r="K266" s="114"/>
      <c r="L266" s="114"/>
      <c r="M266" s="114"/>
      <c r="N266" s="114"/>
      <c r="O266" s="114"/>
      <c r="P266" s="351"/>
      <c r="Q266" s="351"/>
      <c r="S266" s="118"/>
      <c r="CU266" s="349"/>
      <c r="CV266" s="4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</row>
    <row r="267" spans="4:130" s="57" customFormat="1" x14ac:dyDescent="0.2">
      <c r="D267" s="114"/>
      <c r="E267" s="114"/>
      <c r="F267" s="114"/>
      <c r="G267" s="114"/>
      <c r="H267" s="114"/>
      <c r="I267" s="351"/>
      <c r="J267" s="114"/>
      <c r="K267" s="114"/>
      <c r="L267" s="114"/>
      <c r="M267" s="114"/>
      <c r="N267" s="114"/>
      <c r="O267" s="114"/>
      <c r="P267" s="351"/>
      <c r="Q267" s="351"/>
      <c r="S267" s="118"/>
      <c r="CU267" s="349"/>
      <c r="CV267" s="4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95"/>
      <c r="DZ267" s="95"/>
    </row>
    <row r="268" spans="4:130" s="57" customFormat="1" x14ac:dyDescent="0.2">
      <c r="D268" s="114"/>
      <c r="E268" s="114"/>
      <c r="F268" s="114"/>
      <c r="G268" s="114"/>
      <c r="H268" s="114"/>
      <c r="I268" s="351"/>
      <c r="J268" s="114"/>
      <c r="K268" s="114"/>
      <c r="L268" s="114"/>
      <c r="M268" s="114"/>
      <c r="N268" s="114"/>
      <c r="O268" s="114"/>
      <c r="P268" s="351"/>
      <c r="Q268" s="351"/>
      <c r="S268" s="118"/>
      <c r="CU268" s="349"/>
      <c r="CV268" s="4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95"/>
      <c r="DM268" s="95"/>
      <c r="DN268" s="95"/>
      <c r="DO268" s="95"/>
      <c r="DP268" s="95"/>
      <c r="DQ268" s="95"/>
      <c r="DR268" s="95"/>
      <c r="DS268" s="95"/>
      <c r="DT268" s="95"/>
      <c r="DU268" s="95"/>
      <c r="DV268" s="95"/>
      <c r="DW268" s="95"/>
      <c r="DX268" s="95"/>
      <c r="DY268" s="95"/>
      <c r="DZ268" s="95"/>
    </row>
    <row r="269" spans="4:130" s="57" customFormat="1" x14ac:dyDescent="0.2">
      <c r="D269" s="114"/>
      <c r="E269" s="114"/>
      <c r="F269" s="114"/>
      <c r="G269" s="114"/>
      <c r="H269" s="114"/>
      <c r="I269" s="351"/>
      <c r="J269" s="114"/>
      <c r="K269" s="114"/>
      <c r="L269" s="114"/>
      <c r="M269" s="114"/>
      <c r="N269" s="114"/>
      <c r="O269" s="114"/>
      <c r="P269" s="351"/>
      <c r="Q269" s="351"/>
      <c r="S269" s="118"/>
      <c r="CU269" s="349"/>
      <c r="CV269" s="4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95"/>
      <c r="DM269" s="95"/>
      <c r="DN269" s="95"/>
      <c r="DO269" s="95"/>
      <c r="DP269" s="95"/>
      <c r="DQ269" s="95"/>
      <c r="DR269" s="95"/>
      <c r="DS269" s="95"/>
      <c r="DT269" s="95"/>
      <c r="DU269" s="95"/>
      <c r="DV269" s="95"/>
      <c r="DW269" s="95"/>
      <c r="DX269" s="95"/>
      <c r="DY269" s="95"/>
      <c r="DZ269" s="95"/>
    </row>
    <row r="270" spans="4:130" s="57" customFormat="1" x14ac:dyDescent="0.2">
      <c r="D270" s="114"/>
      <c r="E270" s="114"/>
      <c r="F270" s="114"/>
      <c r="G270" s="114"/>
      <c r="H270" s="114"/>
      <c r="I270" s="351"/>
      <c r="J270" s="114"/>
      <c r="K270" s="114"/>
      <c r="L270" s="114"/>
      <c r="M270" s="114"/>
      <c r="N270" s="114"/>
      <c r="O270" s="114"/>
      <c r="P270" s="351"/>
      <c r="Q270" s="351"/>
      <c r="S270" s="118"/>
      <c r="CU270" s="349"/>
      <c r="CV270" s="4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95"/>
      <c r="DM270" s="95"/>
      <c r="DN270" s="95"/>
      <c r="DO270" s="95"/>
      <c r="DP270" s="95"/>
      <c r="DQ270" s="95"/>
      <c r="DR270" s="95"/>
      <c r="DS270" s="95"/>
      <c r="DT270" s="95"/>
      <c r="DU270" s="95"/>
      <c r="DV270" s="95"/>
      <c r="DW270" s="95"/>
      <c r="DX270" s="95"/>
      <c r="DY270" s="95"/>
      <c r="DZ270" s="95"/>
    </row>
    <row r="271" spans="4:130" s="57" customFormat="1" x14ac:dyDescent="0.2">
      <c r="D271" s="114"/>
      <c r="E271" s="114"/>
      <c r="F271" s="114"/>
      <c r="G271" s="114"/>
      <c r="H271" s="114"/>
      <c r="I271" s="351"/>
      <c r="J271" s="114"/>
      <c r="K271" s="114"/>
      <c r="L271" s="114"/>
      <c r="M271" s="114"/>
      <c r="N271" s="114"/>
      <c r="O271" s="114"/>
      <c r="P271" s="351"/>
      <c r="Q271" s="351"/>
      <c r="S271" s="118"/>
      <c r="CU271" s="349"/>
      <c r="CV271" s="4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95"/>
      <c r="DM271" s="95"/>
      <c r="DN271" s="95"/>
      <c r="DO271" s="95"/>
      <c r="DP271" s="95"/>
      <c r="DQ271" s="95"/>
      <c r="DR271" s="95"/>
      <c r="DS271" s="95"/>
      <c r="DT271" s="95"/>
      <c r="DU271" s="95"/>
      <c r="DV271" s="95"/>
      <c r="DW271" s="95"/>
      <c r="DX271" s="95"/>
      <c r="DY271" s="95"/>
      <c r="DZ271" s="95"/>
    </row>
    <row r="272" spans="4:130" s="57" customFormat="1" x14ac:dyDescent="0.2">
      <c r="D272" s="114"/>
      <c r="E272" s="114"/>
      <c r="F272" s="114"/>
      <c r="G272" s="114"/>
      <c r="H272" s="114"/>
      <c r="I272" s="351"/>
      <c r="J272" s="114"/>
      <c r="K272" s="114"/>
      <c r="L272" s="114"/>
      <c r="M272" s="114"/>
      <c r="N272" s="114"/>
      <c r="O272" s="114"/>
      <c r="P272" s="351"/>
      <c r="Q272" s="351"/>
      <c r="S272" s="118"/>
      <c r="CU272" s="349"/>
      <c r="CV272" s="4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95"/>
      <c r="DM272" s="95"/>
      <c r="DN272" s="95"/>
      <c r="DO272" s="95"/>
      <c r="DP272" s="95"/>
      <c r="DQ272" s="95"/>
      <c r="DR272" s="95"/>
      <c r="DS272" s="95"/>
      <c r="DT272" s="95"/>
      <c r="DU272" s="95"/>
      <c r="DV272" s="95"/>
      <c r="DW272" s="95"/>
      <c r="DX272" s="95"/>
      <c r="DY272" s="95"/>
      <c r="DZ272" s="95"/>
    </row>
    <row r="273" spans="4:130" s="57" customFormat="1" x14ac:dyDescent="0.2">
      <c r="D273" s="114"/>
      <c r="E273" s="114"/>
      <c r="F273" s="114"/>
      <c r="G273" s="114"/>
      <c r="H273" s="114"/>
      <c r="I273" s="351"/>
      <c r="J273" s="114"/>
      <c r="K273" s="114"/>
      <c r="L273" s="114"/>
      <c r="M273" s="114"/>
      <c r="N273" s="114"/>
      <c r="O273" s="114"/>
      <c r="P273" s="351"/>
      <c r="Q273" s="351"/>
      <c r="S273" s="118"/>
      <c r="CU273" s="349"/>
      <c r="CV273" s="4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95"/>
      <c r="DM273" s="95"/>
      <c r="DN273" s="95"/>
      <c r="DO273" s="95"/>
      <c r="DP273" s="95"/>
      <c r="DQ273" s="95"/>
      <c r="DR273" s="95"/>
      <c r="DS273" s="95"/>
      <c r="DT273" s="95"/>
      <c r="DU273" s="95"/>
      <c r="DV273" s="95"/>
      <c r="DW273" s="95"/>
      <c r="DX273" s="95"/>
      <c r="DY273" s="95"/>
      <c r="DZ273" s="95"/>
    </row>
    <row r="274" spans="4:130" s="57" customFormat="1" x14ac:dyDescent="0.2">
      <c r="D274" s="114"/>
      <c r="E274" s="114"/>
      <c r="F274" s="114"/>
      <c r="G274" s="114"/>
      <c r="H274" s="114"/>
      <c r="I274" s="351"/>
      <c r="J274" s="114"/>
      <c r="K274" s="114"/>
      <c r="L274" s="114"/>
      <c r="M274" s="114"/>
      <c r="N274" s="114"/>
      <c r="O274" s="114"/>
      <c r="P274" s="351"/>
      <c r="Q274" s="351"/>
      <c r="S274" s="118"/>
      <c r="CU274" s="349"/>
      <c r="CV274" s="4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</row>
    <row r="275" spans="4:130" s="57" customFormat="1" x14ac:dyDescent="0.2">
      <c r="D275" s="114"/>
      <c r="E275" s="114"/>
      <c r="F275" s="114"/>
      <c r="G275" s="114"/>
      <c r="H275" s="114"/>
      <c r="I275" s="351"/>
      <c r="J275" s="114"/>
      <c r="K275" s="114"/>
      <c r="L275" s="114"/>
      <c r="M275" s="114"/>
      <c r="N275" s="114"/>
      <c r="O275" s="114"/>
      <c r="P275" s="351"/>
      <c r="Q275" s="351"/>
      <c r="S275" s="118"/>
      <c r="CU275" s="349"/>
      <c r="CV275" s="4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95"/>
      <c r="DM275" s="95"/>
      <c r="DN275" s="95"/>
      <c r="DO275" s="95"/>
      <c r="DP275" s="95"/>
      <c r="DQ275" s="95"/>
      <c r="DR275" s="95"/>
      <c r="DS275" s="95"/>
      <c r="DT275" s="95"/>
      <c r="DU275" s="95"/>
      <c r="DV275" s="95"/>
      <c r="DW275" s="95"/>
      <c r="DX275" s="95"/>
      <c r="DY275" s="95"/>
      <c r="DZ275" s="95"/>
    </row>
    <row r="276" spans="4:130" s="57" customFormat="1" x14ac:dyDescent="0.2">
      <c r="D276" s="114"/>
      <c r="E276" s="114"/>
      <c r="F276" s="114"/>
      <c r="G276" s="114"/>
      <c r="H276" s="114"/>
      <c r="I276" s="351"/>
      <c r="J276" s="114"/>
      <c r="K276" s="114"/>
      <c r="L276" s="114"/>
      <c r="M276" s="114"/>
      <c r="N276" s="114"/>
      <c r="O276" s="114"/>
      <c r="P276" s="351"/>
      <c r="Q276" s="351"/>
      <c r="S276" s="118"/>
      <c r="CU276" s="349"/>
      <c r="CV276" s="4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95"/>
      <c r="DM276" s="95"/>
      <c r="DN276" s="95"/>
      <c r="DO276" s="95"/>
      <c r="DP276" s="95"/>
      <c r="DQ276" s="95"/>
      <c r="DR276" s="95"/>
      <c r="DS276" s="95"/>
      <c r="DT276" s="95"/>
      <c r="DU276" s="95"/>
      <c r="DV276" s="95"/>
      <c r="DW276" s="95"/>
      <c r="DX276" s="95"/>
      <c r="DY276" s="95"/>
      <c r="DZ276" s="95"/>
    </row>
    <row r="277" spans="4:130" s="57" customFormat="1" x14ac:dyDescent="0.2">
      <c r="D277" s="114"/>
      <c r="E277" s="114"/>
      <c r="F277" s="114"/>
      <c r="G277" s="114"/>
      <c r="H277" s="114"/>
      <c r="I277" s="351"/>
      <c r="J277" s="114"/>
      <c r="K277" s="114"/>
      <c r="L277" s="114"/>
      <c r="M277" s="114"/>
      <c r="N277" s="114"/>
      <c r="O277" s="114"/>
      <c r="P277" s="351"/>
      <c r="Q277" s="351"/>
      <c r="S277" s="118"/>
      <c r="CU277" s="349"/>
      <c r="CV277" s="4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</row>
    <row r="278" spans="4:130" s="57" customFormat="1" x14ac:dyDescent="0.2">
      <c r="D278" s="114"/>
      <c r="E278" s="114"/>
      <c r="F278" s="114"/>
      <c r="G278" s="114"/>
      <c r="H278" s="114"/>
      <c r="I278" s="351"/>
      <c r="J278" s="114"/>
      <c r="K278" s="114"/>
      <c r="L278" s="114"/>
      <c r="M278" s="114"/>
      <c r="N278" s="114"/>
      <c r="O278" s="114"/>
      <c r="P278" s="351"/>
      <c r="Q278" s="351"/>
      <c r="S278" s="118"/>
      <c r="CU278" s="349"/>
      <c r="CV278" s="4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95"/>
      <c r="DM278" s="95"/>
      <c r="DN278" s="95"/>
      <c r="DO278" s="95"/>
      <c r="DP278" s="95"/>
      <c r="DQ278" s="95"/>
      <c r="DR278" s="95"/>
      <c r="DS278" s="95"/>
      <c r="DT278" s="95"/>
      <c r="DU278" s="95"/>
      <c r="DV278" s="95"/>
      <c r="DW278" s="95"/>
      <c r="DX278" s="95"/>
      <c r="DY278" s="95"/>
      <c r="DZ278" s="95"/>
    </row>
    <row r="279" spans="4:130" s="57" customFormat="1" x14ac:dyDescent="0.2">
      <c r="D279" s="114"/>
      <c r="E279" s="114"/>
      <c r="F279" s="114"/>
      <c r="G279" s="114"/>
      <c r="H279" s="114"/>
      <c r="I279" s="351"/>
      <c r="J279" s="114"/>
      <c r="K279" s="114"/>
      <c r="L279" s="114"/>
      <c r="M279" s="114"/>
      <c r="N279" s="114"/>
      <c r="O279" s="114"/>
      <c r="P279" s="351"/>
      <c r="Q279" s="351"/>
      <c r="S279" s="118"/>
      <c r="CU279" s="349"/>
      <c r="CV279" s="4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</row>
    <row r="280" spans="4:130" s="57" customFormat="1" x14ac:dyDescent="0.2">
      <c r="D280" s="114"/>
      <c r="E280" s="114"/>
      <c r="F280" s="114"/>
      <c r="G280" s="114"/>
      <c r="H280" s="114"/>
      <c r="I280" s="351"/>
      <c r="J280" s="114"/>
      <c r="K280" s="114"/>
      <c r="L280" s="114"/>
      <c r="M280" s="114"/>
      <c r="N280" s="114"/>
      <c r="O280" s="114"/>
      <c r="P280" s="351"/>
      <c r="Q280" s="351"/>
      <c r="S280" s="118"/>
      <c r="CU280" s="349"/>
      <c r="CV280" s="4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95"/>
      <c r="DM280" s="95"/>
      <c r="DN280" s="95"/>
      <c r="DO280" s="95"/>
      <c r="DP280" s="95"/>
      <c r="DQ280" s="95"/>
      <c r="DR280" s="95"/>
      <c r="DS280" s="95"/>
      <c r="DT280" s="95"/>
      <c r="DU280" s="95"/>
      <c r="DV280" s="95"/>
      <c r="DW280" s="95"/>
      <c r="DX280" s="95"/>
      <c r="DY280" s="95"/>
      <c r="DZ280" s="95"/>
    </row>
    <row r="281" spans="4:130" s="57" customFormat="1" x14ac:dyDescent="0.2">
      <c r="D281" s="114"/>
      <c r="E281" s="114"/>
      <c r="F281" s="114"/>
      <c r="G281" s="114"/>
      <c r="H281" s="114"/>
      <c r="I281" s="351"/>
      <c r="J281" s="114"/>
      <c r="K281" s="114"/>
      <c r="L281" s="114"/>
      <c r="M281" s="114"/>
      <c r="N281" s="114"/>
      <c r="O281" s="114"/>
      <c r="P281" s="351"/>
      <c r="Q281" s="351"/>
      <c r="S281" s="118"/>
      <c r="CU281" s="349"/>
      <c r="CV281" s="4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95"/>
      <c r="DM281" s="95"/>
      <c r="DN281" s="95"/>
      <c r="DO281" s="95"/>
      <c r="DP281" s="95"/>
      <c r="DQ281" s="95"/>
      <c r="DR281" s="95"/>
      <c r="DS281" s="95"/>
      <c r="DT281" s="95"/>
      <c r="DU281" s="95"/>
      <c r="DV281" s="95"/>
      <c r="DW281" s="95"/>
      <c r="DX281" s="95"/>
      <c r="DY281" s="95"/>
      <c r="DZ281" s="95"/>
    </row>
    <row r="282" spans="4:130" s="57" customFormat="1" x14ac:dyDescent="0.2">
      <c r="D282" s="114"/>
      <c r="E282" s="114"/>
      <c r="F282" s="114"/>
      <c r="G282" s="114"/>
      <c r="H282" s="114"/>
      <c r="I282" s="351"/>
      <c r="J282" s="114"/>
      <c r="K282" s="114"/>
      <c r="L282" s="114"/>
      <c r="M282" s="114"/>
      <c r="N282" s="114"/>
      <c r="O282" s="114"/>
      <c r="P282" s="351"/>
      <c r="Q282" s="351"/>
      <c r="S282" s="118"/>
      <c r="CU282" s="349"/>
      <c r="CV282" s="4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</row>
    <row r="283" spans="4:130" s="57" customFormat="1" x14ac:dyDescent="0.2">
      <c r="D283" s="114"/>
      <c r="E283" s="114"/>
      <c r="F283" s="114"/>
      <c r="G283" s="114"/>
      <c r="H283" s="114"/>
      <c r="I283" s="351"/>
      <c r="J283" s="114"/>
      <c r="K283" s="114"/>
      <c r="L283" s="114"/>
      <c r="M283" s="114"/>
      <c r="N283" s="114"/>
      <c r="O283" s="114"/>
      <c r="P283" s="351"/>
      <c r="Q283" s="351"/>
      <c r="S283" s="118"/>
      <c r="CU283" s="349"/>
      <c r="CV283" s="4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95"/>
      <c r="DM283" s="95"/>
      <c r="DN283" s="95"/>
      <c r="DO283" s="95"/>
      <c r="DP283" s="95"/>
      <c r="DQ283" s="95"/>
      <c r="DR283" s="95"/>
      <c r="DS283" s="95"/>
      <c r="DT283" s="95"/>
      <c r="DU283" s="95"/>
      <c r="DV283" s="95"/>
      <c r="DW283" s="95"/>
      <c r="DX283" s="95"/>
      <c r="DY283" s="95"/>
      <c r="DZ283" s="95"/>
    </row>
    <row r="284" spans="4:130" s="57" customFormat="1" x14ac:dyDescent="0.2">
      <c r="D284" s="114"/>
      <c r="E284" s="114"/>
      <c r="F284" s="114"/>
      <c r="G284" s="114"/>
      <c r="H284" s="114"/>
      <c r="I284" s="351"/>
      <c r="J284" s="114"/>
      <c r="K284" s="114"/>
      <c r="L284" s="114"/>
      <c r="M284" s="114"/>
      <c r="N284" s="114"/>
      <c r="O284" s="114"/>
      <c r="P284" s="351"/>
      <c r="Q284" s="351"/>
      <c r="S284" s="118"/>
      <c r="CU284" s="349"/>
      <c r="CV284" s="4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95"/>
      <c r="DM284" s="95"/>
      <c r="DN284" s="95"/>
      <c r="DO284" s="95"/>
      <c r="DP284" s="95"/>
      <c r="DQ284" s="95"/>
      <c r="DR284" s="95"/>
      <c r="DS284" s="95"/>
      <c r="DT284" s="95"/>
      <c r="DU284" s="95"/>
      <c r="DV284" s="95"/>
      <c r="DW284" s="95"/>
      <c r="DX284" s="95"/>
      <c r="DY284" s="95"/>
      <c r="DZ284" s="95"/>
    </row>
    <row r="285" spans="4:130" s="57" customFormat="1" x14ac:dyDescent="0.2">
      <c r="D285" s="114"/>
      <c r="E285" s="114"/>
      <c r="F285" s="114"/>
      <c r="G285" s="114"/>
      <c r="H285" s="114"/>
      <c r="I285" s="351"/>
      <c r="J285" s="114"/>
      <c r="K285" s="114"/>
      <c r="L285" s="114"/>
      <c r="M285" s="114"/>
      <c r="N285" s="114"/>
      <c r="O285" s="114"/>
      <c r="P285" s="351"/>
      <c r="Q285" s="351"/>
      <c r="S285" s="118"/>
      <c r="CU285" s="349"/>
      <c r="CV285" s="4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95"/>
      <c r="DM285" s="95"/>
      <c r="DN285" s="95"/>
      <c r="DO285" s="95"/>
      <c r="DP285" s="95"/>
      <c r="DQ285" s="95"/>
      <c r="DR285" s="95"/>
      <c r="DS285" s="95"/>
      <c r="DT285" s="95"/>
      <c r="DU285" s="95"/>
      <c r="DV285" s="95"/>
      <c r="DW285" s="95"/>
      <c r="DX285" s="95"/>
      <c r="DY285" s="95"/>
      <c r="DZ285" s="95"/>
    </row>
    <row r="286" spans="4:130" s="57" customFormat="1" x14ac:dyDescent="0.2">
      <c r="D286" s="114"/>
      <c r="E286" s="114"/>
      <c r="F286" s="114"/>
      <c r="G286" s="114"/>
      <c r="H286" s="114"/>
      <c r="I286" s="351"/>
      <c r="J286" s="114"/>
      <c r="K286" s="114"/>
      <c r="L286" s="114"/>
      <c r="M286" s="114"/>
      <c r="N286" s="114"/>
      <c r="O286" s="114"/>
      <c r="P286" s="351"/>
      <c r="Q286" s="351"/>
      <c r="S286" s="118"/>
      <c r="CU286" s="349"/>
      <c r="CV286" s="4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95"/>
      <c r="DM286" s="95"/>
      <c r="DN286" s="95"/>
      <c r="DO286" s="95"/>
      <c r="DP286" s="95"/>
      <c r="DQ286" s="95"/>
      <c r="DR286" s="95"/>
      <c r="DS286" s="95"/>
      <c r="DT286" s="95"/>
      <c r="DU286" s="95"/>
      <c r="DV286" s="95"/>
      <c r="DW286" s="95"/>
      <c r="DX286" s="95"/>
      <c r="DY286" s="95"/>
      <c r="DZ286" s="95"/>
    </row>
    <row r="287" spans="4:130" s="57" customFormat="1" x14ac:dyDescent="0.2">
      <c r="D287" s="114"/>
      <c r="E287" s="114"/>
      <c r="F287" s="114"/>
      <c r="G287" s="114"/>
      <c r="H287" s="114"/>
      <c r="I287" s="351"/>
      <c r="J287" s="114"/>
      <c r="K287" s="114"/>
      <c r="L287" s="114"/>
      <c r="M287" s="114"/>
      <c r="N287" s="114"/>
      <c r="O287" s="114"/>
      <c r="P287" s="351"/>
      <c r="Q287" s="351"/>
      <c r="S287" s="118"/>
      <c r="CU287" s="349"/>
      <c r="CV287" s="4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</row>
    <row r="288" spans="4:130" s="57" customFormat="1" x14ac:dyDescent="0.2">
      <c r="D288" s="114"/>
      <c r="E288" s="114"/>
      <c r="F288" s="114"/>
      <c r="G288" s="114"/>
      <c r="H288" s="114"/>
      <c r="I288" s="351"/>
      <c r="J288" s="114"/>
      <c r="K288" s="114"/>
      <c r="L288" s="114"/>
      <c r="M288" s="114"/>
      <c r="N288" s="114"/>
      <c r="O288" s="114"/>
      <c r="P288" s="351"/>
      <c r="Q288" s="351"/>
      <c r="S288" s="118"/>
      <c r="CU288" s="349"/>
      <c r="CV288" s="4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</row>
    <row r="289" spans="4:130" s="57" customFormat="1" x14ac:dyDescent="0.2">
      <c r="D289" s="114"/>
      <c r="E289" s="114"/>
      <c r="F289" s="114"/>
      <c r="G289" s="114"/>
      <c r="H289" s="114"/>
      <c r="I289" s="351"/>
      <c r="J289" s="114"/>
      <c r="K289" s="114"/>
      <c r="L289" s="114"/>
      <c r="M289" s="114"/>
      <c r="N289" s="114"/>
      <c r="O289" s="114"/>
      <c r="P289" s="351"/>
      <c r="Q289" s="351"/>
      <c r="S289" s="118"/>
      <c r="CU289" s="349"/>
      <c r="CV289" s="4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</row>
    <row r="290" spans="4:130" s="57" customFormat="1" x14ac:dyDescent="0.2">
      <c r="D290" s="114"/>
      <c r="E290" s="114"/>
      <c r="F290" s="114"/>
      <c r="G290" s="114"/>
      <c r="H290" s="114"/>
      <c r="I290" s="351"/>
      <c r="J290" s="114"/>
      <c r="K290" s="114"/>
      <c r="L290" s="114"/>
      <c r="M290" s="114"/>
      <c r="N290" s="114"/>
      <c r="O290" s="114"/>
      <c r="P290" s="351"/>
      <c r="Q290" s="351"/>
      <c r="S290" s="118"/>
      <c r="CU290" s="349"/>
      <c r="CV290" s="4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95"/>
      <c r="DM290" s="95"/>
      <c r="DN290" s="95"/>
      <c r="DO290" s="95"/>
      <c r="DP290" s="95"/>
      <c r="DQ290" s="95"/>
      <c r="DR290" s="95"/>
      <c r="DS290" s="95"/>
      <c r="DT290" s="95"/>
      <c r="DU290" s="95"/>
      <c r="DV290" s="95"/>
      <c r="DW290" s="95"/>
      <c r="DX290" s="95"/>
      <c r="DY290" s="95"/>
      <c r="DZ290" s="95"/>
    </row>
    <row r="291" spans="4:130" s="57" customFormat="1" x14ac:dyDescent="0.2">
      <c r="D291" s="114"/>
      <c r="E291" s="114"/>
      <c r="F291" s="114"/>
      <c r="G291" s="114"/>
      <c r="H291" s="114"/>
      <c r="I291" s="351"/>
      <c r="J291" s="114"/>
      <c r="K291" s="114"/>
      <c r="L291" s="114"/>
      <c r="M291" s="114"/>
      <c r="N291" s="114"/>
      <c r="O291" s="114"/>
      <c r="P291" s="351"/>
      <c r="Q291" s="351"/>
      <c r="S291" s="118"/>
      <c r="CU291" s="349"/>
      <c r="CV291" s="4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</row>
    <row r="292" spans="4:130" s="57" customFormat="1" x14ac:dyDescent="0.2">
      <c r="D292" s="114"/>
      <c r="E292" s="114"/>
      <c r="F292" s="114"/>
      <c r="G292" s="114"/>
      <c r="H292" s="114"/>
      <c r="I292" s="351"/>
      <c r="J292" s="114"/>
      <c r="K292" s="114"/>
      <c r="L292" s="114"/>
      <c r="M292" s="114"/>
      <c r="N292" s="114"/>
      <c r="O292" s="114"/>
      <c r="P292" s="351"/>
      <c r="Q292" s="351"/>
      <c r="S292" s="118"/>
      <c r="CU292" s="349"/>
      <c r="CV292" s="4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95"/>
      <c r="DM292" s="95"/>
      <c r="DN292" s="95"/>
      <c r="DO292" s="95"/>
      <c r="DP292" s="95"/>
      <c r="DQ292" s="95"/>
      <c r="DR292" s="95"/>
      <c r="DS292" s="95"/>
      <c r="DT292" s="95"/>
      <c r="DU292" s="95"/>
      <c r="DV292" s="95"/>
      <c r="DW292" s="95"/>
      <c r="DX292" s="95"/>
      <c r="DY292" s="95"/>
      <c r="DZ292" s="95"/>
    </row>
    <row r="293" spans="4:130" s="57" customFormat="1" x14ac:dyDescent="0.2">
      <c r="D293" s="114"/>
      <c r="E293" s="114"/>
      <c r="F293" s="114"/>
      <c r="G293" s="114"/>
      <c r="H293" s="114"/>
      <c r="I293" s="351"/>
      <c r="J293" s="114"/>
      <c r="K293" s="114"/>
      <c r="L293" s="114"/>
      <c r="M293" s="114"/>
      <c r="N293" s="114"/>
      <c r="O293" s="114"/>
      <c r="P293" s="351"/>
      <c r="Q293" s="351"/>
      <c r="S293" s="118"/>
      <c r="CU293" s="349"/>
      <c r="CV293" s="4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95"/>
      <c r="DM293" s="95"/>
      <c r="DN293" s="95"/>
      <c r="DO293" s="95"/>
      <c r="DP293" s="95"/>
      <c r="DQ293" s="95"/>
      <c r="DR293" s="95"/>
      <c r="DS293" s="95"/>
      <c r="DT293" s="95"/>
      <c r="DU293" s="95"/>
      <c r="DV293" s="95"/>
      <c r="DW293" s="95"/>
      <c r="DX293" s="95"/>
      <c r="DY293" s="95"/>
      <c r="DZ293" s="95"/>
    </row>
    <row r="294" spans="4:130" s="57" customFormat="1" x14ac:dyDescent="0.2">
      <c r="D294" s="114"/>
      <c r="E294" s="114"/>
      <c r="F294" s="114"/>
      <c r="G294" s="114"/>
      <c r="H294" s="114"/>
      <c r="I294" s="351"/>
      <c r="J294" s="114"/>
      <c r="K294" s="114"/>
      <c r="L294" s="114"/>
      <c r="M294" s="114"/>
      <c r="N294" s="114"/>
      <c r="O294" s="114"/>
      <c r="P294" s="351"/>
      <c r="Q294" s="351"/>
      <c r="S294" s="118"/>
      <c r="CU294" s="349"/>
      <c r="CV294" s="4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95"/>
      <c r="DM294" s="95"/>
      <c r="DN294" s="95"/>
      <c r="DO294" s="95"/>
      <c r="DP294" s="95"/>
      <c r="DQ294" s="95"/>
      <c r="DR294" s="95"/>
      <c r="DS294" s="95"/>
      <c r="DT294" s="95"/>
      <c r="DU294" s="95"/>
      <c r="DV294" s="95"/>
      <c r="DW294" s="95"/>
      <c r="DX294" s="95"/>
      <c r="DY294" s="95"/>
      <c r="DZ294" s="95"/>
    </row>
    <row r="295" spans="4:130" s="57" customFormat="1" x14ac:dyDescent="0.2">
      <c r="D295" s="114"/>
      <c r="E295" s="114"/>
      <c r="F295" s="114"/>
      <c r="G295" s="114"/>
      <c r="H295" s="114"/>
      <c r="I295" s="351"/>
      <c r="J295" s="114"/>
      <c r="K295" s="114"/>
      <c r="L295" s="114"/>
      <c r="M295" s="114"/>
      <c r="N295" s="114"/>
      <c r="O295" s="114"/>
      <c r="P295" s="351"/>
      <c r="Q295" s="351"/>
      <c r="S295" s="118"/>
      <c r="CU295" s="349"/>
      <c r="CV295" s="4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95"/>
      <c r="DM295" s="95"/>
      <c r="DN295" s="95"/>
      <c r="DO295" s="95"/>
      <c r="DP295" s="95"/>
      <c r="DQ295" s="95"/>
      <c r="DR295" s="95"/>
      <c r="DS295" s="95"/>
      <c r="DT295" s="95"/>
      <c r="DU295" s="95"/>
      <c r="DV295" s="95"/>
      <c r="DW295" s="95"/>
      <c r="DX295" s="95"/>
      <c r="DY295" s="95"/>
      <c r="DZ295" s="95"/>
    </row>
    <row r="296" spans="4:130" s="57" customFormat="1" x14ac:dyDescent="0.2">
      <c r="D296" s="114"/>
      <c r="E296" s="114"/>
      <c r="F296" s="114"/>
      <c r="G296" s="114"/>
      <c r="H296" s="114"/>
      <c r="I296" s="351"/>
      <c r="J296" s="114"/>
      <c r="K296" s="114"/>
      <c r="L296" s="114"/>
      <c r="M296" s="114"/>
      <c r="N296" s="114"/>
      <c r="O296" s="114"/>
      <c r="P296" s="351"/>
      <c r="Q296" s="351"/>
      <c r="S296" s="118"/>
      <c r="CU296" s="349"/>
      <c r="CV296" s="4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95"/>
      <c r="DM296" s="95"/>
      <c r="DN296" s="95"/>
      <c r="DO296" s="95"/>
      <c r="DP296" s="95"/>
      <c r="DQ296" s="95"/>
      <c r="DR296" s="95"/>
      <c r="DS296" s="95"/>
      <c r="DT296" s="95"/>
      <c r="DU296" s="95"/>
      <c r="DV296" s="95"/>
      <c r="DW296" s="95"/>
      <c r="DX296" s="95"/>
      <c r="DY296" s="95"/>
      <c r="DZ296" s="95"/>
    </row>
    <row r="297" spans="4:130" s="57" customFormat="1" x14ac:dyDescent="0.2">
      <c r="D297" s="114"/>
      <c r="E297" s="114"/>
      <c r="F297" s="114"/>
      <c r="G297" s="114"/>
      <c r="H297" s="114"/>
      <c r="I297" s="351"/>
      <c r="J297" s="114"/>
      <c r="K297" s="114"/>
      <c r="L297" s="114"/>
      <c r="M297" s="114"/>
      <c r="N297" s="114"/>
      <c r="O297" s="114"/>
      <c r="P297" s="351"/>
      <c r="Q297" s="351"/>
      <c r="S297" s="118"/>
      <c r="CU297" s="349"/>
      <c r="CV297" s="4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95"/>
      <c r="DM297" s="95"/>
      <c r="DN297" s="95"/>
      <c r="DO297" s="95"/>
      <c r="DP297" s="95"/>
      <c r="DQ297" s="95"/>
      <c r="DR297" s="95"/>
      <c r="DS297" s="95"/>
      <c r="DT297" s="95"/>
      <c r="DU297" s="95"/>
      <c r="DV297" s="95"/>
      <c r="DW297" s="95"/>
      <c r="DX297" s="95"/>
      <c r="DY297" s="95"/>
      <c r="DZ297" s="95"/>
    </row>
    <row r="298" spans="4:130" s="57" customFormat="1" x14ac:dyDescent="0.2">
      <c r="D298" s="114"/>
      <c r="E298" s="114"/>
      <c r="F298" s="114"/>
      <c r="G298" s="114"/>
      <c r="H298" s="114"/>
      <c r="I298" s="351"/>
      <c r="J298" s="114"/>
      <c r="K298" s="114"/>
      <c r="L298" s="114"/>
      <c r="M298" s="114"/>
      <c r="N298" s="114"/>
      <c r="O298" s="114"/>
      <c r="P298" s="351"/>
      <c r="Q298" s="351"/>
      <c r="S298" s="118"/>
      <c r="CU298" s="349"/>
      <c r="CV298" s="40"/>
      <c r="CW298" s="60"/>
      <c r="CX298" s="60"/>
      <c r="CY298" s="60"/>
      <c r="CZ298" s="60"/>
      <c r="DA298" s="60"/>
      <c r="DB298" s="60"/>
      <c r="DC298" s="60"/>
      <c r="DD298" s="60"/>
      <c r="DE298" s="60"/>
      <c r="DF298" s="60"/>
      <c r="DG298" s="60"/>
      <c r="DH298" s="60"/>
      <c r="DI298" s="60"/>
      <c r="DJ298" s="60"/>
      <c r="DK298" s="60"/>
      <c r="DL298" s="95"/>
      <c r="DM298" s="95"/>
      <c r="DN298" s="95"/>
      <c r="DO298" s="95"/>
      <c r="DP298" s="95"/>
      <c r="DQ298" s="95"/>
      <c r="DR298" s="95"/>
      <c r="DS298" s="95"/>
      <c r="DT298" s="95"/>
      <c r="DU298" s="95"/>
      <c r="DV298" s="95"/>
      <c r="DW298" s="95"/>
      <c r="DX298" s="95"/>
      <c r="DY298" s="95"/>
      <c r="DZ298" s="95"/>
    </row>
    <row r="299" spans="4:130" s="57" customFormat="1" x14ac:dyDescent="0.2">
      <c r="D299" s="114"/>
      <c r="E299" s="114"/>
      <c r="F299" s="114"/>
      <c r="G299" s="114"/>
      <c r="H299" s="114"/>
      <c r="I299" s="351"/>
      <c r="J299" s="114"/>
      <c r="K299" s="114"/>
      <c r="L299" s="114"/>
      <c r="M299" s="114"/>
      <c r="N299" s="114"/>
      <c r="O299" s="114"/>
      <c r="P299" s="351"/>
      <c r="Q299" s="351"/>
      <c r="S299" s="118"/>
      <c r="CU299" s="349"/>
      <c r="CV299" s="40"/>
      <c r="CW299" s="60"/>
      <c r="CX299" s="60"/>
      <c r="CY299" s="60"/>
      <c r="CZ299" s="60"/>
      <c r="DA299" s="60"/>
      <c r="DB299" s="60"/>
      <c r="DC299" s="60"/>
      <c r="DD299" s="60"/>
      <c r="DE299" s="60"/>
      <c r="DF299" s="60"/>
      <c r="DG299" s="60"/>
      <c r="DH299" s="60"/>
      <c r="DI299" s="60"/>
      <c r="DJ299" s="60"/>
      <c r="DK299" s="60"/>
      <c r="DL299" s="95"/>
      <c r="DM299" s="95"/>
      <c r="DN299" s="95"/>
      <c r="DO299" s="95"/>
      <c r="DP299" s="95"/>
      <c r="DQ299" s="95"/>
      <c r="DR299" s="95"/>
      <c r="DS299" s="95"/>
      <c r="DT299" s="95"/>
      <c r="DU299" s="95"/>
      <c r="DV299" s="95"/>
      <c r="DW299" s="95"/>
      <c r="DX299" s="95"/>
      <c r="DY299" s="95"/>
      <c r="DZ299" s="95"/>
    </row>
    <row r="300" spans="4:130" s="57" customFormat="1" x14ac:dyDescent="0.2">
      <c r="D300" s="114"/>
      <c r="E300" s="114"/>
      <c r="F300" s="114"/>
      <c r="G300" s="114"/>
      <c r="H300" s="114"/>
      <c r="I300" s="351"/>
      <c r="J300" s="114"/>
      <c r="K300" s="114"/>
      <c r="L300" s="114"/>
      <c r="M300" s="114"/>
      <c r="N300" s="114"/>
      <c r="O300" s="114"/>
      <c r="P300" s="351"/>
      <c r="Q300" s="351"/>
      <c r="S300" s="118"/>
      <c r="CU300" s="349"/>
      <c r="CV300" s="40"/>
      <c r="CW300" s="60"/>
      <c r="CX300" s="60"/>
      <c r="CY300" s="60"/>
      <c r="CZ300" s="60"/>
      <c r="DA300" s="60"/>
      <c r="DB300" s="60"/>
      <c r="DC300" s="60"/>
      <c r="DD300" s="60"/>
      <c r="DE300" s="60"/>
      <c r="DF300" s="60"/>
      <c r="DG300" s="60"/>
      <c r="DH300" s="60"/>
      <c r="DI300" s="60"/>
      <c r="DJ300" s="60"/>
      <c r="DK300" s="60"/>
      <c r="DL300" s="95"/>
      <c r="DM300" s="95"/>
      <c r="DN300" s="95"/>
      <c r="DO300" s="95"/>
      <c r="DP300" s="95"/>
      <c r="DQ300" s="95"/>
      <c r="DR300" s="95"/>
      <c r="DS300" s="95"/>
      <c r="DT300" s="95"/>
      <c r="DU300" s="95"/>
      <c r="DV300" s="95"/>
      <c r="DW300" s="95"/>
      <c r="DX300" s="95"/>
      <c r="DY300" s="95"/>
      <c r="DZ300" s="95"/>
    </row>
    <row r="301" spans="4:130" s="57" customFormat="1" x14ac:dyDescent="0.2">
      <c r="D301" s="114"/>
      <c r="E301" s="114"/>
      <c r="F301" s="114"/>
      <c r="G301" s="114"/>
      <c r="H301" s="114"/>
      <c r="I301" s="351"/>
      <c r="J301" s="114"/>
      <c r="K301" s="114"/>
      <c r="L301" s="114"/>
      <c r="M301" s="114"/>
      <c r="N301" s="114"/>
      <c r="O301" s="114"/>
      <c r="P301" s="351"/>
      <c r="Q301" s="351"/>
      <c r="S301" s="118"/>
      <c r="CU301" s="349"/>
      <c r="CV301" s="4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</row>
    <row r="302" spans="4:130" s="57" customFormat="1" x14ac:dyDescent="0.2">
      <c r="D302" s="114"/>
      <c r="E302" s="114"/>
      <c r="F302" s="114"/>
      <c r="G302" s="114"/>
      <c r="H302" s="114"/>
      <c r="I302" s="351"/>
      <c r="J302" s="114"/>
      <c r="K302" s="114"/>
      <c r="L302" s="114"/>
      <c r="M302" s="114"/>
      <c r="N302" s="114"/>
      <c r="O302" s="114"/>
      <c r="P302" s="351"/>
      <c r="Q302" s="351"/>
      <c r="S302" s="118"/>
      <c r="CU302" s="349"/>
      <c r="CV302" s="4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  <c r="DL302" s="95"/>
      <c r="DM302" s="95"/>
      <c r="DN302" s="95"/>
      <c r="DO302" s="95"/>
      <c r="DP302" s="95"/>
      <c r="DQ302" s="95"/>
      <c r="DR302" s="95"/>
      <c r="DS302" s="95"/>
      <c r="DT302" s="95"/>
      <c r="DU302" s="95"/>
      <c r="DV302" s="95"/>
      <c r="DW302" s="95"/>
      <c r="DX302" s="95"/>
      <c r="DY302" s="95"/>
      <c r="DZ302" s="95"/>
    </row>
    <row r="303" spans="4:130" s="57" customFormat="1" x14ac:dyDescent="0.2">
      <c r="D303" s="114"/>
      <c r="E303" s="114"/>
      <c r="F303" s="114"/>
      <c r="G303" s="114"/>
      <c r="H303" s="114"/>
      <c r="I303" s="351"/>
      <c r="J303" s="114"/>
      <c r="K303" s="114"/>
      <c r="L303" s="114"/>
      <c r="M303" s="114"/>
      <c r="N303" s="114"/>
      <c r="O303" s="114"/>
      <c r="P303" s="351"/>
      <c r="Q303" s="351"/>
      <c r="S303" s="118"/>
      <c r="CU303" s="349"/>
      <c r="CV303" s="4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  <c r="DL303" s="95"/>
      <c r="DM303" s="95"/>
      <c r="DN303" s="95"/>
      <c r="DO303" s="95"/>
      <c r="DP303" s="95"/>
      <c r="DQ303" s="95"/>
      <c r="DR303" s="95"/>
      <c r="DS303" s="95"/>
      <c r="DT303" s="95"/>
      <c r="DU303" s="95"/>
      <c r="DV303" s="95"/>
      <c r="DW303" s="95"/>
      <c r="DX303" s="95"/>
      <c r="DY303" s="95"/>
      <c r="DZ303" s="95"/>
    </row>
    <row r="304" spans="4:130" s="57" customFormat="1" x14ac:dyDescent="0.2">
      <c r="D304" s="114"/>
      <c r="E304" s="114"/>
      <c r="F304" s="114"/>
      <c r="G304" s="114"/>
      <c r="H304" s="114"/>
      <c r="I304" s="351"/>
      <c r="J304" s="114"/>
      <c r="K304" s="114"/>
      <c r="L304" s="114"/>
      <c r="M304" s="114"/>
      <c r="N304" s="114"/>
      <c r="O304" s="114"/>
      <c r="P304" s="351"/>
      <c r="Q304" s="351"/>
      <c r="S304" s="118"/>
      <c r="CU304" s="349"/>
      <c r="CV304" s="4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  <c r="DL304" s="95"/>
      <c r="DM304" s="95"/>
      <c r="DN304" s="95"/>
      <c r="DO304" s="95"/>
      <c r="DP304" s="95"/>
      <c r="DQ304" s="95"/>
      <c r="DR304" s="95"/>
      <c r="DS304" s="95"/>
      <c r="DT304" s="95"/>
      <c r="DU304" s="95"/>
      <c r="DV304" s="95"/>
      <c r="DW304" s="95"/>
      <c r="DX304" s="95"/>
      <c r="DY304" s="95"/>
      <c r="DZ304" s="95"/>
    </row>
    <row r="305" spans="4:130" s="57" customFormat="1" x14ac:dyDescent="0.2">
      <c r="D305" s="114"/>
      <c r="E305" s="114"/>
      <c r="F305" s="114"/>
      <c r="G305" s="114"/>
      <c r="H305" s="114"/>
      <c r="I305" s="351"/>
      <c r="J305" s="114"/>
      <c r="K305" s="114"/>
      <c r="L305" s="114"/>
      <c r="M305" s="114"/>
      <c r="N305" s="114"/>
      <c r="O305" s="114"/>
      <c r="P305" s="351"/>
      <c r="Q305" s="351"/>
      <c r="S305" s="118"/>
      <c r="CU305" s="349"/>
      <c r="CV305" s="40"/>
      <c r="CW305" s="60"/>
      <c r="CX305" s="60"/>
      <c r="CY305" s="60"/>
      <c r="CZ305" s="60"/>
      <c r="DA305" s="60"/>
      <c r="DB305" s="60"/>
      <c r="DC305" s="60"/>
      <c r="DD305" s="60"/>
      <c r="DE305" s="60"/>
      <c r="DF305" s="60"/>
      <c r="DG305" s="60"/>
      <c r="DH305" s="60"/>
      <c r="DI305" s="60"/>
      <c r="DJ305" s="60"/>
      <c r="DK305" s="60"/>
      <c r="DL305" s="95"/>
      <c r="DM305" s="95"/>
      <c r="DN305" s="95"/>
      <c r="DO305" s="95"/>
      <c r="DP305" s="95"/>
      <c r="DQ305" s="95"/>
      <c r="DR305" s="95"/>
      <c r="DS305" s="95"/>
      <c r="DT305" s="95"/>
      <c r="DU305" s="95"/>
      <c r="DV305" s="95"/>
      <c r="DW305" s="95"/>
      <c r="DX305" s="95"/>
      <c r="DY305" s="95"/>
      <c r="DZ305" s="95"/>
    </row>
    <row r="306" spans="4:130" s="57" customFormat="1" x14ac:dyDescent="0.2">
      <c r="D306" s="114"/>
      <c r="E306" s="114"/>
      <c r="F306" s="114"/>
      <c r="G306" s="114"/>
      <c r="H306" s="114"/>
      <c r="I306" s="351"/>
      <c r="J306" s="114"/>
      <c r="K306" s="114"/>
      <c r="L306" s="114"/>
      <c r="M306" s="114"/>
      <c r="N306" s="114"/>
      <c r="O306" s="114"/>
      <c r="P306" s="351"/>
      <c r="Q306" s="351"/>
      <c r="S306" s="118"/>
      <c r="CU306" s="349"/>
      <c r="CV306" s="40"/>
      <c r="CW306" s="60"/>
      <c r="CX306" s="60"/>
      <c r="CY306" s="60"/>
      <c r="CZ306" s="60"/>
      <c r="DA306" s="60"/>
      <c r="DB306" s="60"/>
      <c r="DC306" s="60"/>
      <c r="DD306" s="60"/>
      <c r="DE306" s="60"/>
      <c r="DF306" s="60"/>
      <c r="DG306" s="60"/>
      <c r="DH306" s="60"/>
      <c r="DI306" s="60"/>
      <c r="DJ306" s="60"/>
      <c r="DK306" s="60"/>
      <c r="DL306" s="95"/>
      <c r="DM306" s="95"/>
      <c r="DN306" s="95"/>
      <c r="DO306" s="95"/>
      <c r="DP306" s="95"/>
      <c r="DQ306" s="95"/>
      <c r="DR306" s="95"/>
      <c r="DS306" s="95"/>
      <c r="DT306" s="95"/>
      <c r="DU306" s="95"/>
      <c r="DV306" s="95"/>
      <c r="DW306" s="95"/>
      <c r="DX306" s="95"/>
      <c r="DY306" s="95"/>
      <c r="DZ306" s="95"/>
    </row>
    <row r="307" spans="4:130" s="57" customFormat="1" x14ac:dyDescent="0.2">
      <c r="D307" s="114"/>
      <c r="E307" s="114"/>
      <c r="F307" s="114"/>
      <c r="G307" s="114"/>
      <c r="H307" s="114"/>
      <c r="I307" s="351"/>
      <c r="J307" s="114"/>
      <c r="K307" s="114"/>
      <c r="L307" s="114"/>
      <c r="M307" s="114"/>
      <c r="N307" s="114"/>
      <c r="O307" s="114"/>
      <c r="P307" s="351"/>
      <c r="Q307" s="351"/>
      <c r="S307" s="118"/>
      <c r="CU307" s="349"/>
      <c r="CV307" s="40"/>
      <c r="CW307" s="60"/>
      <c r="CX307" s="60"/>
      <c r="CY307" s="60"/>
      <c r="CZ307" s="60"/>
      <c r="DA307" s="60"/>
      <c r="DB307" s="60"/>
      <c r="DC307" s="60"/>
      <c r="DD307" s="60"/>
      <c r="DE307" s="60"/>
      <c r="DF307" s="60"/>
      <c r="DG307" s="60"/>
      <c r="DH307" s="60"/>
      <c r="DI307" s="60"/>
      <c r="DJ307" s="60"/>
      <c r="DK307" s="60"/>
      <c r="DL307" s="95"/>
      <c r="DM307" s="95"/>
      <c r="DN307" s="95"/>
      <c r="DO307" s="95"/>
      <c r="DP307" s="95"/>
      <c r="DQ307" s="95"/>
      <c r="DR307" s="95"/>
      <c r="DS307" s="95"/>
      <c r="DT307" s="95"/>
      <c r="DU307" s="95"/>
      <c r="DV307" s="95"/>
      <c r="DW307" s="95"/>
      <c r="DX307" s="95"/>
      <c r="DY307" s="95"/>
      <c r="DZ307" s="95"/>
    </row>
    <row r="308" spans="4:130" s="57" customFormat="1" x14ac:dyDescent="0.2">
      <c r="D308" s="114"/>
      <c r="E308" s="114"/>
      <c r="F308" s="114"/>
      <c r="G308" s="114"/>
      <c r="H308" s="114"/>
      <c r="I308" s="351"/>
      <c r="J308" s="114"/>
      <c r="K308" s="114"/>
      <c r="L308" s="114"/>
      <c r="M308" s="114"/>
      <c r="N308" s="114"/>
      <c r="O308" s="114"/>
      <c r="P308" s="351"/>
      <c r="Q308" s="351"/>
      <c r="S308" s="118"/>
      <c r="CU308" s="349"/>
      <c r="CV308" s="40"/>
      <c r="CW308" s="60"/>
      <c r="CX308" s="60"/>
      <c r="CY308" s="60"/>
      <c r="CZ308" s="60"/>
      <c r="DA308" s="60"/>
      <c r="DB308" s="60"/>
      <c r="DC308" s="60"/>
      <c r="DD308" s="60"/>
      <c r="DE308" s="60"/>
      <c r="DF308" s="60"/>
      <c r="DG308" s="60"/>
      <c r="DH308" s="60"/>
      <c r="DI308" s="60"/>
      <c r="DJ308" s="60"/>
      <c r="DK308" s="60"/>
      <c r="DL308" s="95"/>
      <c r="DM308" s="95"/>
      <c r="DN308" s="95"/>
      <c r="DO308" s="95"/>
      <c r="DP308" s="95"/>
      <c r="DQ308" s="95"/>
      <c r="DR308" s="95"/>
      <c r="DS308" s="95"/>
      <c r="DT308" s="95"/>
      <c r="DU308" s="95"/>
      <c r="DV308" s="95"/>
      <c r="DW308" s="95"/>
      <c r="DX308" s="95"/>
      <c r="DY308" s="95"/>
      <c r="DZ308" s="95"/>
    </row>
    <row r="309" spans="4:130" s="57" customFormat="1" x14ac:dyDescent="0.2">
      <c r="D309" s="114"/>
      <c r="E309" s="114"/>
      <c r="F309" s="114"/>
      <c r="G309" s="114"/>
      <c r="H309" s="114"/>
      <c r="I309" s="351"/>
      <c r="J309" s="114"/>
      <c r="K309" s="114"/>
      <c r="L309" s="114"/>
      <c r="M309" s="114"/>
      <c r="N309" s="114"/>
      <c r="O309" s="114"/>
      <c r="P309" s="351"/>
      <c r="Q309" s="351"/>
      <c r="S309" s="118"/>
      <c r="CU309" s="349"/>
      <c r="CV309" s="40"/>
      <c r="CW309" s="60"/>
      <c r="CX309" s="60"/>
      <c r="CY309" s="60"/>
      <c r="CZ309" s="60"/>
      <c r="DA309" s="60"/>
      <c r="DB309" s="60"/>
      <c r="DC309" s="60"/>
      <c r="DD309" s="60"/>
      <c r="DE309" s="60"/>
      <c r="DF309" s="60"/>
      <c r="DG309" s="60"/>
      <c r="DH309" s="60"/>
      <c r="DI309" s="60"/>
      <c r="DJ309" s="60"/>
      <c r="DK309" s="60"/>
      <c r="DL309" s="95"/>
      <c r="DM309" s="95"/>
      <c r="DN309" s="95"/>
      <c r="DO309" s="95"/>
      <c r="DP309" s="95"/>
      <c r="DQ309" s="95"/>
      <c r="DR309" s="95"/>
      <c r="DS309" s="95"/>
      <c r="DT309" s="95"/>
      <c r="DU309" s="95"/>
      <c r="DV309" s="95"/>
      <c r="DW309" s="95"/>
      <c r="DX309" s="95"/>
      <c r="DY309" s="95"/>
      <c r="DZ309" s="95"/>
    </row>
    <row r="310" spans="4:130" s="57" customFormat="1" x14ac:dyDescent="0.2">
      <c r="D310" s="114"/>
      <c r="E310" s="114"/>
      <c r="F310" s="114"/>
      <c r="G310" s="114"/>
      <c r="H310" s="114"/>
      <c r="I310" s="351"/>
      <c r="J310" s="114"/>
      <c r="K310" s="114"/>
      <c r="L310" s="114"/>
      <c r="M310" s="114"/>
      <c r="N310" s="114"/>
      <c r="O310" s="114"/>
      <c r="P310" s="351"/>
      <c r="Q310" s="351"/>
      <c r="S310" s="118"/>
      <c r="CU310" s="349"/>
      <c r="CV310" s="4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95"/>
      <c r="DM310" s="95"/>
      <c r="DN310" s="95"/>
      <c r="DO310" s="95"/>
      <c r="DP310" s="95"/>
      <c r="DQ310" s="95"/>
      <c r="DR310" s="95"/>
      <c r="DS310" s="95"/>
      <c r="DT310" s="95"/>
      <c r="DU310" s="95"/>
      <c r="DV310" s="95"/>
      <c r="DW310" s="95"/>
      <c r="DX310" s="95"/>
      <c r="DY310" s="95"/>
      <c r="DZ310" s="95"/>
    </row>
    <row r="311" spans="4:130" s="57" customFormat="1" x14ac:dyDescent="0.2">
      <c r="D311" s="114"/>
      <c r="E311" s="114"/>
      <c r="F311" s="114"/>
      <c r="G311" s="114"/>
      <c r="H311" s="114"/>
      <c r="I311" s="351"/>
      <c r="J311" s="114"/>
      <c r="K311" s="114"/>
      <c r="L311" s="114"/>
      <c r="M311" s="114"/>
      <c r="N311" s="114"/>
      <c r="O311" s="114"/>
      <c r="P311" s="351"/>
      <c r="Q311" s="351"/>
      <c r="S311" s="118"/>
      <c r="CU311" s="349"/>
      <c r="CV311" s="4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95"/>
      <c r="DM311" s="95"/>
      <c r="DN311" s="95"/>
      <c r="DO311" s="95"/>
      <c r="DP311" s="95"/>
      <c r="DQ311" s="95"/>
      <c r="DR311" s="95"/>
      <c r="DS311" s="95"/>
      <c r="DT311" s="95"/>
      <c r="DU311" s="95"/>
      <c r="DV311" s="95"/>
      <c r="DW311" s="95"/>
      <c r="DX311" s="95"/>
      <c r="DY311" s="95"/>
      <c r="DZ311" s="95"/>
    </row>
    <row r="312" spans="4:130" s="57" customFormat="1" x14ac:dyDescent="0.2">
      <c r="D312" s="114"/>
      <c r="E312" s="114"/>
      <c r="F312" s="114"/>
      <c r="G312" s="114"/>
      <c r="H312" s="114"/>
      <c r="I312" s="351"/>
      <c r="J312" s="114"/>
      <c r="K312" s="114"/>
      <c r="L312" s="114"/>
      <c r="M312" s="114"/>
      <c r="N312" s="114"/>
      <c r="O312" s="114"/>
      <c r="P312" s="351"/>
      <c r="Q312" s="351"/>
      <c r="S312" s="118"/>
      <c r="CU312" s="349"/>
      <c r="CV312" s="4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95"/>
      <c r="DM312" s="95"/>
      <c r="DN312" s="95"/>
      <c r="DO312" s="95"/>
      <c r="DP312" s="95"/>
      <c r="DQ312" s="95"/>
      <c r="DR312" s="95"/>
      <c r="DS312" s="95"/>
      <c r="DT312" s="95"/>
      <c r="DU312" s="95"/>
      <c r="DV312" s="95"/>
      <c r="DW312" s="95"/>
      <c r="DX312" s="95"/>
      <c r="DY312" s="95"/>
      <c r="DZ312" s="95"/>
    </row>
    <row r="313" spans="4:130" s="57" customFormat="1" x14ac:dyDescent="0.2">
      <c r="D313" s="114"/>
      <c r="E313" s="114"/>
      <c r="F313" s="114"/>
      <c r="G313" s="114"/>
      <c r="H313" s="114"/>
      <c r="I313" s="351"/>
      <c r="J313" s="114"/>
      <c r="K313" s="114"/>
      <c r="L313" s="114"/>
      <c r="M313" s="114"/>
      <c r="N313" s="114"/>
      <c r="O313" s="114"/>
      <c r="P313" s="351"/>
      <c r="Q313" s="351"/>
      <c r="S313" s="118"/>
      <c r="CU313" s="349"/>
      <c r="CV313" s="4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95"/>
      <c r="DM313" s="95"/>
      <c r="DN313" s="95"/>
      <c r="DO313" s="95"/>
      <c r="DP313" s="95"/>
      <c r="DQ313" s="95"/>
      <c r="DR313" s="95"/>
      <c r="DS313" s="95"/>
      <c r="DT313" s="95"/>
      <c r="DU313" s="95"/>
      <c r="DV313" s="95"/>
      <c r="DW313" s="95"/>
      <c r="DX313" s="95"/>
      <c r="DY313" s="95"/>
      <c r="DZ313" s="95"/>
    </row>
    <row r="314" spans="4:130" s="57" customFormat="1" x14ac:dyDescent="0.2">
      <c r="D314" s="114"/>
      <c r="E314" s="114"/>
      <c r="F314" s="114"/>
      <c r="G314" s="114"/>
      <c r="H314" s="114"/>
      <c r="I314" s="351"/>
      <c r="J314" s="114"/>
      <c r="K314" s="114"/>
      <c r="L314" s="114"/>
      <c r="M314" s="114"/>
      <c r="N314" s="114"/>
      <c r="O314" s="114"/>
      <c r="P314" s="351"/>
      <c r="Q314" s="351"/>
      <c r="S314" s="118"/>
      <c r="CU314" s="349"/>
      <c r="CV314" s="4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95"/>
      <c r="DM314" s="95"/>
      <c r="DN314" s="95"/>
      <c r="DO314" s="95"/>
      <c r="DP314" s="95"/>
      <c r="DQ314" s="95"/>
      <c r="DR314" s="95"/>
      <c r="DS314" s="95"/>
      <c r="DT314" s="95"/>
      <c r="DU314" s="95"/>
      <c r="DV314" s="95"/>
      <c r="DW314" s="95"/>
      <c r="DX314" s="95"/>
      <c r="DY314" s="95"/>
      <c r="DZ314" s="95"/>
    </row>
    <row r="315" spans="4:130" s="57" customFormat="1" x14ac:dyDescent="0.2">
      <c r="D315" s="114"/>
      <c r="E315" s="114"/>
      <c r="F315" s="114"/>
      <c r="G315" s="114"/>
      <c r="H315" s="114"/>
      <c r="I315" s="351"/>
      <c r="J315" s="114"/>
      <c r="K315" s="114"/>
      <c r="L315" s="114"/>
      <c r="M315" s="114"/>
      <c r="N315" s="114"/>
      <c r="O315" s="114"/>
      <c r="P315" s="351"/>
      <c r="Q315" s="351"/>
      <c r="S315" s="118"/>
      <c r="CU315" s="349"/>
      <c r="CV315" s="40"/>
      <c r="CW315" s="60"/>
      <c r="CX315" s="60"/>
      <c r="CY315" s="60"/>
      <c r="CZ315" s="60"/>
      <c r="DA315" s="60"/>
      <c r="DB315" s="60"/>
      <c r="DC315" s="60"/>
      <c r="DD315" s="60"/>
      <c r="DE315" s="60"/>
      <c r="DF315" s="60"/>
      <c r="DG315" s="60"/>
      <c r="DH315" s="60"/>
      <c r="DI315" s="60"/>
      <c r="DJ315" s="60"/>
      <c r="DK315" s="60"/>
      <c r="DL315" s="95"/>
      <c r="DM315" s="95"/>
      <c r="DN315" s="95"/>
      <c r="DO315" s="95"/>
      <c r="DP315" s="95"/>
      <c r="DQ315" s="95"/>
      <c r="DR315" s="95"/>
      <c r="DS315" s="95"/>
      <c r="DT315" s="95"/>
      <c r="DU315" s="95"/>
      <c r="DV315" s="95"/>
      <c r="DW315" s="95"/>
      <c r="DX315" s="95"/>
      <c r="DY315" s="95"/>
      <c r="DZ315" s="95"/>
    </row>
    <row r="316" spans="4:130" s="57" customFormat="1" x14ac:dyDescent="0.2">
      <c r="D316" s="114"/>
      <c r="E316" s="114"/>
      <c r="F316" s="114"/>
      <c r="G316" s="114"/>
      <c r="H316" s="114"/>
      <c r="I316" s="351"/>
      <c r="J316" s="114"/>
      <c r="K316" s="114"/>
      <c r="L316" s="114"/>
      <c r="M316" s="114"/>
      <c r="N316" s="114"/>
      <c r="O316" s="114"/>
      <c r="P316" s="351"/>
      <c r="Q316" s="351"/>
      <c r="S316" s="118"/>
      <c r="CU316" s="349"/>
      <c r="CV316" s="4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95"/>
      <c r="DM316" s="95"/>
      <c r="DN316" s="95"/>
      <c r="DO316" s="95"/>
      <c r="DP316" s="95"/>
      <c r="DQ316" s="95"/>
      <c r="DR316" s="95"/>
      <c r="DS316" s="95"/>
      <c r="DT316" s="95"/>
      <c r="DU316" s="95"/>
      <c r="DV316" s="95"/>
      <c r="DW316" s="95"/>
      <c r="DX316" s="95"/>
      <c r="DY316" s="95"/>
      <c r="DZ316" s="95"/>
    </row>
    <row r="317" spans="4:130" s="57" customFormat="1" x14ac:dyDescent="0.2">
      <c r="D317" s="114"/>
      <c r="E317" s="114"/>
      <c r="F317" s="114"/>
      <c r="G317" s="114"/>
      <c r="H317" s="114"/>
      <c r="I317" s="351"/>
      <c r="J317" s="114"/>
      <c r="K317" s="114"/>
      <c r="L317" s="114"/>
      <c r="M317" s="114"/>
      <c r="N317" s="114"/>
      <c r="O317" s="114"/>
      <c r="P317" s="351"/>
      <c r="Q317" s="351"/>
      <c r="S317" s="118"/>
      <c r="CU317" s="349"/>
      <c r="CV317" s="4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95"/>
      <c r="DM317" s="95"/>
      <c r="DN317" s="95"/>
      <c r="DO317" s="95"/>
      <c r="DP317" s="95"/>
      <c r="DQ317" s="95"/>
      <c r="DR317" s="95"/>
      <c r="DS317" s="95"/>
      <c r="DT317" s="95"/>
      <c r="DU317" s="95"/>
      <c r="DV317" s="95"/>
      <c r="DW317" s="95"/>
      <c r="DX317" s="95"/>
      <c r="DY317" s="95"/>
      <c r="DZ317" s="95"/>
    </row>
    <row r="318" spans="4:130" s="57" customFormat="1" x14ac:dyDescent="0.2">
      <c r="D318" s="114"/>
      <c r="E318" s="114"/>
      <c r="F318" s="114"/>
      <c r="G318" s="114"/>
      <c r="H318" s="114"/>
      <c r="I318" s="351"/>
      <c r="J318" s="114"/>
      <c r="K318" s="114"/>
      <c r="L318" s="114"/>
      <c r="M318" s="114"/>
      <c r="N318" s="114"/>
      <c r="O318" s="114"/>
      <c r="P318" s="351"/>
      <c r="Q318" s="351"/>
      <c r="S318" s="118"/>
      <c r="CU318" s="349"/>
      <c r="CV318" s="4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5"/>
      <c r="DX318" s="95"/>
      <c r="DY318" s="95"/>
      <c r="DZ318" s="95"/>
    </row>
    <row r="319" spans="4:130" s="57" customFormat="1" x14ac:dyDescent="0.2">
      <c r="D319" s="114"/>
      <c r="E319" s="114"/>
      <c r="F319" s="114"/>
      <c r="G319" s="114"/>
      <c r="H319" s="114"/>
      <c r="I319" s="351"/>
      <c r="J319" s="114"/>
      <c r="K319" s="114"/>
      <c r="L319" s="114"/>
      <c r="M319" s="114"/>
      <c r="N319" s="114"/>
      <c r="O319" s="114"/>
      <c r="P319" s="351"/>
      <c r="Q319" s="351"/>
      <c r="S319" s="118"/>
      <c r="CU319" s="349"/>
      <c r="CV319" s="4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95"/>
      <c r="DM319" s="95"/>
      <c r="DN319" s="95"/>
      <c r="DO319" s="95"/>
      <c r="DP319" s="95"/>
      <c r="DQ319" s="95"/>
      <c r="DR319" s="95"/>
      <c r="DS319" s="95"/>
      <c r="DT319" s="95"/>
      <c r="DU319" s="95"/>
      <c r="DV319" s="95"/>
      <c r="DW319" s="95"/>
      <c r="DX319" s="95"/>
      <c r="DY319" s="95"/>
      <c r="DZ319" s="95"/>
    </row>
    <row r="320" spans="4:130" s="57" customFormat="1" x14ac:dyDescent="0.2">
      <c r="D320" s="114"/>
      <c r="E320" s="114"/>
      <c r="F320" s="114"/>
      <c r="G320" s="114"/>
      <c r="H320" s="114"/>
      <c r="I320" s="351"/>
      <c r="J320" s="114"/>
      <c r="K320" s="114"/>
      <c r="L320" s="114"/>
      <c r="M320" s="114"/>
      <c r="N320" s="114"/>
      <c r="O320" s="114"/>
      <c r="P320" s="351"/>
      <c r="Q320" s="351"/>
      <c r="S320" s="118"/>
      <c r="CU320" s="349"/>
      <c r="CV320" s="4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  <c r="DL320" s="95"/>
      <c r="DM320" s="95"/>
      <c r="DN320" s="95"/>
      <c r="DO320" s="95"/>
      <c r="DP320" s="95"/>
      <c r="DQ320" s="95"/>
      <c r="DR320" s="95"/>
      <c r="DS320" s="95"/>
      <c r="DT320" s="95"/>
      <c r="DU320" s="95"/>
      <c r="DV320" s="95"/>
      <c r="DW320" s="95"/>
      <c r="DX320" s="95"/>
      <c r="DY320" s="95"/>
      <c r="DZ320" s="95"/>
    </row>
    <row r="321" spans="4:130" s="57" customFormat="1" x14ac:dyDescent="0.2">
      <c r="D321" s="114"/>
      <c r="E321" s="114"/>
      <c r="F321" s="114"/>
      <c r="G321" s="114"/>
      <c r="H321" s="114"/>
      <c r="I321" s="351"/>
      <c r="J321" s="114"/>
      <c r="K321" s="114"/>
      <c r="L321" s="114"/>
      <c r="M321" s="114"/>
      <c r="N321" s="114"/>
      <c r="O321" s="114"/>
      <c r="P321" s="351"/>
      <c r="Q321" s="351"/>
      <c r="S321" s="118"/>
      <c r="CU321" s="349"/>
      <c r="CV321" s="4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95"/>
      <c r="DM321" s="95"/>
      <c r="DN321" s="95"/>
      <c r="DO321" s="95"/>
      <c r="DP321" s="95"/>
      <c r="DQ321" s="95"/>
      <c r="DR321" s="95"/>
      <c r="DS321" s="95"/>
      <c r="DT321" s="95"/>
      <c r="DU321" s="95"/>
      <c r="DV321" s="95"/>
      <c r="DW321" s="95"/>
      <c r="DX321" s="95"/>
      <c r="DY321" s="95"/>
      <c r="DZ321" s="95"/>
    </row>
    <row r="322" spans="4:130" s="57" customFormat="1" x14ac:dyDescent="0.2">
      <c r="D322" s="114"/>
      <c r="E322" s="114"/>
      <c r="F322" s="114"/>
      <c r="G322" s="114"/>
      <c r="H322" s="114"/>
      <c r="I322" s="351"/>
      <c r="J322" s="114"/>
      <c r="K322" s="114"/>
      <c r="L322" s="114"/>
      <c r="M322" s="114"/>
      <c r="N322" s="114"/>
      <c r="O322" s="114"/>
      <c r="P322" s="351"/>
      <c r="Q322" s="351"/>
      <c r="S322" s="118"/>
      <c r="CU322" s="349"/>
      <c r="CV322" s="4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95"/>
      <c r="DM322" s="95"/>
      <c r="DN322" s="95"/>
      <c r="DO322" s="95"/>
      <c r="DP322" s="95"/>
      <c r="DQ322" s="95"/>
      <c r="DR322" s="95"/>
      <c r="DS322" s="95"/>
      <c r="DT322" s="95"/>
      <c r="DU322" s="95"/>
      <c r="DV322" s="95"/>
      <c r="DW322" s="95"/>
      <c r="DX322" s="95"/>
      <c r="DY322" s="95"/>
      <c r="DZ322" s="95"/>
    </row>
    <row r="323" spans="4:130" s="57" customFormat="1" x14ac:dyDescent="0.2">
      <c r="D323" s="114"/>
      <c r="E323" s="114"/>
      <c r="F323" s="114"/>
      <c r="G323" s="114"/>
      <c r="H323" s="114"/>
      <c r="I323" s="351"/>
      <c r="J323" s="114"/>
      <c r="K323" s="114"/>
      <c r="L323" s="114"/>
      <c r="M323" s="114"/>
      <c r="N323" s="114"/>
      <c r="O323" s="114"/>
      <c r="P323" s="351"/>
      <c r="Q323" s="351"/>
      <c r="S323" s="118"/>
      <c r="CU323" s="349"/>
      <c r="CV323" s="4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95"/>
      <c r="DM323" s="95"/>
      <c r="DN323" s="95"/>
      <c r="DO323" s="95"/>
      <c r="DP323" s="95"/>
      <c r="DQ323" s="95"/>
      <c r="DR323" s="95"/>
      <c r="DS323" s="95"/>
      <c r="DT323" s="95"/>
      <c r="DU323" s="95"/>
      <c r="DV323" s="95"/>
      <c r="DW323" s="95"/>
      <c r="DX323" s="95"/>
      <c r="DY323" s="95"/>
      <c r="DZ323" s="95"/>
    </row>
    <row r="324" spans="4:130" s="57" customFormat="1" x14ac:dyDescent="0.2">
      <c r="D324" s="114"/>
      <c r="E324" s="114"/>
      <c r="F324" s="114"/>
      <c r="G324" s="114"/>
      <c r="H324" s="114"/>
      <c r="I324" s="351"/>
      <c r="J324" s="114"/>
      <c r="K324" s="114"/>
      <c r="L324" s="114"/>
      <c r="M324" s="114"/>
      <c r="N324" s="114"/>
      <c r="O324" s="114"/>
      <c r="P324" s="351"/>
      <c r="Q324" s="351"/>
      <c r="S324" s="118"/>
      <c r="CU324" s="349"/>
      <c r="CV324" s="4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  <c r="DL324" s="95"/>
      <c r="DM324" s="95"/>
      <c r="DN324" s="95"/>
      <c r="DO324" s="95"/>
      <c r="DP324" s="95"/>
      <c r="DQ324" s="95"/>
      <c r="DR324" s="95"/>
      <c r="DS324" s="95"/>
      <c r="DT324" s="95"/>
      <c r="DU324" s="95"/>
      <c r="DV324" s="95"/>
      <c r="DW324" s="95"/>
      <c r="DX324" s="95"/>
      <c r="DY324" s="95"/>
      <c r="DZ324" s="95"/>
    </row>
    <row r="325" spans="4:130" s="57" customFormat="1" x14ac:dyDescent="0.2">
      <c r="D325" s="114"/>
      <c r="E325" s="114"/>
      <c r="F325" s="114"/>
      <c r="G325" s="114"/>
      <c r="H325" s="114"/>
      <c r="I325" s="351"/>
      <c r="J325" s="114"/>
      <c r="K325" s="114"/>
      <c r="L325" s="114"/>
      <c r="M325" s="114"/>
      <c r="N325" s="114"/>
      <c r="O325" s="114"/>
      <c r="P325" s="351"/>
      <c r="Q325" s="351"/>
      <c r="S325" s="118"/>
      <c r="CU325" s="349"/>
      <c r="CV325" s="4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  <c r="DL325" s="95"/>
      <c r="DM325" s="95"/>
      <c r="DN325" s="95"/>
      <c r="DO325" s="95"/>
      <c r="DP325" s="95"/>
      <c r="DQ325" s="95"/>
      <c r="DR325" s="95"/>
      <c r="DS325" s="95"/>
      <c r="DT325" s="95"/>
      <c r="DU325" s="95"/>
      <c r="DV325" s="95"/>
      <c r="DW325" s="95"/>
      <c r="DX325" s="95"/>
      <c r="DY325" s="95"/>
      <c r="DZ325" s="95"/>
    </row>
    <row r="326" spans="4:130" s="57" customFormat="1" x14ac:dyDescent="0.2">
      <c r="D326" s="114"/>
      <c r="E326" s="114"/>
      <c r="F326" s="114"/>
      <c r="G326" s="114"/>
      <c r="H326" s="114"/>
      <c r="I326" s="351"/>
      <c r="J326" s="114"/>
      <c r="K326" s="114"/>
      <c r="L326" s="114"/>
      <c r="M326" s="114"/>
      <c r="N326" s="114"/>
      <c r="O326" s="114"/>
      <c r="P326" s="351"/>
      <c r="Q326" s="351"/>
      <c r="S326" s="118"/>
      <c r="CU326" s="349"/>
      <c r="CV326" s="40"/>
      <c r="CW326" s="60"/>
      <c r="CX326" s="60"/>
      <c r="CY326" s="60"/>
      <c r="CZ326" s="60"/>
      <c r="DA326" s="60"/>
      <c r="DB326" s="60"/>
      <c r="DC326" s="60"/>
      <c r="DD326" s="60"/>
      <c r="DE326" s="60"/>
      <c r="DF326" s="60"/>
      <c r="DG326" s="60"/>
      <c r="DH326" s="60"/>
      <c r="DI326" s="60"/>
      <c r="DJ326" s="60"/>
      <c r="DK326" s="60"/>
      <c r="DL326" s="95"/>
      <c r="DM326" s="95"/>
      <c r="DN326" s="95"/>
      <c r="DO326" s="95"/>
      <c r="DP326" s="95"/>
      <c r="DQ326" s="95"/>
      <c r="DR326" s="95"/>
      <c r="DS326" s="95"/>
      <c r="DT326" s="95"/>
      <c r="DU326" s="95"/>
      <c r="DV326" s="95"/>
      <c r="DW326" s="95"/>
      <c r="DX326" s="95"/>
      <c r="DY326" s="95"/>
      <c r="DZ326" s="95"/>
    </row>
    <row r="327" spans="4:130" s="57" customFormat="1" x14ac:dyDescent="0.2">
      <c r="D327" s="114"/>
      <c r="E327" s="114"/>
      <c r="F327" s="114"/>
      <c r="G327" s="114"/>
      <c r="H327" s="114"/>
      <c r="I327" s="351"/>
      <c r="J327" s="114"/>
      <c r="K327" s="114"/>
      <c r="L327" s="114"/>
      <c r="M327" s="114"/>
      <c r="N327" s="114"/>
      <c r="O327" s="114"/>
      <c r="P327" s="351"/>
      <c r="Q327" s="351"/>
      <c r="S327" s="118"/>
      <c r="CU327" s="349"/>
      <c r="CV327" s="40"/>
      <c r="CW327" s="60"/>
      <c r="CX327" s="60"/>
      <c r="CY327" s="60"/>
      <c r="CZ327" s="60"/>
      <c r="DA327" s="60"/>
      <c r="DB327" s="60"/>
      <c r="DC327" s="60"/>
      <c r="DD327" s="60"/>
      <c r="DE327" s="60"/>
      <c r="DF327" s="60"/>
      <c r="DG327" s="60"/>
      <c r="DH327" s="60"/>
      <c r="DI327" s="60"/>
      <c r="DJ327" s="60"/>
      <c r="DK327" s="60"/>
      <c r="DL327" s="95"/>
      <c r="DM327" s="95"/>
      <c r="DN327" s="95"/>
      <c r="DO327" s="95"/>
      <c r="DP327" s="95"/>
      <c r="DQ327" s="95"/>
      <c r="DR327" s="95"/>
      <c r="DS327" s="95"/>
      <c r="DT327" s="95"/>
      <c r="DU327" s="95"/>
      <c r="DV327" s="95"/>
      <c r="DW327" s="95"/>
      <c r="DX327" s="95"/>
      <c r="DY327" s="95"/>
      <c r="DZ327" s="95"/>
    </row>
    <row r="328" spans="4:130" s="57" customFormat="1" x14ac:dyDescent="0.2">
      <c r="D328" s="114"/>
      <c r="E328" s="114"/>
      <c r="F328" s="114"/>
      <c r="G328" s="114"/>
      <c r="H328" s="114"/>
      <c r="I328" s="351"/>
      <c r="J328" s="114"/>
      <c r="K328" s="114"/>
      <c r="L328" s="114"/>
      <c r="M328" s="114"/>
      <c r="N328" s="114"/>
      <c r="O328" s="114"/>
      <c r="P328" s="351"/>
      <c r="Q328" s="351"/>
      <c r="S328" s="118"/>
      <c r="CU328" s="349"/>
      <c r="CV328" s="40"/>
      <c r="CW328" s="60"/>
      <c r="CX328" s="60"/>
      <c r="CY328" s="60"/>
      <c r="CZ328" s="60"/>
      <c r="DA328" s="60"/>
      <c r="DB328" s="60"/>
      <c r="DC328" s="60"/>
      <c r="DD328" s="60"/>
      <c r="DE328" s="60"/>
      <c r="DF328" s="60"/>
      <c r="DG328" s="60"/>
      <c r="DH328" s="60"/>
      <c r="DI328" s="60"/>
      <c r="DJ328" s="60"/>
      <c r="DK328" s="60"/>
      <c r="DL328" s="95"/>
      <c r="DM328" s="95"/>
      <c r="DN328" s="95"/>
      <c r="DO328" s="95"/>
      <c r="DP328" s="95"/>
      <c r="DQ328" s="95"/>
      <c r="DR328" s="95"/>
      <c r="DS328" s="95"/>
      <c r="DT328" s="95"/>
      <c r="DU328" s="95"/>
      <c r="DV328" s="95"/>
      <c r="DW328" s="95"/>
      <c r="DX328" s="95"/>
      <c r="DY328" s="95"/>
      <c r="DZ328" s="95"/>
    </row>
    <row r="329" spans="4:130" s="57" customFormat="1" x14ac:dyDescent="0.2">
      <c r="D329" s="114"/>
      <c r="E329" s="114"/>
      <c r="F329" s="114"/>
      <c r="G329" s="114"/>
      <c r="H329" s="114"/>
      <c r="I329" s="351"/>
      <c r="J329" s="114"/>
      <c r="K329" s="114"/>
      <c r="L329" s="114"/>
      <c r="M329" s="114"/>
      <c r="N329" s="114"/>
      <c r="O329" s="114"/>
      <c r="P329" s="351"/>
      <c r="Q329" s="351"/>
      <c r="S329" s="118"/>
      <c r="CU329" s="349"/>
      <c r="CV329" s="40"/>
      <c r="CW329" s="60"/>
      <c r="CX329" s="60"/>
      <c r="CY329" s="60"/>
      <c r="CZ329" s="60"/>
      <c r="DA329" s="60"/>
      <c r="DB329" s="60"/>
      <c r="DC329" s="60"/>
      <c r="DD329" s="60"/>
      <c r="DE329" s="60"/>
      <c r="DF329" s="60"/>
      <c r="DG329" s="60"/>
      <c r="DH329" s="60"/>
      <c r="DI329" s="60"/>
      <c r="DJ329" s="60"/>
      <c r="DK329" s="60"/>
      <c r="DL329" s="95"/>
      <c r="DM329" s="95"/>
      <c r="DN329" s="95"/>
      <c r="DO329" s="95"/>
      <c r="DP329" s="95"/>
      <c r="DQ329" s="95"/>
      <c r="DR329" s="95"/>
      <c r="DS329" s="95"/>
      <c r="DT329" s="95"/>
      <c r="DU329" s="95"/>
      <c r="DV329" s="95"/>
      <c r="DW329" s="95"/>
      <c r="DX329" s="95"/>
      <c r="DY329" s="95"/>
      <c r="DZ329" s="95"/>
    </row>
    <row r="330" spans="4:130" s="57" customFormat="1" x14ac:dyDescent="0.2">
      <c r="D330" s="114"/>
      <c r="E330" s="114"/>
      <c r="F330" s="114"/>
      <c r="G330" s="114"/>
      <c r="H330" s="114"/>
      <c r="I330" s="351"/>
      <c r="J330" s="114"/>
      <c r="K330" s="114"/>
      <c r="L330" s="114"/>
      <c r="M330" s="114"/>
      <c r="N330" s="114"/>
      <c r="O330" s="114"/>
      <c r="P330" s="351"/>
      <c r="Q330" s="351"/>
      <c r="S330" s="118"/>
      <c r="CU330" s="349"/>
      <c r="CV330" s="40"/>
      <c r="CW330" s="60"/>
      <c r="CX330" s="60"/>
      <c r="CY330" s="60"/>
      <c r="CZ330" s="60"/>
      <c r="DA330" s="60"/>
      <c r="DB330" s="60"/>
      <c r="DC330" s="60"/>
      <c r="DD330" s="60"/>
      <c r="DE330" s="60"/>
      <c r="DF330" s="60"/>
      <c r="DG330" s="60"/>
      <c r="DH330" s="60"/>
      <c r="DI330" s="60"/>
      <c r="DJ330" s="60"/>
      <c r="DK330" s="60"/>
      <c r="DL330" s="95"/>
      <c r="DM330" s="95"/>
      <c r="DN330" s="95"/>
      <c r="DO330" s="95"/>
      <c r="DP330" s="95"/>
      <c r="DQ330" s="95"/>
      <c r="DR330" s="95"/>
      <c r="DS330" s="95"/>
      <c r="DT330" s="95"/>
      <c r="DU330" s="95"/>
      <c r="DV330" s="95"/>
      <c r="DW330" s="95"/>
      <c r="DX330" s="95"/>
      <c r="DY330" s="95"/>
      <c r="DZ330" s="95"/>
    </row>
    <row r="331" spans="4:130" s="57" customFormat="1" x14ac:dyDescent="0.2">
      <c r="D331" s="114"/>
      <c r="E331" s="114"/>
      <c r="F331" s="114"/>
      <c r="G331" s="114"/>
      <c r="H331" s="114"/>
      <c r="I331" s="351"/>
      <c r="J331" s="114"/>
      <c r="K331" s="114"/>
      <c r="L331" s="114"/>
      <c r="M331" s="114"/>
      <c r="N331" s="114"/>
      <c r="O331" s="114"/>
      <c r="P331" s="351"/>
      <c r="Q331" s="351"/>
      <c r="S331" s="118"/>
      <c r="CU331" s="349"/>
      <c r="CV331" s="40"/>
      <c r="CW331" s="60"/>
      <c r="CX331" s="60"/>
      <c r="CY331" s="60"/>
      <c r="CZ331" s="60"/>
      <c r="DA331" s="60"/>
      <c r="DB331" s="60"/>
      <c r="DC331" s="60"/>
      <c r="DD331" s="60"/>
      <c r="DE331" s="60"/>
      <c r="DF331" s="60"/>
      <c r="DG331" s="60"/>
      <c r="DH331" s="60"/>
      <c r="DI331" s="60"/>
      <c r="DJ331" s="60"/>
      <c r="DK331" s="60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</row>
    <row r="332" spans="4:130" s="57" customFormat="1" x14ac:dyDescent="0.2">
      <c r="D332" s="114"/>
      <c r="E332" s="114"/>
      <c r="F332" s="114"/>
      <c r="G332" s="114"/>
      <c r="H332" s="114"/>
      <c r="I332" s="351"/>
      <c r="J332" s="114"/>
      <c r="K332" s="114"/>
      <c r="L332" s="114"/>
      <c r="M332" s="114"/>
      <c r="N332" s="114"/>
      <c r="O332" s="114"/>
      <c r="P332" s="351"/>
      <c r="Q332" s="351"/>
      <c r="S332" s="118"/>
      <c r="CU332" s="349"/>
      <c r="CV332" s="4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95"/>
      <c r="DM332" s="95"/>
      <c r="DN332" s="95"/>
      <c r="DO332" s="95"/>
      <c r="DP332" s="95"/>
      <c r="DQ332" s="95"/>
      <c r="DR332" s="95"/>
      <c r="DS332" s="95"/>
      <c r="DT332" s="95"/>
      <c r="DU332" s="95"/>
      <c r="DV332" s="95"/>
      <c r="DW332" s="95"/>
      <c r="DX332" s="95"/>
      <c r="DY332" s="95"/>
      <c r="DZ332" s="95"/>
    </row>
    <row r="333" spans="4:130" s="57" customFormat="1" x14ac:dyDescent="0.2">
      <c r="D333" s="114"/>
      <c r="E333" s="114"/>
      <c r="F333" s="114"/>
      <c r="G333" s="114"/>
      <c r="H333" s="114"/>
      <c r="I333" s="351"/>
      <c r="J333" s="114"/>
      <c r="K333" s="114"/>
      <c r="L333" s="114"/>
      <c r="M333" s="114"/>
      <c r="N333" s="114"/>
      <c r="O333" s="114"/>
      <c r="P333" s="351"/>
      <c r="Q333" s="351"/>
      <c r="S333" s="118"/>
      <c r="CU333" s="349"/>
      <c r="CV333" s="4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  <c r="DL333" s="95"/>
      <c r="DM333" s="95"/>
      <c r="DN333" s="95"/>
      <c r="DO333" s="95"/>
      <c r="DP333" s="95"/>
      <c r="DQ333" s="95"/>
      <c r="DR333" s="95"/>
      <c r="DS333" s="95"/>
      <c r="DT333" s="95"/>
      <c r="DU333" s="95"/>
      <c r="DV333" s="95"/>
      <c r="DW333" s="95"/>
      <c r="DX333" s="95"/>
      <c r="DY333" s="95"/>
      <c r="DZ333" s="95"/>
    </row>
    <row r="334" spans="4:130" s="57" customFormat="1" x14ac:dyDescent="0.2">
      <c r="D334" s="114"/>
      <c r="E334" s="114"/>
      <c r="F334" s="114"/>
      <c r="G334" s="114"/>
      <c r="H334" s="114"/>
      <c r="I334" s="351"/>
      <c r="J334" s="114"/>
      <c r="K334" s="114"/>
      <c r="L334" s="114"/>
      <c r="M334" s="114"/>
      <c r="N334" s="114"/>
      <c r="O334" s="114"/>
      <c r="P334" s="351"/>
      <c r="Q334" s="351"/>
      <c r="S334" s="118"/>
      <c r="CU334" s="349"/>
      <c r="CV334" s="40"/>
      <c r="CW334" s="60"/>
      <c r="CX334" s="60"/>
      <c r="CY334" s="60"/>
      <c r="CZ334" s="60"/>
      <c r="DA334" s="60"/>
      <c r="DB334" s="60"/>
      <c r="DC334" s="60"/>
      <c r="DD334" s="60"/>
      <c r="DE334" s="60"/>
      <c r="DF334" s="60"/>
      <c r="DG334" s="60"/>
      <c r="DH334" s="60"/>
      <c r="DI334" s="60"/>
      <c r="DJ334" s="60"/>
      <c r="DK334" s="60"/>
      <c r="DL334" s="95"/>
      <c r="DM334" s="95"/>
      <c r="DN334" s="95"/>
      <c r="DO334" s="95"/>
      <c r="DP334" s="95"/>
      <c r="DQ334" s="95"/>
      <c r="DR334" s="95"/>
      <c r="DS334" s="95"/>
      <c r="DT334" s="95"/>
      <c r="DU334" s="95"/>
      <c r="DV334" s="95"/>
      <c r="DW334" s="95"/>
      <c r="DX334" s="95"/>
      <c r="DY334" s="95"/>
      <c r="DZ334" s="95"/>
    </row>
    <row r="335" spans="4:130" s="57" customFormat="1" x14ac:dyDescent="0.2">
      <c r="D335" s="114"/>
      <c r="E335" s="114"/>
      <c r="F335" s="114"/>
      <c r="G335" s="114"/>
      <c r="H335" s="114"/>
      <c r="I335" s="351"/>
      <c r="J335" s="114"/>
      <c r="K335" s="114"/>
      <c r="L335" s="114"/>
      <c r="M335" s="114"/>
      <c r="N335" s="114"/>
      <c r="O335" s="114"/>
      <c r="P335" s="351"/>
      <c r="Q335" s="351"/>
      <c r="S335" s="118"/>
      <c r="CU335" s="349"/>
      <c r="CV335" s="4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95"/>
      <c r="DM335" s="95"/>
      <c r="DN335" s="95"/>
      <c r="DO335" s="95"/>
      <c r="DP335" s="95"/>
      <c r="DQ335" s="95"/>
      <c r="DR335" s="95"/>
      <c r="DS335" s="95"/>
      <c r="DT335" s="95"/>
      <c r="DU335" s="95"/>
      <c r="DV335" s="95"/>
      <c r="DW335" s="95"/>
      <c r="DX335" s="95"/>
      <c r="DY335" s="95"/>
      <c r="DZ335" s="95"/>
    </row>
    <row r="336" spans="4:130" s="57" customFormat="1" x14ac:dyDescent="0.2">
      <c r="D336" s="114"/>
      <c r="E336" s="114"/>
      <c r="F336" s="114"/>
      <c r="G336" s="114"/>
      <c r="H336" s="114"/>
      <c r="I336" s="351"/>
      <c r="J336" s="114"/>
      <c r="K336" s="114"/>
      <c r="L336" s="114"/>
      <c r="M336" s="114"/>
      <c r="N336" s="114"/>
      <c r="O336" s="114"/>
      <c r="P336" s="351"/>
      <c r="Q336" s="351"/>
      <c r="S336" s="118"/>
      <c r="CU336" s="349"/>
      <c r="CV336" s="4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95"/>
      <c r="DM336" s="95"/>
      <c r="DN336" s="95"/>
      <c r="DO336" s="95"/>
      <c r="DP336" s="95"/>
      <c r="DQ336" s="95"/>
      <c r="DR336" s="95"/>
      <c r="DS336" s="95"/>
      <c r="DT336" s="95"/>
      <c r="DU336" s="95"/>
      <c r="DV336" s="95"/>
      <c r="DW336" s="95"/>
      <c r="DX336" s="95"/>
      <c r="DY336" s="95"/>
      <c r="DZ336" s="95"/>
    </row>
    <row r="337" spans="4:130" s="57" customFormat="1" x14ac:dyDescent="0.2">
      <c r="D337" s="114"/>
      <c r="E337" s="114"/>
      <c r="F337" s="114"/>
      <c r="G337" s="114"/>
      <c r="H337" s="114"/>
      <c r="I337" s="351"/>
      <c r="J337" s="114"/>
      <c r="K337" s="114"/>
      <c r="L337" s="114"/>
      <c r="M337" s="114"/>
      <c r="N337" s="114"/>
      <c r="O337" s="114"/>
      <c r="P337" s="351"/>
      <c r="Q337" s="351"/>
      <c r="S337" s="118"/>
      <c r="CU337" s="349"/>
      <c r="CV337" s="4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95"/>
      <c r="DM337" s="95"/>
      <c r="DN337" s="95"/>
      <c r="DO337" s="95"/>
      <c r="DP337" s="95"/>
      <c r="DQ337" s="95"/>
      <c r="DR337" s="95"/>
      <c r="DS337" s="95"/>
      <c r="DT337" s="95"/>
      <c r="DU337" s="95"/>
      <c r="DV337" s="95"/>
      <c r="DW337" s="95"/>
      <c r="DX337" s="95"/>
      <c r="DY337" s="95"/>
      <c r="DZ337" s="95"/>
    </row>
    <row r="338" spans="4:130" s="57" customFormat="1" x14ac:dyDescent="0.2">
      <c r="D338" s="114"/>
      <c r="E338" s="114"/>
      <c r="F338" s="114"/>
      <c r="G338" s="114"/>
      <c r="H338" s="114"/>
      <c r="I338" s="351"/>
      <c r="J338" s="114"/>
      <c r="K338" s="114"/>
      <c r="L338" s="114"/>
      <c r="M338" s="114"/>
      <c r="N338" s="114"/>
      <c r="O338" s="114"/>
      <c r="P338" s="351"/>
      <c r="Q338" s="351"/>
      <c r="S338" s="118"/>
      <c r="CU338" s="349"/>
      <c r="CV338" s="4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95"/>
      <c r="DM338" s="95"/>
      <c r="DN338" s="95"/>
      <c r="DO338" s="95"/>
      <c r="DP338" s="95"/>
      <c r="DQ338" s="95"/>
      <c r="DR338" s="95"/>
      <c r="DS338" s="95"/>
      <c r="DT338" s="95"/>
      <c r="DU338" s="95"/>
      <c r="DV338" s="95"/>
      <c r="DW338" s="95"/>
      <c r="DX338" s="95"/>
      <c r="DY338" s="95"/>
      <c r="DZ338" s="95"/>
    </row>
    <row r="339" spans="4:130" s="57" customFormat="1" x14ac:dyDescent="0.2">
      <c r="D339" s="114"/>
      <c r="E339" s="114"/>
      <c r="F339" s="114"/>
      <c r="G339" s="114"/>
      <c r="H339" s="114"/>
      <c r="I339" s="351"/>
      <c r="J339" s="114"/>
      <c r="K339" s="114"/>
      <c r="L339" s="114"/>
      <c r="M339" s="114"/>
      <c r="N339" s="114"/>
      <c r="O339" s="114"/>
      <c r="P339" s="351"/>
      <c r="Q339" s="351"/>
      <c r="S339" s="118"/>
      <c r="CU339" s="349"/>
      <c r="CV339" s="4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95"/>
      <c r="DM339" s="95"/>
      <c r="DN339" s="95"/>
      <c r="DO339" s="95"/>
      <c r="DP339" s="95"/>
      <c r="DQ339" s="95"/>
      <c r="DR339" s="95"/>
      <c r="DS339" s="95"/>
      <c r="DT339" s="95"/>
      <c r="DU339" s="95"/>
      <c r="DV339" s="95"/>
      <c r="DW339" s="95"/>
      <c r="DX339" s="95"/>
      <c r="DY339" s="95"/>
      <c r="DZ339" s="95"/>
    </row>
    <row r="340" spans="4:130" s="57" customFormat="1" x14ac:dyDescent="0.2">
      <c r="D340" s="114"/>
      <c r="E340" s="114"/>
      <c r="F340" s="114"/>
      <c r="G340" s="114"/>
      <c r="H340" s="114"/>
      <c r="I340" s="351"/>
      <c r="J340" s="114"/>
      <c r="K340" s="114"/>
      <c r="L340" s="114"/>
      <c r="M340" s="114"/>
      <c r="N340" s="114"/>
      <c r="O340" s="114"/>
      <c r="P340" s="351"/>
      <c r="Q340" s="351"/>
      <c r="S340" s="118"/>
      <c r="CU340" s="349"/>
      <c r="CV340" s="4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95"/>
      <c r="DM340" s="95"/>
      <c r="DN340" s="95"/>
      <c r="DO340" s="95"/>
      <c r="DP340" s="95"/>
      <c r="DQ340" s="95"/>
      <c r="DR340" s="95"/>
      <c r="DS340" s="95"/>
      <c r="DT340" s="95"/>
      <c r="DU340" s="95"/>
      <c r="DV340" s="95"/>
      <c r="DW340" s="95"/>
      <c r="DX340" s="95"/>
      <c r="DY340" s="95"/>
      <c r="DZ340" s="95"/>
    </row>
    <row r="341" spans="4:130" s="57" customFormat="1" x14ac:dyDescent="0.2">
      <c r="D341" s="114"/>
      <c r="E341" s="114"/>
      <c r="F341" s="114"/>
      <c r="G341" s="114"/>
      <c r="H341" s="114"/>
      <c r="I341" s="351"/>
      <c r="J341" s="114"/>
      <c r="K341" s="114"/>
      <c r="L341" s="114"/>
      <c r="M341" s="114"/>
      <c r="N341" s="114"/>
      <c r="O341" s="114"/>
      <c r="P341" s="351"/>
      <c r="Q341" s="351"/>
      <c r="S341" s="118"/>
      <c r="CU341" s="349"/>
      <c r="CV341" s="4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95"/>
      <c r="DM341" s="95"/>
      <c r="DN341" s="95"/>
      <c r="DO341" s="95"/>
      <c r="DP341" s="95"/>
      <c r="DQ341" s="95"/>
      <c r="DR341" s="95"/>
      <c r="DS341" s="95"/>
      <c r="DT341" s="95"/>
      <c r="DU341" s="95"/>
      <c r="DV341" s="95"/>
      <c r="DW341" s="95"/>
      <c r="DX341" s="95"/>
      <c r="DY341" s="95"/>
      <c r="DZ341" s="95"/>
    </row>
    <row r="342" spans="4:130" s="57" customFormat="1" x14ac:dyDescent="0.2">
      <c r="D342" s="114"/>
      <c r="E342" s="114"/>
      <c r="F342" s="114"/>
      <c r="G342" s="114"/>
      <c r="H342" s="114"/>
      <c r="I342" s="351"/>
      <c r="J342" s="114"/>
      <c r="K342" s="114"/>
      <c r="L342" s="114"/>
      <c r="M342" s="114"/>
      <c r="N342" s="114"/>
      <c r="O342" s="114"/>
      <c r="P342" s="351"/>
      <c r="Q342" s="351"/>
      <c r="S342" s="118"/>
      <c r="CU342" s="349"/>
      <c r="CV342" s="4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95"/>
      <c r="DM342" s="95"/>
      <c r="DN342" s="95"/>
      <c r="DO342" s="95"/>
      <c r="DP342" s="95"/>
      <c r="DQ342" s="95"/>
      <c r="DR342" s="95"/>
      <c r="DS342" s="95"/>
      <c r="DT342" s="95"/>
      <c r="DU342" s="95"/>
      <c r="DV342" s="95"/>
      <c r="DW342" s="95"/>
      <c r="DX342" s="95"/>
      <c r="DY342" s="95"/>
      <c r="DZ342" s="95"/>
    </row>
    <row r="343" spans="4:130" s="57" customFormat="1" x14ac:dyDescent="0.2">
      <c r="D343" s="114"/>
      <c r="E343" s="114"/>
      <c r="F343" s="114"/>
      <c r="G343" s="114"/>
      <c r="H343" s="114"/>
      <c r="I343" s="351"/>
      <c r="J343" s="114"/>
      <c r="K343" s="114"/>
      <c r="L343" s="114"/>
      <c r="M343" s="114"/>
      <c r="N343" s="114"/>
      <c r="O343" s="114"/>
      <c r="P343" s="351"/>
      <c r="Q343" s="351"/>
      <c r="S343" s="118"/>
      <c r="CU343" s="349"/>
      <c r="CV343" s="4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95"/>
      <c r="DM343" s="95"/>
      <c r="DN343" s="95"/>
      <c r="DO343" s="95"/>
      <c r="DP343" s="95"/>
      <c r="DQ343" s="95"/>
      <c r="DR343" s="95"/>
      <c r="DS343" s="95"/>
      <c r="DT343" s="95"/>
      <c r="DU343" s="95"/>
      <c r="DV343" s="95"/>
      <c r="DW343" s="95"/>
      <c r="DX343" s="95"/>
      <c r="DY343" s="95"/>
      <c r="DZ343" s="95"/>
    </row>
    <row r="344" spans="4:130" s="57" customFormat="1" x14ac:dyDescent="0.2">
      <c r="D344" s="114"/>
      <c r="E344" s="114"/>
      <c r="F344" s="114"/>
      <c r="G344" s="114"/>
      <c r="H344" s="114"/>
      <c r="I344" s="351"/>
      <c r="J344" s="114"/>
      <c r="K344" s="114"/>
      <c r="L344" s="114"/>
      <c r="M344" s="114"/>
      <c r="N344" s="114"/>
      <c r="O344" s="114"/>
      <c r="P344" s="351"/>
      <c r="Q344" s="351"/>
      <c r="S344" s="118"/>
      <c r="CU344" s="349"/>
      <c r="CV344" s="4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95"/>
      <c r="DM344" s="95"/>
      <c r="DN344" s="95"/>
      <c r="DO344" s="95"/>
      <c r="DP344" s="95"/>
      <c r="DQ344" s="95"/>
      <c r="DR344" s="95"/>
      <c r="DS344" s="95"/>
      <c r="DT344" s="95"/>
      <c r="DU344" s="95"/>
      <c r="DV344" s="95"/>
      <c r="DW344" s="95"/>
      <c r="DX344" s="95"/>
      <c r="DY344" s="95"/>
      <c r="DZ344" s="95"/>
    </row>
    <row r="345" spans="4:130" s="57" customFormat="1" x14ac:dyDescent="0.2">
      <c r="D345" s="114"/>
      <c r="E345" s="114"/>
      <c r="F345" s="114"/>
      <c r="G345" s="114"/>
      <c r="H345" s="114"/>
      <c r="I345" s="351"/>
      <c r="J345" s="114"/>
      <c r="K345" s="114"/>
      <c r="L345" s="114"/>
      <c r="M345" s="114"/>
      <c r="N345" s="114"/>
      <c r="O345" s="114"/>
      <c r="P345" s="351"/>
      <c r="Q345" s="351"/>
      <c r="S345" s="118"/>
      <c r="CU345" s="349"/>
      <c r="CV345" s="4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95"/>
      <c r="DM345" s="95"/>
      <c r="DN345" s="95"/>
      <c r="DO345" s="95"/>
      <c r="DP345" s="95"/>
      <c r="DQ345" s="95"/>
      <c r="DR345" s="95"/>
      <c r="DS345" s="95"/>
      <c r="DT345" s="95"/>
      <c r="DU345" s="95"/>
      <c r="DV345" s="95"/>
      <c r="DW345" s="95"/>
      <c r="DX345" s="95"/>
      <c r="DY345" s="95"/>
      <c r="DZ345" s="95"/>
    </row>
    <row r="346" spans="4:130" s="57" customFormat="1" x14ac:dyDescent="0.2">
      <c r="D346" s="114"/>
      <c r="E346" s="114"/>
      <c r="F346" s="114"/>
      <c r="G346" s="114"/>
      <c r="H346" s="114"/>
      <c r="I346" s="351"/>
      <c r="J346" s="114"/>
      <c r="K346" s="114"/>
      <c r="L346" s="114"/>
      <c r="M346" s="114"/>
      <c r="N346" s="114"/>
      <c r="O346" s="114"/>
      <c r="P346" s="351"/>
      <c r="Q346" s="351"/>
      <c r="S346" s="118"/>
      <c r="CU346" s="349"/>
      <c r="CV346" s="4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95"/>
      <c r="DM346" s="95"/>
      <c r="DN346" s="95"/>
      <c r="DO346" s="95"/>
      <c r="DP346" s="95"/>
      <c r="DQ346" s="95"/>
      <c r="DR346" s="95"/>
      <c r="DS346" s="95"/>
      <c r="DT346" s="95"/>
      <c r="DU346" s="95"/>
      <c r="DV346" s="95"/>
      <c r="DW346" s="95"/>
      <c r="DX346" s="95"/>
      <c r="DY346" s="95"/>
      <c r="DZ346" s="95"/>
    </row>
    <row r="347" spans="4:130" s="57" customFormat="1" x14ac:dyDescent="0.2">
      <c r="D347" s="114"/>
      <c r="E347" s="114"/>
      <c r="F347" s="114"/>
      <c r="G347" s="114"/>
      <c r="H347" s="114"/>
      <c r="I347" s="351"/>
      <c r="J347" s="114"/>
      <c r="K347" s="114"/>
      <c r="L347" s="114"/>
      <c r="M347" s="114"/>
      <c r="N347" s="114"/>
      <c r="O347" s="114"/>
      <c r="P347" s="351"/>
      <c r="Q347" s="351"/>
      <c r="S347" s="118"/>
      <c r="CU347" s="349"/>
      <c r="CV347" s="4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95"/>
      <c r="DM347" s="95"/>
      <c r="DN347" s="95"/>
      <c r="DO347" s="95"/>
      <c r="DP347" s="95"/>
      <c r="DQ347" s="95"/>
      <c r="DR347" s="95"/>
      <c r="DS347" s="95"/>
      <c r="DT347" s="95"/>
      <c r="DU347" s="95"/>
      <c r="DV347" s="95"/>
      <c r="DW347" s="95"/>
      <c r="DX347" s="95"/>
      <c r="DY347" s="95"/>
      <c r="DZ347" s="95"/>
    </row>
    <row r="348" spans="4:130" s="57" customFormat="1" x14ac:dyDescent="0.2">
      <c r="D348" s="114"/>
      <c r="E348" s="114"/>
      <c r="F348" s="114"/>
      <c r="G348" s="114"/>
      <c r="H348" s="114"/>
      <c r="I348" s="351"/>
      <c r="J348" s="114"/>
      <c r="K348" s="114"/>
      <c r="L348" s="114"/>
      <c r="M348" s="114"/>
      <c r="N348" s="114"/>
      <c r="O348" s="114"/>
      <c r="P348" s="351"/>
      <c r="Q348" s="351"/>
      <c r="S348" s="118"/>
      <c r="CU348" s="349"/>
      <c r="CV348" s="4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95"/>
      <c r="DM348" s="95"/>
      <c r="DN348" s="95"/>
      <c r="DO348" s="95"/>
      <c r="DP348" s="95"/>
      <c r="DQ348" s="95"/>
      <c r="DR348" s="95"/>
      <c r="DS348" s="95"/>
      <c r="DT348" s="95"/>
      <c r="DU348" s="95"/>
      <c r="DV348" s="95"/>
      <c r="DW348" s="95"/>
      <c r="DX348" s="95"/>
      <c r="DY348" s="95"/>
      <c r="DZ348" s="95"/>
    </row>
    <row r="349" spans="4:130" s="57" customFormat="1" x14ac:dyDescent="0.2">
      <c r="D349" s="114"/>
      <c r="E349" s="114"/>
      <c r="F349" s="114"/>
      <c r="G349" s="114"/>
      <c r="H349" s="114"/>
      <c r="I349" s="351"/>
      <c r="J349" s="114"/>
      <c r="K349" s="114"/>
      <c r="L349" s="114"/>
      <c r="M349" s="114"/>
      <c r="N349" s="114"/>
      <c r="O349" s="114"/>
      <c r="P349" s="351"/>
      <c r="Q349" s="351"/>
      <c r="S349" s="118"/>
      <c r="CU349" s="349"/>
      <c r="CV349" s="4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95"/>
      <c r="DM349" s="95"/>
      <c r="DN349" s="95"/>
      <c r="DO349" s="95"/>
      <c r="DP349" s="95"/>
      <c r="DQ349" s="95"/>
      <c r="DR349" s="95"/>
      <c r="DS349" s="95"/>
      <c r="DT349" s="95"/>
      <c r="DU349" s="95"/>
      <c r="DV349" s="95"/>
      <c r="DW349" s="95"/>
      <c r="DX349" s="95"/>
      <c r="DY349" s="95"/>
      <c r="DZ349" s="95"/>
    </row>
    <row r="350" spans="4:130" s="57" customFormat="1" x14ac:dyDescent="0.2">
      <c r="D350" s="114"/>
      <c r="E350" s="114"/>
      <c r="F350" s="114"/>
      <c r="G350" s="114"/>
      <c r="H350" s="114"/>
      <c r="I350" s="351"/>
      <c r="J350" s="114"/>
      <c r="K350" s="114"/>
      <c r="L350" s="114"/>
      <c r="M350" s="114"/>
      <c r="N350" s="114"/>
      <c r="O350" s="114"/>
      <c r="P350" s="351"/>
      <c r="Q350" s="351"/>
      <c r="S350" s="118"/>
      <c r="CU350" s="349"/>
      <c r="CV350" s="4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95"/>
      <c r="DM350" s="95"/>
      <c r="DN350" s="95"/>
      <c r="DO350" s="95"/>
      <c r="DP350" s="95"/>
      <c r="DQ350" s="95"/>
      <c r="DR350" s="95"/>
      <c r="DS350" s="95"/>
      <c r="DT350" s="95"/>
      <c r="DU350" s="95"/>
      <c r="DV350" s="95"/>
      <c r="DW350" s="95"/>
      <c r="DX350" s="95"/>
      <c r="DY350" s="95"/>
      <c r="DZ350" s="95"/>
    </row>
    <row r="351" spans="4:130" s="57" customFormat="1" x14ac:dyDescent="0.2">
      <c r="D351" s="114"/>
      <c r="E351" s="114"/>
      <c r="F351" s="114"/>
      <c r="G351" s="114"/>
      <c r="H351" s="114"/>
      <c r="I351" s="351"/>
      <c r="J351" s="114"/>
      <c r="K351" s="114"/>
      <c r="L351" s="114"/>
      <c r="M351" s="114"/>
      <c r="N351" s="114"/>
      <c r="O351" s="114"/>
      <c r="P351" s="351"/>
      <c r="Q351" s="351"/>
      <c r="S351" s="118"/>
      <c r="CU351" s="349"/>
      <c r="CV351" s="40"/>
      <c r="CW351" s="60"/>
      <c r="CX351" s="60"/>
      <c r="CY351" s="60"/>
      <c r="CZ351" s="60"/>
      <c r="DA351" s="60"/>
      <c r="DB351" s="60"/>
      <c r="DC351" s="60"/>
      <c r="DD351" s="60"/>
      <c r="DE351" s="60"/>
      <c r="DF351" s="60"/>
      <c r="DG351" s="60"/>
      <c r="DH351" s="60"/>
      <c r="DI351" s="60"/>
      <c r="DJ351" s="60"/>
      <c r="DK351" s="60"/>
      <c r="DL351" s="95"/>
      <c r="DM351" s="95"/>
      <c r="DN351" s="95"/>
      <c r="DO351" s="95"/>
      <c r="DP351" s="95"/>
      <c r="DQ351" s="95"/>
      <c r="DR351" s="95"/>
      <c r="DS351" s="95"/>
      <c r="DT351" s="95"/>
      <c r="DU351" s="95"/>
      <c r="DV351" s="95"/>
      <c r="DW351" s="95"/>
      <c r="DX351" s="95"/>
      <c r="DY351" s="95"/>
      <c r="DZ351" s="95"/>
    </row>
    <row r="352" spans="4:130" s="57" customFormat="1" x14ac:dyDescent="0.2">
      <c r="D352" s="114"/>
      <c r="E352" s="114"/>
      <c r="F352" s="114"/>
      <c r="G352" s="114"/>
      <c r="H352" s="114"/>
      <c r="I352" s="351"/>
      <c r="J352" s="114"/>
      <c r="K352" s="114"/>
      <c r="L352" s="114"/>
      <c r="M352" s="114"/>
      <c r="N352" s="114"/>
      <c r="O352" s="114"/>
      <c r="P352" s="351"/>
      <c r="Q352" s="351"/>
      <c r="S352" s="118"/>
      <c r="CU352" s="349"/>
      <c r="CV352" s="40"/>
      <c r="CW352" s="60"/>
      <c r="CX352" s="60"/>
      <c r="CY352" s="60"/>
      <c r="CZ352" s="60"/>
      <c r="DA352" s="60"/>
      <c r="DB352" s="60"/>
      <c r="DC352" s="60"/>
      <c r="DD352" s="60"/>
      <c r="DE352" s="60"/>
      <c r="DF352" s="60"/>
      <c r="DG352" s="60"/>
      <c r="DH352" s="60"/>
      <c r="DI352" s="60"/>
      <c r="DJ352" s="60"/>
      <c r="DK352" s="60"/>
      <c r="DL352" s="95"/>
      <c r="DM352" s="95"/>
      <c r="DN352" s="95"/>
      <c r="DO352" s="95"/>
      <c r="DP352" s="95"/>
      <c r="DQ352" s="95"/>
      <c r="DR352" s="95"/>
      <c r="DS352" s="95"/>
      <c r="DT352" s="95"/>
      <c r="DU352" s="95"/>
      <c r="DV352" s="95"/>
      <c r="DW352" s="95"/>
      <c r="DX352" s="95"/>
      <c r="DY352" s="95"/>
      <c r="DZ352" s="95"/>
    </row>
    <row r="353" spans="4:130" s="57" customFormat="1" x14ac:dyDescent="0.2">
      <c r="D353" s="114"/>
      <c r="E353" s="114"/>
      <c r="F353" s="114"/>
      <c r="G353" s="114"/>
      <c r="H353" s="114"/>
      <c r="I353" s="351"/>
      <c r="J353" s="114"/>
      <c r="K353" s="114"/>
      <c r="L353" s="114"/>
      <c r="M353" s="114"/>
      <c r="N353" s="114"/>
      <c r="O353" s="114"/>
      <c r="P353" s="351"/>
      <c r="Q353" s="351"/>
      <c r="S353" s="118"/>
      <c r="CU353" s="349"/>
      <c r="CV353" s="40"/>
      <c r="CW353" s="60"/>
      <c r="CX353" s="60"/>
      <c r="CY353" s="60"/>
      <c r="CZ353" s="60"/>
      <c r="DA353" s="60"/>
      <c r="DB353" s="60"/>
      <c r="DC353" s="60"/>
      <c r="DD353" s="60"/>
      <c r="DE353" s="60"/>
      <c r="DF353" s="60"/>
      <c r="DG353" s="60"/>
      <c r="DH353" s="60"/>
      <c r="DI353" s="60"/>
      <c r="DJ353" s="60"/>
      <c r="DK353" s="60"/>
      <c r="DL353" s="95"/>
      <c r="DM353" s="95"/>
      <c r="DN353" s="95"/>
      <c r="DO353" s="95"/>
      <c r="DP353" s="95"/>
      <c r="DQ353" s="95"/>
      <c r="DR353" s="95"/>
      <c r="DS353" s="95"/>
      <c r="DT353" s="95"/>
      <c r="DU353" s="95"/>
      <c r="DV353" s="95"/>
      <c r="DW353" s="95"/>
      <c r="DX353" s="95"/>
      <c r="DY353" s="95"/>
      <c r="DZ353" s="95"/>
    </row>
    <row r="354" spans="4:130" s="57" customFormat="1" x14ac:dyDescent="0.2">
      <c r="D354" s="114"/>
      <c r="E354" s="114"/>
      <c r="F354" s="114"/>
      <c r="G354" s="114"/>
      <c r="H354" s="114"/>
      <c r="I354" s="351"/>
      <c r="J354" s="114"/>
      <c r="K354" s="114"/>
      <c r="L354" s="114"/>
      <c r="M354" s="114"/>
      <c r="N354" s="114"/>
      <c r="O354" s="114"/>
      <c r="P354" s="351"/>
      <c r="Q354" s="351"/>
      <c r="S354" s="118"/>
      <c r="CU354" s="349"/>
      <c r="CV354" s="4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  <c r="DL354" s="95"/>
      <c r="DM354" s="95"/>
      <c r="DN354" s="95"/>
      <c r="DO354" s="95"/>
      <c r="DP354" s="95"/>
      <c r="DQ354" s="95"/>
      <c r="DR354" s="95"/>
      <c r="DS354" s="95"/>
      <c r="DT354" s="95"/>
      <c r="DU354" s="95"/>
      <c r="DV354" s="95"/>
      <c r="DW354" s="95"/>
      <c r="DX354" s="95"/>
      <c r="DY354" s="95"/>
      <c r="DZ354" s="95"/>
    </row>
    <row r="355" spans="4:130" s="57" customFormat="1" x14ac:dyDescent="0.2">
      <c r="D355" s="114"/>
      <c r="E355" s="114"/>
      <c r="F355" s="114"/>
      <c r="G355" s="114"/>
      <c r="H355" s="114"/>
      <c r="I355" s="351"/>
      <c r="J355" s="114"/>
      <c r="K355" s="114"/>
      <c r="L355" s="114"/>
      <c r="M355" s="114"/>
      <c r="N355" s="114"/>
      <c r="O355" s="114"/>
      <c r="P355" s="351"/>
      <c r="Q355" s="351"/>
      <c r="S355" s="118"/>
      <c r="CU355" s="349"/>
      <c r="CV355" s="40"/>
      <c r="CW355" s="60"/>
      <c r="CX355" s="60"/>
      <c r="CY355" s="60"/>
      <c r="CZ355" s="60"/>
      <c r="DA355" s="60"/>
      <c r="DB355" s="60"/>
      <c r="DC355" s="60"/>
      <c r="DD355" s="60"/>
      <c r="DE355" s="60"/>
      <c r="DF355" s="60"/>
      <c r="DG355" s="60"/>
      <c r="DH355" s="60"/>
      <c r="DI355" s="60"/>
      <c r="DJ355" s="60"/>
      <c r="DK355" s="60"/>
      <c r="DL355" s="95"/>
      <c r="DM355" s="95"/>
      <c r="DN355" s="95"/>
      <c r="DO355" s="95"/>
      <c r="DP355" s="95"/>
      <c r="DQ355" s="95"/>
      <c r="DR355" s="95"/>
      <c r="DS355" s="95"/>
      <c r="DT355" s="95"/>
      <c r="DU355" s="95"/>
      <c r="DV355" s="95"/>
      <c r="DW355" s="95"/>
      <c r="DX355" s="95"/>
      <c r="DY355" s="95"/>
      <c r="DZ355" s="95"/>
    </row>
    <row r="356" spans="4:130" s="57" customFormat="1" x14ac:dyDescent="0.2">
      <c r="D356" s="114"/>
      <c r="E356" s="114"/>
      <c r="F356" s="114"/>
      <c r="G356" s="114"/>
      <c r="H356" s="114"/>
      <c r="I356" s="351"/>
      <c r="J356" s="114"/>
      <c r="K356" s="114"/>
      <c r="L356" s="114"/>
      <c r="M356" s="114"/>
      <c r="N356" s="114"/>
      <c r="O356" s="114"/>
      <c r="P356" s="351"/>
      <c r="Q356" s="351"/>
      <c r="S356" s="118"/>
      <c r="CU356" s="349"/>
      <c r="CV356" s="4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  <c r="DL356" s="95"/>
      <c r="DM356" s="95"/>
      <c r="DN356" s="95"/>
      <c r="DO356" s="95"/>
      <c r="DP356" s="95"/>
      <c r="DQ356" s="95"/>
      <c r="DR356" s="95"/>
      <c r="DS356" s="95"/>
      <c r="DT356" s="95"/>
      <c r="DU356" s="95"/>
      <c r="DV356" s="95"/>
      <c r="DW356" s="95"/>
      <c r="DX356" s="95"/>
      <c r="DY356" s="95"/>
      <c r="DZ356" s="95"/>
    </row>
    <row r="357" spans="4:130" s="57" customFormat="1" x14ac:dyDescent="0.2">
      <c r="D357" s="114"/>
      <c r="E357" s="114"/>
      <c r="F357" s="114"/>
      <c r="G357" s="114"/>
      <c r="H357" s="114"/>
      <c r="I357" s="351"/>
      <c r="J357" s="114"/>
      <c r="K357" s="114"/>
      <c r="L357" s="114"/>
      <c r="M357" s="114"/>
      <c r="N357" s="114"/>
      <c r="O357" s="114"/>
      <c r="P357" s="351"/>
      <c r="Q357" s="351"/>
      <c r="S357" s="118"/>
      <c r="CU357" s="349"/>
      <c r="CV357" s="40"/>
      <c r="CW357" s="60"/>
      <c r="CX357" s="60"/>
      <c r="CY357" s="60"/>
      <c r="CZ357" s="60"/>
      <c r="DA357" s="60"/>
      <c r="DB357" s="60"/>
      <c r="DC357" s="60"/>
      <c r="DD357" s="60"/>
      <c r="DE357" s="60"/>
      <c r="DF357" s="60"/>
      <c r="DG357" s="60"/>
      <c r="DH357" s="60"/>
      <c r="DI357" s="60"/>
      <c r="DJ357" s="60"/>
      <c r="DK357" s="60"/>
      <c r="DL357" s="95"/>
      <c r="DM357" s="95"/>
      <c r="DN357" s="95"/>
      <c r="DO357" s="95"/>
      <c r="DP357" s="95"/>
      <c r="DQ357" s="95"/>
      <c r="DR357" s="95"/>
      <c r="DS357" s="95"/>
      <c r="DT357" s="95"/>
      <c r="DU357" s="95"/>
      <c r="DV357" s="95"/>
      <c r="DW357" s="95"/>
      <c r="DX357" s="95"/>
      <c r="DY357" s="95"/>
      <c r="DZ357" s="95"/>
    </row>
    <row r="358" spans="4:130" s="57" customFormat="1" x14ac:dyDescent="0.2">
      <c r="D358" s="114"/>
      <c r="E358" s="114"/>
      <c r="F358" s="114"/>
      <c r="G358" s="114"/>
      <c r="H358" s="114"/>
      <c r="I358" s="351"/>
      <c r="J358" s="114"/>
      <c r="K358" s="114"/>
      <c r="L358" s="114"/>
      <c r="M358" s="114"/>
      <c r="N358" s="114"/>
      <c r="O358" s="114"/>
      <c r="P358" s="351"/>
      <c r="Q358" s="351"/>
      <c r="S358" s="118"/>
      <c r="CU358" s="349"/>
      <c r="CV358" s="4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95"/>
      <c r="DM358" s="95"/>
      <c r="DN358" s="95"/>
      <c r="DO358" s="95"/>
      <c r="DP358" s="95"/>
      <c r="DQ358" s="95"/>
      <c r="DR358" s="95"/>
      <c r="DS358" s="95"/>
      <c r="DT358" s="95"/>
      <c r="DU358" s="95"/>
      <c r="DV358" s="95"/>
      <c r="DW358" s="95"/>
      <c r="DX358" s="95"/>
      <c r="DY358" s="95"/>
      <c r="DZ358" s="95"/>
    </row>
    <row r="359" spans="4:130" s="57" customFormat="1" x14ac:dyDescent="0.2">
      <c r="D359" s="114"/>
      <c r="E359" s="114"/>
      <c r="F359" s="114"/>
      <c r="G359" s="114"/>
      <c r="H359" s="114"/>
      <c r="I359" s="351"/>
      <c r="J359" s="114"/>
      <c r="K359" s="114"/>
      <c r="L359" s="114"/>
      <c r="M359" s="114"/>
      <c r="N359" s="114"/>
      <c r="O359" s="114"/>
      <c r="P359" s="351"/>
      <c r="Q359" s="351"/>
      <c r="S359" s="118"/>
      <c r="CU359" s="349"/>
      <c r="CV359" s="40"/>
      <c r="CW359" s="60"/>
      <c r="CX359" s="60"/>
      <c r="CY359" s="60"/>
      <c r="CZ359" s="60"/>
      <c r="DA359" s="60"/>
      <c r="DB359" s="60"/>
      <c r="DC359" s="60"/>
      <c r="DD359" s="60"/>
      <c r="DE359" s="60"/>
      <c r="DF359" s="60"/>
      <c r="DG359" s="60"/>
      <c r="DH359" s="60"/>
      <c r="DI359" s="60"/>
      <c r="DJ359" s="60"/>
      <c r="DK359" s="60"/>
      <c r="DL359" s="95"/>
      <c r="DM359" s="95"/>
      <c r="DN359" s="95"/>
      <c r="DO359" s="95"/>
      <c r="DP359" s="95"/>
      <c r="DQ359" s="95"/>
      <c r="DR359" s="95"/>
      <c r="DS359" s="95"/>
      <c r="DT359" s="95"/>
      <c r="DU359" s="95"/>
      <c r="DV359" s="95"/>
      <c r="DW359" s="95"/>
      <c r="DX359" s="95"/>
      <c r="DY359" s="95"/>
      <c r="DZ359" s="95"/>
    </row>
    <row r="360" spans="4:130" s="57" customFormat="1" x14ac:dyDescent="0.2">
      <c r="D360" s="114"/>
      <c r="E360" s="114"/>
      <c r="F360" s="114"/>
      <c r="G360" s="114"/>
      <c r="H360" s="114"/>
      <c r="I360" s="351"/>
      <c r="J360" s="114"/>
      <c r="K360" s="114"/>
      <c r="L360" s="114"/>
      <c r="M360" s="114"/>
      <c r="N360" s="114"/>
      <c r="O360" s="114"/>
      <c r="P360" s="351"/>
      <c r="Q360" s="351"/>
      <c r="S360" s="118"/>
      <c r="CU360" s="349"/>
      <c r="CV360" s="4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95"/>
      <c r="DM360" s="95"/>
      <c r="DN360" s="95"/>
      <c r="DO360" s="95"/>
      <c r="DP360" s="95"/>
      <c r="DQ360" s="95"/>
      <c r="DR360" s="95"/>
      <c r="DS360" s="95"/>
      <c r="DT360" s="95"/>
      <c r="DU360" s="95"/>
      <c r="DV360" s="95"/>
      <c r="DW360" s="95"/>
      <c r="DX360" s="95"/>
      <c r="DY360" s="95"/>
      <c r="DZ360" s="95"/>
    </row>
    <row r="361" spans="4:130" s="57" customFormat="1" x14ac:dyDescent="0.2">
      <c r="D361" s="114"/>
      <c r="E361" s="114"/>
      <c r="F361" s="114"/>
      <c r="G361" s="114"/>
      <c r="H361" s="114"/>
      <c r="I361" s="351"/>
      <c r="J361" s="114"/>
      <c r="K361" s="114"/>
      <c r="L361" s="114"/>
      <c r="M361" s="114"/>
      <c r="N361" s="114"/>
      <c r="O361" s="114"/>
      <c r="P361" s="351"/>
      <c r="Q361" s="351"/>
      <c r="S361" s="118"/>
      <c r="CU361" s="349"/>
      <c r="CV361" s="4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95"/>
      <c r="DM361" s="95"/>
      <c r="DN361" s="95"/>
      <c r="DO361" s="95"/>
      <c r="DP361" s="95"/>
      <c r="DQ361" s="95"/>
      <c r="DR361" s="95"/>
      <c r="DS361" s="95"/>
      <c r="DT361" s="95"/>
      <c r="DU361" s="95"/>
      <c r="DV361" s="95"/>
      <c r="DW361" s="95"/>
      <c r="DX361" s="95"/>
      <c r="DY361" s="95"/>
      <c r="DZ361" s="95"/>
    </row>
    <row r="362" spans="4:130" s="57" customFormat="1" x14ac:dyDescent="0.2">
      <c r="D362" s="114"/>
      <c r="E362" s="114"/>
      <c r="F362" s="114"/>
      <c r="G362" s="114"/>
      <c r="H362" s="114"/>
      <c r="I362" s="351"/>
      <c r="J362" s="114"/>
      <c r="K362" s="114"/>
      <c r="L362" s="114"/>
      <c r="M362" s="114"/>
      <c r="N362" s="114"/>
      <c r="O362" s="114"/>
      <c r="P362" s="351"/>
      <c r="Q362" s="351"/>
      <c r="S362" s="118"/>
      <c r="CU362" s="349"/>
      <c r="CV362" s="4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95"/>
      <c r="DM362" s="95"/>
      <c r="DN362" s="95"/>
      <c r="DO362" s="95"/>
      <c r="DP362" s="95"/>
      <c r="DQ362" s="95"/>
      <c r="DR362" s="95"/>
      <c r="DS362" s="95"/>
      <c r="DT362" s="95"/>
      <c r="DU362" s="95"/>
      <c r="DV362" s="95"/>
      <c r="DW362" s="95"/>
      <c r="DX362" s="95"/>
      <c r="DY362" s="95"/>
      <c r="DZ362" s="95"/>
    </row>
    <row r="363" spans="4:130" s="57" customFormat="1" x14ac:dyDescent="0.2">
      <c r="D363" s="114"/>
      <c r="E363" s="114"/>
      <c r="F363" s="114"/>
      <c r="G363" s="114"/>
      <c r="H363" s="114"/>
      <c r="I363" s="351"/>
      <c r="J363" s="114"/>
      <c r="K363" s="114"/>
      <c r="L363" s="114"/>
      <c r="M363" s="114"/>
      <c r="N363" s="114"/>
      <c r="O363" s="114"/>
      <c r="P363" s="351"/>
      <c r="Q363" s="351"/>
      <c r="S363" s="118"/>
      <c r="CU363" s="349"/>
      <c r="CV363" s="4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</row>
    <row r="364" spans="4:130" s="57" customFormat="1" x14ac:dyDescent="0.2">
      <c r="D364" s="114"/>
      <c r="E364" s="114"/>
      <c r="F364" s="114"/>
      <c r="G364" s="114"/>
      <c r="H364" s="114"/>
      <c r="I364" s="351"/>
      <c r="J364" s="114"/>
      <c r="K364" s="114"/>
      <c r="L364" s="114"/>
      <c r="M364" s="114"/>
      <c r="N364" s="114"/>
      <c r="O364" s="114"/>
      <c r="P364" s="351"/>
      <c r="Q364" s="351"/>
      <c r="S364" s="118"/>
      <c r="CU364" s="349"/>
      <c r="CV364" s="4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95"/>
      <c r="DM364" s="95"/>
      <c r="DN364" s="95"/>
      <c r="DO364" s="95"/>
      <c r="DP364" s="95"/>
      <c r="DQ364" s="95"/>
      <c r="DR364" s="95"/>
      <c r="DS364" s="95"/>
      <c r="DT364" s="95"/>
      <c r="DU364" s="95"/>
      <c r="DV364" s="95"/>
      <c r="DW364" s="95"/>
      <c r="DX364" s="95"/>
      <c r="DY364" s="95"/>
      <c r="DZ364" s="95"/>
    </row>
    <row r="365" spans="4:130" s="57" customFormat="1" x14ac:dyDescent="0.2">
      <c r="D365" s="114"/>
      <c r="E365" s="114"/>
      <c r="F365" s="114"/>
      <c r="G365" s="114"/>
      <c r="H365" s="114"/>
      <c r="I365" s="351"/>
      <c r="J365" s="114"/>
      <c r="K365" s="114"/>
      <c r="L365" s="114"/>
      <c r="M365" s="114"/>
      <c r="N365" s="114"/>
      <c r="O365" s="114"/>
      <c r="P365" s="351"/>
      <c r="Q365" s="351"/>
      <c r="S365" s="118"/>
      <c r="CU365" s="349"/>
      <c r="CV365" s="4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95"/>
      <c r="DM365" s="95"/>
      <c r="DN365" s="95"/>
      <c r="DO365" s="95"/>
      <c r="DP365" s="95"/>
      <c r="DQ365" s="95"/>
      <c r="DR365" s="95"/>
      <c r="DS365" s="95"/>
      <c r="DT365" s="95"/>
      <c r="DU365" s="95"/>
      <c r="DV365" s="95"/>
      <c r="DW365" s="95"/>
      <c r="DX365" s="95"/>
      <c r="DY365" s="95"/>
      <c r="DZ365" s="95"/>
    </row>
    <row r="366" spans="4:130" s="57" customFormat="1" x14ac:dyDescent="0.2">
      <c r="D366" s="114"/>
      <c r="E366" s="114"/>
      <c r="F366" s="114"/>
      <c r="G366" s="114"/>
      <c r="H366" s="114"/>
      <c r="I366" s="351"/>
      <c r="J366" s="114"/>
      <c r="K366" s="114"/>
      <c r="L366" s="114"/>
      <c r="M366" s="114"/>
      <c r="N366" s="114"/>
      <c r="O366" s="114"/>
      <c r="P366" s="351"/>
      <c r="Q366" s="351"/>
      <c r="S366" s="118"/>
      <c r="CU366" s="349"/>
      <c r="CV366" s="4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95"/>
      <c r="DM366" s="95"/>
      <c r="DN366" s="95"/>
      <c r="DO366" s="95"/>
      <c r="DP366" s="95"/>
      <c r="DQ366" s="95"/>
      <c r="DR366" s="95"/>
      <c r="DS366" s="95"/>
      <c r="DT366" s="95"/>
      <c r="DU366" s="95"/>
      <c r="DV366" s="95"/>
      <c r="DW366" s="95"/>
      <c r="DX366" s="95"/>
      <c r="DY366" s="95"/>
      <c r="DZ366" s="95"/>
    </row>
    <row r="367" spans="4:130" s="57" customFormat="1" x14ac:dyDescent="0.2">
      <c r="D367" s="114"/>
      <c r="E367" s="114"/>
      <c r="F367" s="114"/>
      <c r="G367" s="114"/>
      <c r="H367" s="114"/>
      <c r="I367" s="351"/>
      <c r="J367" s="114"/>
      <c r="K367" s="114"/>
      <c r="L367" s="114"/>
      <c r="M367" s="114"/>
      <c r="N367" s="114"/>
      <c r="O367" s="114"/>
      <c r="P367" s="351"/>
      <c r="Q367" s="351"/>
      <c r="S367" s="118"/>
      <c r="CU367" s="349"/>
      <c r="CV367" s="4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95"/>
      <c r="DM367" s="95"/>
      <c r="DN367" s="95"/>
      <c r="DO367" s="95"/>
      <c r="DP367" s="95"/>
      <c r="DQ367" s="95"/>
      <c r="DR367" s="95"/>
      <c r="DS367" s="95"/>
      <c r="DT367" s="95"/>
      <c r="DU367" s="95"/>
      <c r="DV367" s="95"/>
      <c r="DW367" s="95"/>
      <c r="DX367" s="95"/>
      <c r="DY367" s="95"/>
      <c r="DZ367" s="95"/>
    </row>
    <row r="368" spans="4:130" s="57" customFormat="1" x14ac:dyDescent="0.2">
      <c r="D368" s="114"/>
      <c r="E368" s="114"/>
      <c r="F368" s="114"/>
      <c r="G368" s="114"/>
      <c r="H368" s="114"/>
      <c r="I368" s="351"/>
      <c r="J368" s="114"/>
      <c r="K368" s="114"/>
      <c r="L368" s="114"/>
      <c r="M368" s="114"/>
      <c r="N368" s="114"/>
      <c r="O368" s="114"/>
      <c r="P368" s="351"/>
      <c r="Q368" s="351"/>
      <c r="S368" s="118"/>
      <c r="CU368" s="349"/>
      <c r="CV368" s="4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95"/>
      <c r="DM368" s="95"/>
      <c r="DN368" s="95"/>
      <c r="DO368" s="95"/>
      <c r="DP368" s="95"/>
      <c r="DQ368" s="95"/>
      <c r="DR368" s="95"/>
      <c r="DS368" s="95"/>
      <c r="DT368" s="95"/>
      <c r="DU368" s="95"/>
      <c r="DV368" s="95"/>
      <c r="DW368" s="95"/>
      <c r="DX368" s="95"/>
      <c r="DY368" s="95"/>
      <c r="DZ368" s="95"/>
    </row>
    <row r="369" spans="4:130" s="57" customFormat="1" x14ac:dyDescent="0.2">
      <c r="D369" s="114"/>
      <c r="E369" s="114"/>
      <c r="F369" s="114"/>
      <c r="G369" s="114"/>
      <c r="H369" s="114"/>
      <c r="I369" s="351"/>
      <c r="J369" s="114"/>
      <c r="K369" s="114"/>
      <c r="L369" s="114"/>
      <c r="M369" s="114"/>
      <c r="N369" s="114"/>
      <c r="O369" s="114"/>
      <c r="P369" s="351"/>
      <c r="Q369" s="351"/>
      <c r="S369" s="118"/>
      <c r="CU369" s="349"/>
      <c r="CV369" s="4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95"/>
      <c r="DM369" s="95"/>
      <c r="DN369" s="95"/>
      <c r="DO369" s="95"/>
      <c r="DP369" s="95"/>
      <c r="DQ369" s="95"/>
      <c r="DR369" s="95"/>
      <c r="DS369" s="95"/>
      <c r="DT369" s="95"/>
      <c r="DU369" s="95"/>
      <c r="DV369" s="95"/>
      <c r="DW369" s="95"/>
      <c r="DX369" s="95"/>
      <c r="DY369" s="95"/>
      <c r="DZ369" s="95"/>
    </row>
    <row r="370" spans="4:130" s="57" customFormat="1" x14ac:dyDescent="0.2">
      <c r="D370" s="114"/>
      <c r="E370" s="114"/>
      <c r="F370" s="114"/>
      <c r="G370" s="114"/>
      <c r="H370" s="114"/>
      <c r="I370" s="351"/>
      <c r="J370" s="114"/>
      <c r="K370" s="114"/>
      <c r="L370" s="114"/>
      <c r="M370" s="114"/>
      <c r="N370" s="114"/>
      <c r="O370" s="114"/>
      <c r="P370" s="351"/>
      <c r="Q370" s="351"/>
      <c r="S370" s="118"/>
      <c r="CU370" s="349"/>
      <c r="CV370" s="4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95"/>
      <c r="DM370" s="95"/>
      <c r="DN370" s="95"/>
      <c r="DO370" s="95"/>
      <c r="DP370" s="95"/>
      <c r="DQ370" s="95"/>
      <c r="DR370" s="95"/>
      <c r="DS370" s="95"/>
      <c r="DT370" s="95"/>
      <c r="DU370" s="95"/>
      <c r="DV370" s="95"/>
      <c r="DW370" s="95"/>
      <c r="DX370" s="95"/>
      <c r="DY370" s="95"/>
      <c r="DZ370" s="95"/>
    </row>
    <row r="371" spans="4:130" s="57" customFormat="1" x14ac:dyDescent="0.2">
      <c r="D371" s="114"/>
      <c r="E371" s="114"/>
      <c r="F371" s="114"/>
      <c r="G371" s="114"/>
      <c r="H371" s="114"/>
      <c r="I371" s="351"/>
      <c r="J371" s="114"/>
      <c r="K371" s="114"/>
      <c r="L371" s="114"/>
      <c r="M371" s="114"/>
      <c r="N371" s="114"/>
      <c r="O371" s="114"/>
      <c r="P371" s="351"/>
      <c r="Q371" s="351"/>
      <c r="S371" s="118"/>
      <c r="CU371" s="349"/>
      <c r="CV371" s="4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95"/>
      <c r="DM371" s="95"/>
      <c r="DN371" s="95"/>
      <c r="DO371" s="95"/>
      <c r="DP371" s="95"/>
      <c r="DQ371" s="95"/>
      <c r="DR371" s="95"/>
      <c r="DS371" s="95"/>
      <c r="DT371" s="95"/>
      <c r="DU371" s="95"/>
      <c r="DV371" s="95"/>
      <c r="DW371" s="95"/>
      <c r="DX371" s="95"/>
      <c r="DY371" s="95"/>
      <c r="DZ371" s="95"/>
    </row>
    <row r="372" spans="4:130" s="57" customFormat="1" x14ac:dyDescent="0.2">
      <c r="D372" s="114"/>
      <c r="E372" s="114"/>
      <c r="F372" s="114"/>
      <c r="G372" s="114"/>
      <c r="H372" s="114"/>
      <c r="I372" s="351"/>
      <c r="J372" s="114"/>
      <c r="K372" s="114"/>
      <c r="L372" s="114"/>
      <c r="M372" s="114"/>
      <c r="N372" s="114"/>
      <c r="O372" s="114"/>
      <c r="P372" s="351"/>
      <c r="Q372" s="351"/>
      <c r="S372" s="118"/>
      <c r="CU372" s="349"/>
      <c r="CV372" s="4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95"/>
      <c r="DM372" s="95"/>
      <c r="DN372" s="95"/>
      <c r="DO372" s="95"/>
      <c r="DP372" s="95"/>
      <c r="DQ372" s="95"/>
      <c r="DR372" s="95"/>
      <c r="DS372" s="95"/>
      <c r="DT372" s="95"/>
      <c r="DU372" s="95"/>
      <c r="DV372" s="95"/>
      <c r="DW372" s="95"/>
      <c r="DX372" s="95"/>
      <c r="DY372" s="95"/>
      <c r="DZ372" s="95"/>
    </row>
    <row r="373" spans="4:130" s="57" customFormat="1" x14ac:dyDescent="0.2">
      <c r="D373" s="114"/>
      <c r="E373" s="114"/>
      <c r="F373" s="114"/>
      <c r="G373" s="114"/>
      <c r="H373" s="114"/>
      <c r="I373" s="351"/>
      <c r="J373" s="114"/>
      <c r="K373" s="114"/>
      <c r="L373" s="114"/>
      <c r="M373" s="114"/>
      <c r="N373" s="114"/>
      <c r="O373" s="114"/>
      <c r="P373" s="351"/>
      <c r="Q373" s="351"/>
      <c r="S373" s="118"/>
      <c r="CU373" s="349"/>
      <c r="CV373" s="4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95"/>
      <c r="DM373" s="95"/>
      <c r="DN373" s="95"/>
      <c r="DO373" s="95"/>
      <c r="DP373" s="95"/>
      <c r="DQ373" s="95"/>
      <c r="DR373" s="95"/>
      <c r="DS373" s="95"/>
      <c r="DT373" s="95"/>
      <c r="DU373" s="95"/>
      <c r="DV373" s="95"/>
      <c r="DW373" s="95"/>
      <c r="DX373" s="95"/>
      <c r="DY373" s="95"/>
      <c r="DZ373" s="95"/>
    </row>
    <row r="374" spans="4:130" s="57" customFormat="1" x14ac:dyDescent="0.2">
      <c r="D374" s="114"/>
      <c r="E374" s="114"/>
      <c r="F374" s="114"/>
      <c r="G374" s="114"/>
      <c r="H374" s="114"/>
      <c r="I374" s="351"/>
      <c r="J374" s="114"/>
      <c r="K374" s="114"/>
      <c r="L374" s="114"/>
      <c r="M374" s="114"/>
      <c r="N374" s="114"/>
      <c r="O374" s="114"/>
      <c r="P374" s="351"/>
      <c r="Q374" s="351"/>
      <c r="S374" s="118"/>
      <c r="CU374" s="349"/>
      <c r="CV374" s="40"/>
      <c r="CW374" s="60"/>
      <c r="CX374" s="60"/>
      <c r="CY374" s="60"/>
      <c r="CZ374" s="60"/>
      <c r="DA374" s="60"/>
      <c r="DB374" s="60"/>
      <c r="DC374" s="60"/>
      <c r="DD374" s="60"/>
      <c r="DE374" s="60"/>
      <c r="DF374" s="60"/>
      <c r="DG374" s="60"/>
      <c r="DH374" s="60"/>
      <c r="DI374" s="60"/>
      <c r="DJ374" s="60"/>
      <c r="DK374" s="60"/>
      <c r="DL374" s="95"/>
      <c r="DM374" s="95"/>
      <c r="DN374" s="95"/>
      <c r="DO374" s="95"/>
      <c r="DP374" s="95"/>
      <c r="DQ374" s="95"/>
      <c r="DR374" s="95"/>
      <c r="DS374" s="95"/>
      <c r="DT374" s="95"/>
      <c r="DU374" s="95"/>
      <c r="DV374" s="95"/>
      <c r="DW374" s="95"/>
      <c r="DX374" s="95"/>
      <c r="DY374" s="95"/>
      <c r="DZ374" s="95"/>
    </row>
    <row r="375" spans="4:130" s="57" customFormat="1" x14ac:dyDescent="0.2">
      <c r="D375" s="114"/>
      <c r="E375" s="114"/>
      <c r="F375" s="114"/>
      <c r="G375" s="114"/>
      <c r="H375" s="114"/>
      <c r="I375" s="351"/>
      <c r="J375" s="114"/>
      <c r="K375" s="114"/>
      <c r="L375" s="114"/>
      <c r="M375" s="114"/>
      <c r="N375" s="114"/>
      <c r="O375" s="114"/>
      <c r="P375" s="351"/>
      <c r="Q375" s="351"/>
      <c r="S375" s="118"/>
      <c r="CU375" s="349"/>
      <c r="CV375" s="40"/>
      <c r="CW375" s="60"/>
      <c r="CX375" s="60"/>
      <c r="CY375" s="60"/>
      <c r="CZ375" s="60"/>
      <c r="DA375" s="60"/>
      <c r="DB375" s="60"/>
      <c r="DC375" s="60"/>
      <c r="DD375" s="60"/>
      <c r="DE375" s="60"/>
      <c r="DF375" s="60"/>
      <c r="DG375" s="60"/>
      <c r="DH375" s="60"/>
      <c r="DI375" s="60"/>
      <c r="DJ375" s="60"/>
      <c r="DK375" s="60"/>
      <c r="DL375" s="95"/>
      <c r="DM375" s="95"/>
      <c r="DN375" s="95"/>
      <c r="DO375" s="95"/>
      <c r="DP375" s="95"/>
      <c r="DQ375" s="95"/>
      <c r="DR375" s="95"/>
      <c r="DS375" s="95"/>
      <c r="DT375" s="95"/>
      <c r="DU375" s="95"/>
      <c r="DV375" s="95"/>
      <c r="DW375" s="95"/>
      <c r="DX375" s="95"/>
      <c r="DY375" s="95"/>
      <c r="DZ375" s="95"/>
    </row>
    <row r="376" spans="4:130" s="57" customFormat="1" x14ac:dyDescent="0.2">
      <c r="D376" s="114"/>
      <c r="E376" s="114"/>
      <c r="F376" s="114"/>
      <c r="G376" s="114"/>
      <c r="H376" s="114"/>
      <c r="I376" s="351"/>
      <c r="J376" s="114"/>
      <c r="K376" s="114"/>
      <c r="L376" s="114"/>
      <c r="M376" s="114"/>
      <c r="N376" s="114"/>
      <c r="O376" s="114"/>
      <c r="P376" s="351"/>
      <c r="Q376" s="351"/>
      <c r="S376" s="118"/>
      <c r="CU376" s="349"/>
      <c r="CV376" s="40"/>
      <c r="CW376" s="60"/>
      <c r="CX376" s="60"/>
      <c r="CY376" s="60"/>
      <c r="CZ376" s="60"/>
      <c r="DA376" s="60"/>
      <c r="DB376" s="60"/>
      <c r="DC376" s="60"/>
      <c r="DD376" s="60"/>
      <c r="DE376" s="60"/>
      <c r="DF376" s="60"/>
      <c r="DG376" s="60"/>
      <c r="DH376" s="60"/>
      <c r="DI376" s="60"/>
      <c r="DJ376" s="60"/>
      <c r="DK376" s="60"/>
      <c r="DL376" s="95"/>
      <c r="DM376" s="95"/>
      <c r="DN376" s="95"/>
      <c r="DO376" s="95"/>
      <c r="DP376" s="95"/>
      <c r="DQ376" s="95"/>
      <c r="DR376" s="95"/>
      <c r="DS376" s="95"/>
      <c r="DT376" s="95"/>
      <c r="DU376" s="95"/>
      <c r="DV376" s="95"/>
      <c r="DW376" s="95"/>
      <c r="DX376" s="95"/>
      <c r="DY376" s="95"/>
      <c r="DZ376" s="95"/>
    </row>
    <row r="377" spans="4:130" s="57" customFormat="1" x14ac:dyDescent="0.2">
      <c r="D377" s="114"/>
      <c r="E377" s="114"/>
      <c r="F377" s="114"/>
      <c r="G377" s="114"/>
      <c r="H377" s="114"/>
      <c r="I377" s="351"/>
      <c r="J377" s="114"/>
      <c r="K377" s="114"/>
      <c r="L377" s="114"/>
      <c r="M377" s="114"/>
      <c r="N377" s="114"/>
      <c r="O377" s="114"/>
      <c r="P377" s="351"/>
      <c r="Q377" s="351"/>
      <c r="S377" s="118"/>
      <c r="CU377" s="349"/>
      <c r="CV377" s="40"/>
      <c r="CW377" s="60"/>
      <c r="CX377" s="60"/>
      <c r="CY377" s="60"/>
      <c r="CZ377" s="60"/>
      <c r="DA377" s="60"/>
      <c r="DB377" s="60"/>
      <c r="DC377" s="60"/>
      <c r="DD377" s="60"/>
      <c r="DE377" s="60"/>
      <c r="DF377" s="60"/>
      <c r="DG377" s="60"/>
      <c r="DH377" s="60"/>
      <c r="DI377" s="60"/>
      <c r="DJ377" s="60"/>
      <c r="DK377" s="60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</row>
    <row r="378" spans="4:130" s="57" customFormat="1" x14ac:dyDescent="0.2">
      <c r="D378" s="114"/>
      <c r="E378" s="114"/>
      <c r="F378" s="114"/>
      <c r="G378" s="114"/>
      <c r="H378" s="114"/>
      <c r="I378" s="351"/>
      <c r="J378" s="114"/>
      <c r="K378" s="114"/>
      <c r="L378" s="114"/>
      <c r="M378" s="114"/>
      <c r="N378" s="114"/>
      <c r="O378" s="114"/>
      <c r="P378" s="351"/>
      <c r="Q378" s="351"/>
      <c r="S378" s="118"/>
      <c r="CU378" s="349"/>
      <c r="CV378" s="4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  <c r="DL378" s="95"/>
      <c r="DM378" s="95"/>
      <c r="DN378" s="95"/>
      <c r="DO378" s="95"/>
      <c r="DP378" s="95"/>
      <c r="DQ378" s="95"/>
      <c r="DR378" s="95"/>
      <c r="DS378" s="95"/>
      <c r="DT378" s="95"/>
      <c r="DU378" s="95"/>
      <c r="DV378" s="95"/>
      <c r="DW378" s="95"/>
      <c r="DX378" s="95"/>
      <c r="DY378" s="95"/>
      <c r="DZ378" s="95"/>
    </row>
    <row r="379" spans="4:130" s="57" customFormat="1" x14ac:dyDescent="0.2">
      <c r="D379" s="114"/>
      <c r="E379" s="114"/>
      <c r="F379" s="114"/>
      <c r="G379" s="114"/>
      <c r="H379" s="114"/>
      <c r="I379" s="351"/>
      <c r="J379" s="114"/>
      <c r="K379" s="114"/>
      <c r="L379" s="114"/>
      <c r="M379" s="114"/>
      <c r="N379" s="114"/>
      <c r="O379" s="114"/>
      <c r="P379" s="351"/>
      <c r="Q379" s="351"/>
      <c r="S379" s="118"/>
      <c r="CU379" s="349"/>
      <c r="CV379" s="4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</row>
    <row r="380" spans="4:130" s="57" customFormat="1" x14ac:dyDescent="0.2">
      <c r="D380" s="114"/>
      <c r="E380" s="114"/>
      <c r="F380" s="114"/>
      <c r="G380" s="114"/>
      <c r="H380" s="114"/>
      <c r="I380" s="351"/>
      <c r="J380" s="114"/>
      <c r="K380" s="114"/>
      <c r="L380" s="114"/>
      <c r="M380" s="114"/>
      <c r="N380" s="114"/>
      <c r="O380" s="114"/>
      <c r="P380" s="351"/>
      <c r="Q380" s="351"/>
      <c r="S380" s="118"/>
      <c r="CU380" s="349"/>
      <c r="CV380" s="4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95"/>
      <c r="DM380" s="95"/>
      <c r="DN380" s="95"/>
      <c r="DO380" s="95"/>
      <c r="DP380" s="95"/>
      <c r="DQ380" s="95"/>
      <c r="DR380" s="95"/>
      <c r="DS380" s="95"/>
      <c r="DT380" s="95"/>
      <c r="DU380" s="95"/>
      <c r="DV380" s="95"/>
      <c r="DW380" s="95"/>
      <c r="DX380" s="95"/>
      <c r="DY380" s="95"/>
      <c r="DZ380" s="95"/>
    </row>
    <row r="381" spans="4:130" s="57" customFormat="1" x14ac:dyDescent="0.2">
      <c r="D381" s="114"/>
      <c r="E381" s="114"/>
      <c r="F381" s="114"/>
      <c r="G381" s="114"/>
      <c r="H381" s="114"/>
      <c r="I381" s="351"/>
      <c r="J381" s="114"/>
      <c r="K381" s="114"/>
      <c r="L381" s="114"/>
      <c r="M381" s="114"/>
      <c r="N381" s="114"/>
      <c r="O381" s="114"/>
      <c r="P381" s="351"/>
      <c r="Q381" s="351"/>
      <c r="S381" s="118"/>
      <c r="CU381" s="349"/>
      <c r="CV381" s="4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95"/>
      <c r="DM381" s="95"/>
      <c r="DN381" s="95"/>
      <c r="DO381" s="95"/>
      <c r="DP381" s="95"/>
      <c r="DQ381" s="95"/>
      <c r="DR381" s="95"/>
      <c r="DS381" s="95"/>
      <c r="DT381" s="95"/>
      <c r="DU381" s="95"/>
      <c r="DV381" s="95"/>
      <c r="DW381" s="95"/>
      <c r="DX381" s="95"/>
      <c r="DY381" s="95"/>
      <c r="DZ381" s="95"/>
    </row>
    <row r="382" spans="4:130" s="57" customFormat="1" x14ac:dyDescent="0.2">
      <c r="D382" s="114"/>
      <c r="E382" s="114"/>
      <c r="F382" s="114"/>
      <c r="G382" s="114"/>
      <c r="H382" s="114"/>
      <c r="I382" s="351"/>
      <c r="J382" s="114"/>
      <c r="K382" s="114"/>
      <c r="L382" s="114"/>
      <c r="M382" s="114"/>
      <c r="N382" s="114"/>
      <c r="O382" s="114"/>
      <c r="P382" s="351"/>
      <c r="Q382" s="351"/>
      <c r="S382" s="118"/>
      <c r="CU382" s="349"/>
      <c r="CV382" s="40"/>
      <c r="CW382" s="60"/>
      <c r="CX382" s="60"/>
      <c r="CY382" s="60"/>
      <c r="CZ382" s="60"/>
      <c r="DA382" s="60"/>
      <c r="DB382" s="60"/>
      <c r="DC382" s="60"/>
      <c r="DD382" s="60"/>
      <c r="DE382" s="60"/>
      <c r="DF382" s="60"/>
      <c r="DG382" s="60"/>
      <c r="DH382" s="60"/>
      <c r="DI382" s="60"/>
      <c r="DJ382" s="60"/>
      <c r="DK382" s="60"/>
      <c r="DL382" s="95"/>
      <c r="DM382" s="95"/>
      <c r="DN382" s="95"/>
      <c r="DO382" s="95"/>
      <c r="DP382" s="95"/>
      <c r="DQ382" s="95"/>
      <c r="DR382" s="95"/>
      <c r="DS382" s="95"/>
      <c r="DT382" s="95"/>
      <c r="DU382" s="95"/>
      <c r="DV382" s="95"/>
      <c r="DW382" s="95"/>
      <c r="DX382" s="95"/>
      <c r="DY382" s="95"/>
      <c r="DZ382" s="95"/>
    </row>
    <row r="383" spans="4:130" s="57" customFormat="1" x14ac:dyDescent="0.2">
      <c r="D383" s="114"/>
      <c r="E383" s="114"/>
      <c r="F383" s="114"/>
      <c r="G383" s="114"/>
      <c r="H383" s="114"/>
      <c r="I383" s="351"/>
      <c r="J383" s="114"/>
      <c r="K383" s="114"/>
      <c r="L383" s="114"/>
      <c r="M383" s="114"/>
      <c r="N383" s="114"/>
      <c r="O383" s="114"/>
      <c r="P383" s="351"/>
      <c r="Q383" s="351"/>
      <c r="S383" s="118"/>
      <c r="CU383" s="349"/>
      <c r="CV383" s="4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95"/>
      <c r="DM383" s="95"/>
      <c r="DN383" s="95"/>
      <c r="DO383" s="95"/>
      <c r="DP383" s="95"/>
      <c r="DQ383" s="95"/>
      <c r="DR383" s="95"/>
      <c r="DS383" s="95"/>
      <c r="DT383" s="95"/>
      <c r="DU383" s="95"/>
      <c r="DV383" s="95"/>
      <c r="DW383" s="95"/>
      <c r="DX383" s="95"/>
      <c r="DY383" s="95"/>
      <c r="DZ383" s="95"/>
    </row>
    <row r="384" spans="4:130" s="57" customFormat="1" x14ac:dyDescent="0.2">
      <c r="D384" s="114"/>
      <c r="E384" s="114"/>
      <c r="F384" s="114"/>
      <c r="G384" s="114"/>
      <c r="H384" s="114"/>
      <c r="I384" s="351"/>
      <c r="J384" s="114"/>
      <c r="K384" s="114"/>
      <c r="L384" s="114"/>
      <c r="M384" s="114"/>
      <c r="N384" s="114"/>
      <c r="O384" s="114"/>
      <c r="P384" s="351"/>
      <c r="Q384" s="351"/>
      <c r="S384" s="118"/>
      <c r="CU384" s="349"/>
      <c r="CV384" s="4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95"/>
      <c r="DM384" s="95"/>
      <c r="DN384" s="95"/>
      <c r="DO384" s="95"/>
      <c r="DP384" s="95"/>
      <c r="DQ384" s="95"/>
      <c r="DR384" s="95"/>
      <c r="DS384" s="95"/>
      <c r="DT384" s="95"/>
      <c r="DU384" s="95"/>
      <c r="DV384" s="95"/>
      <c r="DW384" s="95"/>
      <c r="DX384" s="95"/>
      <c r="DY384" s="95"/>
      <c r="DZ384" s="95"/>
    </row>
    <row r="385" spans="4:130" s="57" customFormat="1" x14ac:dyDescent="0.2">
      <c r="D385" s="114"/>
      <c r="E385" s="114"/>
      <c r="F385" s="114"/>
      <c r="G385" s="114"/>
      <c r="H385" s="114"/>
      <c r="I385" s="351"/>
      <c r="J385" s="114"/>
      <c r="K385" s="114"/>
      <c r="L385" s="114"/>
      <c r="M385" s="114"/>
      <c r="N385" s="114"/>
      <c r="O385" s="114"/>
      <c r="P385" s="351"/>
      <c r="Q385" s="351"/>
      <c r="S385" s="118"/>
      <c r="CU385" s="349"/>
      <c r="CV385" s="4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95"/>
      <c r="DM385" s="95"/>
      <c r="DN385" s="95"/>
      <c r="DO385" s="95"/>
      <c r="DP385" s="95"/>
      <c r="DQ385" s="95"/>
      <c r="DR385" s="95"/>
      <c r="DS385" s="95"/>
      <c r="DT385" s="95"/>
      <c r="DU385" s="95"/>
      <c r="DV385" s="95"/>
      <c r="DW385" s="95"/>
      <c r="DX385" s="95"/>
      <c r="DY385" s="95"/>
      <c r="DZ385" s="95"/>
    </row>
    <row r="386" spans="4:130" s="57" customFormat="1" x14ac:dyDescent="0.2">
      <c r="D386" s="114"/>
      <c r="E386" s="114"/>
      <c r="F386" s="114"/>
      <c r="G386" s="114"/>
      <c r="H386" s="114"/>
      <c r="I386" s="351"/>
      <c r="J386" s="114"/>
      <c r="K386" s="114"/>
      <c r="L386" s="114"/>
      <c r="M386" s="114"/>
      <c r="N386" s="114"/>
      <c r="O386" s="114"/>
      <c r="P386" s="351"/>
      <c r="Q386" s="351"/>
      <c r="S386" s="118"/>
      <c r="CU386" s="349"/>
      <c r="CV386" s="4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95"/>
      <c r="DM386" s="95"/>
      <c r="DN386" s="95"/>
      <c r="DO386" s="95"/>
      <c r="DP386" s="95"/>
      <c r="DQ386" s="95"/>
      <c r="DR386" s="95"/>
      <c r="DS386" s="95"/>
      <c r="DT386" s="95"/>
      <c r="DU386" s="95"/>
      <c r="DV386" s="95"/>
      <c r="DW386" s="95"/>
      <c r="DX386" s="95"/>
      <c r="DY386" s="95"/>
      <c r="DZ386" s="95"/>
    </row>
    <row r="387" spans="4:130" s="57" customFormat="1" x14ac:dyDescent="0.2">
      <c r="D387" s="114"/>
      <c r="E387" s="114"/>
      <c r="F387" s="114"/>
      <c r="G387" s="114"/>
      <c r="H387" s="114"/>
      <c r="I387" s="351"/>
      <c r="J387" s="114"/>
      <c r="K387" s="114"/>
      <c r="L387" s="114"/>
      <c r="M387" s="114"/>
      <c r="N387" s="114"/>
      <c r="O387" s="114"/>
      <c r="P387" s="351"/>
      <c r="Q387" s="351"/>
      <c r="S387" s="118"/>
      <c r="CU387" s="349"/>
      <c r="CV387" s="4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95"/>
      <c r="DM387" s="95"/>
      <c r="DN387" s="95"/>
      <c r="DO387" s="95"/>
      <c r="DP387" s="95"/>
      <c r="DQ387" s="95"/>
      <c r="DR387" s="95"/>
      <c r="DS387" s="95"/>
      <c r="DT387" s="95"/>
      <c r="DU387" s="95"/>
      <c r="DV387" s="95"/>
      <c r="DW387" s="95"/>
      <c r="DX387" s="95"/>
      <c r="DY387" s="95"/>
      <c r="DZ387" s="95"/>
    </row>
    <row r="388" spans="4:130" s="57" customFormat="1" x14ac:dyDescent="0.2">
      <c r="D388" s="114"/>
      <c r="E388" s="114"/>
      <c r="F388" s="114"/>
      <c r="G388" s="114"/>
      <c r="H388" s="114"/>
      <c r="I388" s="351"/>
      <c r="J388" s="114"/>
      <c r="K388" s="114"/>
      <c r="L388" s="114"/>
      <c r="M388" s="114"/>
      <c r="N388" s="114"/>
      <c r="O388" s="114"/>
      <c r="P388" s="351"/>
      <c r="Q388" s="351"/>
      <c r="S388" s="118"/>
      <c r="CU388" s="349"/>
      <c r="CV388" s="4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95"/>
      <c r="DM388" s="95"/>
      <c r="DN388" s="95"/>
      <c r="DO388" s="95"/>
      <c r="DP388" s="95"/>
      <c r="DQ388" s="95"/>
      <c r="DR388" s="95"/>
      <c r="DS388" s="95"/>
      <c r="DT388" s="95"/>
      <c r="DU388" s="95"/>
      <c r="DV388" s="95"/>
      <c r="DW388" s="95"/>
      <c r="DX388" s="95"/>
      <c r="DY388" s="95"/>
      <c r="DZ388" s="95"/>
    </row>
    <row r="389" spans="4:130" s="57" customFormat="1" x14ac:dyDescent="0.2">
      <c r="D389" s="114"/>
      <c r="E389" s="114"/>
      <c r="F389" s="114"/>
      <c r="G389" s="114"/>
      <c r="H389" s="114"/>
      <c r="I389" s="351"/>
      <c r="J389" s="114"/>
      <c r="K389" s="114"/>
      <c r="L389" s="114"/>
      <c r="M389" s="114"/>
      <c r="N389" s="114"/>
      <c r="O389" s="114"/>
      <c r="P389" s="351"/>
      <c r="Q389" s="351"/>
      <c r="S389" s="118"/>
      <c r="CU389" s="349"/>
      <c r="CV389" s="4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95"/>
      <c r="DM389" s="95"/>
      <c r="DN389" s="95"/>
      <c r="DO389" s="95"/>
      <c r="DP389" s="95"/>
      <c r="DQ389" s="95"/>
      <c r="DR389" s="95"/>
      <c r="DS389" s="95"/>
      <c r="DT389" s="95"/>
      <c r="DU389" s="95"/>
      <c r="DV389" s="95"/>
      <c r="DW389" s="95"/>
      <c r="DX389" s="95"/>
      <c r="DY389" s="95"/>
      <c r="DZ389" s="95"/>
    </row>
    <row r="390" spans="4:130" s="57" customFormat="1" x14ac:dyDescent="0.2">
      <c r="D390" s="114"/>
      <c r="E390" s="114"/>
      <c r="F390" s="114"/>
      <c r="G390" s="114"/>
      <c r="H390" s="114"/>
      <c r="I390" s="351"/>
      <c r="J390" s="114"/>
      <c r="K390" s="114"/>
      <c r="L390" s="114"/>
      <c r="M390" s="114"/>
      <c r="N390" s="114"/>
      <c r="O390" s="114"/>
      <c r="P390" s="351"/>
      <c r="Q390" s="351"/>
      <c r="S390" s="118"/>
      <c r="CU390" s="349"/>
      <c r="CV390" s="4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95"/>
      <c r="DM390" s="95"/>
      <c r="DN390" s="95"/>
      <c r="DO390" s="95"/>
      <c r="DP390" s="95"/>
      <c r="DQ390" s="95"/>
      <c r="DR390" s="95"/>
      <c r="DS390" s="95"/>
      <c r="DT390" s="95"/>
      <c r="DU390" s="95"/>
      <c r="DV390" s="95"/>
      <c r="DW390" s="95"/>
      <c r="DX390" s="95"/>
      <c r="DY390" s="95"/>
      <c r="DZ390" s="95"/>
    </row>
    <row r="391" spans="4:130" s="57" customFormat="1" x14ac:dyDescent="0.2">
      <c r="D391" s="114"/>
      <c r="E391" s="114"/>
      <c r="F391" s="114"/>
      <c r="G391" s="114"/>
      <c r="H391" s="114"/>
      <c r="I391" s="351"/>
      <c r="J391" s="114"/>
      <c r="K391" s="114"/>
      <c r="L391" s="114"/>
      <c r="M391" s="114"/>
      <c r="N391" s="114"/>
      <c r="O391" s="114"/>
      <c r="P391" s="351"/>
      <c r="Q391" s="351"/>
      <c r="S391" s="118"/>
      <c r="CU391" s="349"/>
      <c r="CV391" s="4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95"/>
      <c r="DM391" s="95"/>
      <c r="DN391" s="95"/>
      <c r="DO391" s="95"/>
      <c r="DP391" s="95"/>
      <c r="DQ391" s="95"/>
      <c r="DR391" s="95"/>
      <c r="DS391" s="95"/>
      <c r="DT391" s="95"/>
      <c r="DU391" s="95"/>
      <c r="DV391" s="95"/>
      <c r="DW391" s="95"/>
      <c r="DX391" s="95"/>
      <c r="DY391" s="95"/>
      <c r="DZ391" s="95"/>
    </row>
    <row r="392" spans="4:130" s="57" customFormat="1" x14ac:dyDescent="0.2">
      <c r="D392" s="114"/>
      <c r="E392" s="114"/>
      <c r="F392" s="114"/>
      <c r="G392" s="114"/>
      <c r="H392" s="114"/>
      <c r="I392" s="351"/>
      <c r="J392" s="114"/>
      <c r="K392" s="114"/>
      <c r="L392" s="114"/>
      <c r="M392" s="114"/>
      <c r="N392" s="114"/>
      <c r="O392" s="114"/>
      <c r="P392" s="351"/>
      <c r="Q392" s="351"/>
      <c r="S392" s="118"/>
      <c r="CU392" s="349"/>
      <c r="CV392" s="4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95"/>
      <c r="DM392" s="95"/>
      <c r="DN392" s="95"/>
      <c r="DO392" s="95"/>
      <c r="DP392" s="95"/>
      <c r="DQ392" s="95"/>
      <c r="DR392" s="95"/>
      <c r="DS392" s="95"/>
      <c r="DT392" s="95"/>
      <c r="DU392" s="95"/>
      <c r="DV392" s="95"/>
      <c r="DW392" s="95"/>
      <c r="DX392" s="95"/>
      <c r="DY392" s="95"/>
      <c r="DZ392" s="95"/>
    </row>
    <row r="393" spans="4:130" s="57" customFormat="1" x14ac:dyDescent="0.2">
      <c r="D393" s="114"/>
      <c r="E393" s="114"/>
      <c r="F393" s="114"/>
      <c r="G393" s="114"/>
      <c r="H393" s="114"/>
      <c r="I393" s="351"/>
      <c r="J393" s="114"/>
      <c r="K393" s="114"/>
      <c r="L393" s="114"/>
      <c r="M393" s="114"/>
      <c r="N393" s="114"/>
      <c r="O393" s="114"/>
      <c r="P393" s="351"/>
      <c r="Q393" s="351"/>
      <c r="S393" s="118"/>
      <c r="CU393" s="349"/>
      <c r="CV393" s="4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95"/>
      <c r="DM393" s="95"/>
      <c r="DN393" s="95"/>
      <c r="DO393" s="95"/>
      <c r="DP393" s="95"/>
      <c r="DQ393" s="95"/>
      <c r="DR393" s="95"/>
      <c r="DS393" s="95"/>
      <c r="DT393" s="95"/>
      <c r="DU393" s="95"/>
      <c r="DV393" s="95"/>
      <c r="DW393" s="95"/>
      <c r="DX393" s="95"/>
      <c r="DY393" s="95"/>
      <c r="DZ393" s="95"/>
    </row>
    <row r="394" spans="4:130" s="57" customFormat="1" x14ac:dyDescent="0.2">
      <c r="D394" s="114"/>
      <c r="E394" s="114"/>
      <c r="F394" s="114"/>
      <c r="G394" s="114"/>
      <c r="H394" s="114"/>
      <c r="I394" s="351"/>
      <c r="J394" s="114"/>
      <c r="K394" s="114"/>
      <c r="L394" s="114"/>
      <c r="M394" s="114"/>
      <c r="N394" s="114"/>
      <c r="O394" s="114"/>
      <c r="P394" s="351"/>
      <c r="Q394" s="351"/>
      <c r="S394" s="118"/>
      <c r="CU394" s="349"/>
      <c r="CV394" s="4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</row>
    <row r="395" spans="4:130" s="57" customFormat="1" x14ac:dyDescent="0.2">
      <c r="D395" s="114"/>
      <c r="E395" s="114"/>
      <c r="F395" s="114"/>
      <c r="G395" s="114"/>
      <c r="H395" s="114"/>
      <c r="I395" s="351"/>
      <c r="J395" s="114"/>
      <c r="K395" s="114"/>
      <c r="L395" s="114"/>
      <c r="M395" s="114"/>
      <c r="N395" s="114"/>
      <c r="O395" s="114"/>
      <c r="P395" s="351"/>
      <c r="Q395" s="351"/>
      <c r="S395" s="118"/>
      <c r="CU395" s="349"/>
      <c r="CV395" s="4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95"/>
      <c r="DM395" s="95"/>
      <c r="DN395" s="95"/>
      <c r="DO395" s="95"/>
      <c r="DP395" s="95"/>
      <c r="DQ395" s="95"/>
      <c r="DR395" s="95"/>
      <c r="DS395" s="95"/>
      <c r="DT395" s="95"/>
      <c r="DU395" s="95"/>
      <c r="DV395" s="95"/>
      <c r="DW395" s="95"/>
      <c r="DX395" s="95"/>
      <c r="DY395" s="95"/>
      <c r="DZ395" s="95"/>
    </row>
    <row r="396" spans="4:130" s="57" customFormat="1" x14ac:dyDescent="0.2">
      <c r="D396" s="114"/>
      <c r="E396" s="114"/>
      <c r="F396" s="114"/>
      <c r="G396" s="114"/>
      <c r="H396" s="114"/>
      <c r="I396" s="351"/>
      <c r="J396" s="114"/>
      <c r="K396" s="114"/>
      <c r="L396" s="114"/>
      <c r="M396" s="114"/>
      <c r="N396" s="114"/>
      <c r="O396" s="114"/>
      <c r="P396" s="351"/>
      <c r="Q396" s="351"/>
      <c r="S396" s="118"/>
      <c r="CU396" s="349"/>
      <c r="CV396" s="4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95"/>
      <c r="DM396" s="95"/>
      <c r="DN396" s="95"/>
      <c r="DO396" s="95"/>
      <c r="DP396" s="95"/>
      <c r="DQ396" s="95"/>
      <c r="DR396" s="95"/>
      <c r="DS396" s="95"/>
      <c r="DT396" s="95"/>
      <c r="DU396" s="95"/>
      <c r="DV396" s="95"/>
      <c r="DW396" s="95"/>
      <c r="DX396" s="95"/>
      <c r="DY396" s="95"/>
      <c r="DZ396" s="95"/>
    </row>
    <row r="397" spans="4:130" s="57" customFormat="1" x14ac:dyDescent="0.2">
      <c r="D397" s="114"/>
      <c r="E397" s="114"/>
      <c r="F397" s="114"/>
      <c r="G397" s="114"/>
      <c r="H397" s="114"/>
      <c r="I397" s="351"/>
      <c r="J397" s="114"/>
      <c r="K397" s="114"/>
      <c r="L397" s="114"/>
      <c r="M397" s="114"/>
      <c r="N397" s="114"/>
      <c r="O397" s="114"/>
      <c r="P397" s="351"/>
      <c r="Q397" s="351"/>
      <c r="S397" s="118"/>
      <c r="CU397" s="349"/>
      <c r="CV397" s="4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95"/>
      <c r="DM397" s="95"/>
      <c r="DN397" s="95"/>
      <c r="DO397" s="95"/>
      <c r="DP397" s="95"/>
      <c r="DQ397" s="95"/>
      <c r="DR397" s="95"/>
      <c r="DS397" s="95"/>
      <c r="DT397" s="95"/>
      <c r="DU397" s="95"/>
      <c r="DV397" s="95"/>
      <c r="DW397" s="95"/>
      <c r="DX397" s="95"/>
      <c r="DY397" s="95"/>
      <c r="DZ397" s="95"/>
    </row>
    <row r="398" spans="4:130" s="57" customFormat="1" x14ac:dyDescent="0.2">
      <c r="D398" s="114"/>
      <c r="E398" s="114"/>
      <c r="F398" s="114"/>
      <c r="G398" s="114"/>
      <c r="H398" s="114"/>
      <c r="I398" s="351"/>
      <c r="J398" s="114"/>
      <c r="K398" s="114"/>
      <c r="L398" s="114"/>
      <c r="M398" s="114"/>
      <c r="N398" s="114"/>
      <c r="O398" s="114"/>
      <c r="P398" s="351"/>
      <c r="Q398" s="351"/>
      <c r="S398" s="118"/>
      <c r="CU398" s="349"/>
      <c r="CV398" s="4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95"/>
      <c r="DM398" s="95"/>
      <c r="DN398" s="95"/>
      <c r="DO398" s="95"/>
      <c r="DP398" s="95"/>
      <c r="DQ398" s="95"/>
      <c r="DR398" s="95"/>
      <c r="DS398" s="95"/>
      <c r="DT398" s="95"/>
      <c r="DU398" s="95"/>
      <c r="DV398" s="95"/>
      <c r="DW398" s="95"/>
      <c r="DX398" s="95"/>
      <c r="DY398" s="95"/>
      <c r="DZ398" s="95"/>
    </row>
    <row r="399" spans="4:130" s="57" customFormat="1" x14ac:dyDescent="0.2">
      <c r="D399" s="114"/>
      <c r="E399" s="114"/>
      <c r="F399" s="114"/>
      <c r="G399" s="114"/>
      <c r="H399" s="114"/>
      <c r="I399" s="351"/>
      <c r="J399" s="114"/>
      <c r="K399" s="114"/>
      <c r="L399" s="114"/>
      <c r="M399" s="114"/>
      <c r="N399" s="114"/>
      <c r="O399" s="114"/>
      <c r="P399" s="351"/>
      <c r="Q399" s="351"/>
      <c r="S399" s="118"/>
      <c r="CU399" s="349"/>
      <c r="CV399" s="4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95"/>
      <c r="DM399" s="95"/>
      <c r="DN399" s="95"/>
      <c r="DO399" s="95"/>
      <c r="DP399" s="95"/>
      <c r="DQ399" s="95"/>
      <c r="DR399" s="95"/>
      <c r="DS399" s="95"/>
      <c r="DT399" s="95"/>
      <c r="DU399" s="95"/>
      <c r="DV399" s="95"/>
      <c r="DW399" s="95"/>
      <c r="DX399" s="95"/>
      <c r="DY399" s="95"/>
      <c r="DZ399" s="95"/>
    </row>
    <row r="400" spans="4:130" s="57" customFormat="1" x14ac:dyDescent="0.2">
      <c r="D400" s="114"/>
      <c r="E400" s="114"/>
      <c r="F400" s="114"/>
      <c r="G400" s="114"/>
      <c r="H400" s="114"/>
      <c r="I400" s="351"/>
      <c r="J400" s="114"/>
      <c r="K400" s="114"/>
      <c r="L400" s="114"/>
      <c r="M400" s="114"/>
      <c r="N400" s="114"/>
      <c r="O400" s="114"/>
      <c r="P400" s="351"/>
      <c r="Q400" s="351"/>
      <c r="S400" s="118"/>
      <c r="CU400" s="349"/>
      <c r="CV400" s="4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95"/>
      <c r="DM400" s="95"/>
      <c r="DN400" s="95"/>
      <c r="DO400" s="95"/>
      <c r="DP400" s="95"/>
      <c r="DQ400" s="95"/>
      <c r="DR400" s="95"/>
      <c r="DS400" s="95"/>
      <c r="DT400" s="95"/>
      <c r="DU400" s="95"/>
      <c r="DV400" s="95"/>
      <c r="DW400" s="95"/>
      <c r="DX400" s="95"/>
      <c r="DY400" s="95"/>
      <c r="DZ400" s="95"/>
    </row>
    <row r="401" spans="4:130" s="57" customFormat="1" x14ac:dyDescent="0.2">
      <c r="D401" s="114"/>
      <c r="E401" s="114"/>
      <c r="F401" s="114"/>
      <c r="G401" s="114"/>
      <c r="H401" s="114"/>
      <c r="I401" s="351"/>
      <c r="J401" s="114"/>
      <c r="K401" s="114"/>
      <c r="L401" s="114"/>
      <c r="M401" s="114"/>
      <c r="N401" s="114"/>
      <c r="O401" s="114"/>
      <c r="P401" s="351"/>
      <c r="Q401" s="351"/>
      <c r="S401" s="118"/>
      <c r="CU401" s="349"/>
      <c r="CV401" s="4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95"/>
      <c r="DM401" s="95"/>
      <c r="DN401" s="95"/>
      <c r="DO401" s="95"/>
      <c r="DP401" s="95"/>
      <c r="DQ401" s="95"/>
      <c r="DR401" s="95"/>
      <c r="DS401" s="95"/>
      <c r="DT401" s="95"/>
      <c r="DU401" s="95"/>
      <c r="DV401" s="95"/>
      <c r="DW401" s="95"/>
      <c r="DX401" s="95"/>
      <c r="DY401" s="95"/>
      <c r="DZ401" s="95"/>
    </row>
    <row r="402" spans="4:130" s="57" customFormat="1" x14ac:dyDescent="0.2">
      <c r="D402" s="114"/>
      <c r="E402" s="114"/>
      <c r="F402" s="114"/>
      <c r="G402" s="114"/>
      <c r="H402" s="114"/>
      <c r="I402" s="351"/>
      <c r="J402" s="114"/>
      <c r="K402" s="114"/>
      <c r="L402" s="114"/>
      <c r="M402" s="114"/>
      <c r="N402" s="114"/>
      <c r="O402" s="114"/>
      <c r="P402" s="351"/>
      <c r="Q402" s="351"/>
      <c r="S402" s="118"/>
      <c r="CU402" s="349"/>
      <c r="CV402" s="4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95"/>
      <c r="DM402" s="95"/>
      <c r="DN402" s="95"/>
      <c r="DO402" s="95"/>
      <c r="DP402" s="95"/>
      <c r="DQ402" s="95"/>
      <c r="DR402" s="95"/>
      <c r="DS402" s="95"/>
      <c r="DT402" s="95"/>
      <c r="DU402" s="95"/>
      <c r="DV402" s="95"/>
      <c r="DW402" s="95"/>
      <c r="DX402" s="95"/>
      <c r="DY402" s="95"/>
      <c r="DZ402" s="95"/>
    </row>
    <row r="403" spans="4:130" s="57" customFormat="1" x14ac:dyDescent="0.2">
      <c r="D403" s="114"/>
      <c r="E403" s="114"/>
      <c r="F403" s="114"/>
      <c r="G403" s="114"/>
      <c r="H403" s="114"/>
      <c r="I403" s="351"/>
      <c r="J403" s="114"/>
      <c r="K403" s="114"/>
      <c r="L403" s="114"/>
      <c r="M403" s="114"/>
      <c r="N403" s="114"/>
      <c r="O403" s="114"/>
      <c r="P403" s="351"/>
      <c r="Q403" s="351"/>
      <c r="S403" s="118"/>
      <c r="CU403" s="349"/>
      <c r="CV403" s="4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95"/>
      <c r="DM403" s="95"/>
      <c r="DN403" s="95"/>
      <c r="DO403" s="95"/>
      <c r="DP403" s="95"/>
      <c r="DQ403" s="95"/>
      <c r="DR403" s="95"/>
      <c r="DS403" s="95"/>
      <c r="DT403" s="95"/>
      <c r="DU403" s="95"/>
      <c r="DV403" s="95"/>
      <c r="DW403" s="95"/>
      <c r="DX403" s="95"/>
      <c r="DY403" s="95"/>
      <c r="DZ403" s="95"/>
    </row>
    <row r="404" spans="4:130" s="57" customFormat="1" x14ac:dyDescent="0.2">
      <c r="D404" s="114"/>
      <c r="E404" s="114"/>
      <c r="F404" s="114"/>
      <c r="G404" s="114"/>
      <c r="H404" s="114"/>
      <c r="I404" s="351"/>
      <c r="J404" s="114"/>
      <c r="K404" s="114"/>
      <c r="L404" s="114"/>
      <c r="M404" s="114"/>
      <c r="N404" s="114"/>
      <c r="O404" s="114"/>
      <c r="P404" s="351"/>
      <c r="Q404" s="351"/>
      <c r="S404" s="118"/>
      <c r="CU404" s="349"/>
      <c r="CV404" s="4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  <c r="DL404" s="95"/>
      <c r="DM404" s="95"/>
      <c r="DN404" s="95"/>
      <c r="DO404" s="95"/>
      <c r="DP404" s="95"/>
      <c r="DQ404" s="95"/>
      <c r="DR404" s="95"/>
      <c r="DS404" s="95"/>
      <c r="DT404" s="95"/>
      <c r="DU404" s="95"/>
      <c r="DV404" s="95"/>
      <c r="DW404" s="95"/>
      <c r="DX404" s="95"/>
      <c r="DY404" s="95"/>
      <c r="DZ404" s="95"/>
    </row>
    <row r="405" spans="4:130" s="57" customFormat="1" x14ac:dyDescent="0.2">
      <c r="D405" s="114"/>
      <c r="E405" s="114"/>
      <c r="F405" s="114"/>
      <c r="G405" s="114"/>
      <c r="H405" s="114"/>
      <c r="I405" s="351"/>
      <c r="J405" s="114"/>
      <c r="K405" s="114"/>
      <c r="L405" s="114"/>
      <c r="M405" s="114"/>
      <c r="N405" s="114"/>
      <c r="O405" s="114"/>
      <c r="P405" s="351"/>
      <c r="Q405" s="351"/>
      <c r="S405" s="118"/>
      <c r="CU405" s="349"/>
      <c r="CV405" s="40"/>
      <c r="CW405" s="60"/>
      <c r="CX405" s="60"/>
      <c r="CY405" s="60"/>
      <c r="CZ405" s="60"/>
      <c r="DA405" s="60"/>
      <c r="DB405" s="60"/>
      <c r="DC405" s="60"/>
      <c r="DD405" s="60"/>
      <c r="DE405" s="60"/>
      <c r="DF405" s="60"/>
      <c r="DG405" s="60"/>
      <c r="DH405" s="60"/>
      <c r="DI405" s="60"/>
      <c r="DJ405" s="60"/>
      <c r="DK405" s="60"/>
      <c r="DL405" s="95"/>
      <c r="DM405" s="95"/>
      <c r="DN405" s="95"/>
      <c r="DO405" s="95"/>
      <c r="DP405" s="95"/>
      <c r="DQ405" s="95"/>
      <c r="DR405" s="95"/>
      <c r="DS405" s="95"/>
      <c r="DT405" s="95"/>
      <c r="DU405" s="95"/>
      <c r="DV405" s="95"/>
      <c r="DW405" s="95"/>
      <c r="DX405" s="95"/>
      <c r="DY405" s="95"/>
      <c r="DZ405" s="95"/>
    </row>
    <row r="406" spans="4:130" s="57" customFormat="1" x14ac:dyDescent="0.2">
      <c r="D406" s="114"/>
      <c r="E406" s="114"/>
      <c r="F406" s="114"/>
      <c r="G406" s="114"/>
      <c r="H406" s="114"/>
      <c r="I406" s="351"/>
      <c r="J406" s="114"/>
      <c r="K406" s="114"/>
      <c r="L406" s="114"/>
      <c r="M406" s="114"/>
      <c r="N406" s="114"/>
      <c r="O406" s="114"/>
      <c r="P406" s="351"/>
      <c r="Q406" s="351"/>
      <c r="S406" s="118"/>
      <c r="CU406" s="349"/>
      <c r="CV406" s="4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  <c r="DL406" s="95"/>
      <c r="DM406" s="95"/>
      <c r="DN406" s="95"/>
      <c r="DO406" s="95"/>
      <c r="DP406" s="95"/>
      <c r="DQ406" s="95"/>
      <c r="DR406" s="95"/>
      <c r="DS406" s="95"/>
      <c r="DT406" s="95"/>
      <c r="DU406" s="95"/>
      <c r="DV406" s="95"/>
      <c r="DW406" s="95"/>
      <c r="DX406" s="95"/>
      <c r="DY406" s="95"/>
      <c r="DZ406" s="95"/>
    </row>
    <row r="407" spans="4:130" s="57" customFormat="1" x14ac:dyDescent="0.2">
      <c r="D407" s="114"/>
      <c r="E407" s="114"/>
      <c r="F407" s="114"/>
      <c r="G407" s="114"/>
      <c r="H407" s="114"/>
      <c r="I407" s="351"/>
      <c r="J407" s="114"/>
      <c r="K407" s="114"/>
      <c r="L407" s="114"/>
      <c r="M407" s="114"/>
      <c r="N407" s="114"/>
      <c r="O407" s="114"/>
      <c r="P407" s="351"/>
      <c r="Q407" s="351"/>
      <c r="S407" s="118"/>
      <c r="CU407" s="349"/>
      <c r="CV407" s="4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95"/>
      <c r="DM407" s="95"/>
      <c r="DN407" s="95"/>
      <c r="DO407" s="95"/>
      <c r="DP407" s="95"/>
      <c r="DQ407" s="95"/>
      <c r="DR407" s="95"/>
      <c r="DS407" s="95"/>
      <c r="DT407" s="95"/>
      <c r="DU407" s="95"/>
      <c r="DV407" s="95"/>
      <c r="DW407" s="95"/>
      <c r="DX407" s="95"/>
      <c r="DY407" s="95"/>
      <c r="DZ407" s="95"/>
    </row>
    <row r="408" spans="4:130" s="57" customFormat="1" x14ac:dyDescent="0.2">
      <c r="D408" s="114"/>
      <c r="E408" s="114"/>
      <c r="F408" s="114"/>
      <c r="G408" s="114"/>
      <c r="H408" s="114"/>
      <c r="I408" s="351"/>
      <c r="J408" s="114"/>
      <c r="K408" s="114"/>
      <c r="L408" s="114"/>
      <c r="M408" s="114"/>
      <c r="N408" s="114"/>
      <c r="O408" s="114"/>
      <c r="P408" s="351"/>
      <c r="Q408" s="351"/>
      <c r="S408" s="118"/>
      <c r="CU408" s="349"/>
      <c r="CV408" s="4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95"/>
      <c r="DM408" s="95"/>
      <c r="DN408" s="95"/>
      <c r="DO408" s="95"/>
      <c r="DP408" s="95"/>
      <c r="DQ408" s="95"/>
      <c r="DR408" s="95"/>
      <c r="DS408" s="95"/>
      <c r="DT408" s="95"/>
      <c r="DU408" s="95"/>
      <c r="DV408" s="95"/>
      <c r="DW408" s="95"/>
      <c r="DX408" s="95"/>
      <c r="DY408" s="95"/>
      <c r="DZ408" s="95"/>
    </row>
    <row r="409" spans="4:130" s="57" customFormat="1" x14ac:dyDescent="0.2">
      <c r="D409" s="114"/>
      <c r="E409" s="114"/>
      <c r="F409" s="114"/>
      <c r="G409" s="114"/>
      <c r="H409" s="114"/>
      <c r="I409" s="351"/>
      <c r="J409" s="114"/>
      <c r="K409" s="114"/>
      <c r="L409" s="114"/>
      <c r="M409" s="114"/>
      <c r="N409" s="114"/>
      <c r="O409" s="114"/>
      <c r="P409" s="351"/>
      <c r="Q409" s="351"/>
      <c r="S409" s="118"/>
      <c r="CU409" s="349"/>
      <c r="CV409" s="4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</row>
    <row r="410" spans="4:130" s="57" customFormat="1" x14ac:dyDescent="0.2">
      <c r="D410" s="114"/>
      <c r="E410" s="114"/>
      <c r="F410" s="114"/>
      <c r="G410" s="114"/>
      <c r="H410" s="114"/>
      <c r="I410" s="351"/>
      <c r="J410" s="114"/>
      <c r="K410" s="114"/>
      <c r="L410" s="114"/>
      <c r="M410" s="114"/>
      <c r="N410" s="114"/>
      <c r="O410" s="114"/>
      <c r="P410" s="351"/>
      <c r="Q410" s="351"/>
      <c r="S410" s="118"/>
      <c r="CU410" s="349"/>
      <c r="CV410" s="4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95"/>
      <c r="DM410" s="95"/>
      <c r="DN410" s="95"/>
      <c r="DO410" s="95"/>
      <c r="DP410" s="95"/>
      <c r="DQ410" s="95"/>
      <c r="DR410" s="95"/>
      <c r="DS410" s="95"/>
      <c r="DT410" s="95"/>
      <c r="DU410" s="95"/>
      <c r="DV410" s="95"/>
      <c r="DW410" s="95"/>
      <c r="DX410" s="95"/>
      <c r="DY410" s="95"/>
      <c r="DZ410" s="95"/>
    </row>
    <row r="411" spans="4:130" s="57" customFormat="1" x14ac:dyDescent="0.2">
      <c r="D411" s="114"/>
      <c r="E411" s="114"/>
      <c r="F411" s="114"/>
      <c r="G411" s="114"/>
      <c r="H411" s="114"/>
      <c r="I411" s="351"/>
      <c r="J411" s="114"/>
      <c r="K411" s="114"/>
      <c r="L411" s="114"/>
      <c r="M411" s="114"/>
      <c r="N411" s="114"/>
      <c r="O411" s="114"/>
      <c r="P411" s="351"/>
      <c r="Q411" s="351"/>
      <c r="S411" s="118"/>
      <c r="CU411" s="349"/>
      <c r="CV411" s="4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95"/>
      <c r="DM411" s="95"/>
      <c r="DN411" s="95"/>
      <c r="DO411" s="95"/>
      <c r="DP411" s="95"/>
      <c r="DQ411" s="95"/>
      <c r="DR411" s="95"/>
      <c r="DS411" s="95"/>
      <c r="DT411" s="95"/>
      <c r="DU411" s="95"/>
      <c r="DV411" s="95"/>
      <c r="DW411" s="95"/>
      <c r="DX411" s="95"/>
      <c r="DY411" s="95"/>
      <c r="DZ411" s="95"/>
    </row>
    <row r="412" spans="4:130" s="57" customFormat="1" x14ac:dyDescent="0.2">
      <c r="D412" s="114"/>
      <c r="E412" s="114"/>
      <c r="F412" s="114"/>
      <c r="G412" s="114"/>
      <c r="H412" s="114"/>
      <c r="I412" s="351"/>
      <c r="J412" s="114"/>
      <c r="K412" s="114"/>
      <c r="L412" s="114"/>
      <c r="M412" s="114"/>
      <c r="N412" s="114"/>
      <c r="O412" s="114"/>
      <c r="P412" s="351"/>
      <c r="Q412" s="351"/>
      <c r="S412" s="118"/>
      <c r="CU412" s="349"/>
      <c r="CV412" s="4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95"/>
      <c r="DM412" s="95"/>
      <c r="DN412" s="95"/>
      <c r="DO412" s="95"/>
      <c r="DP412" s="95"/>
      <c r="DQ412" s="95"/>
      <c r="DR412" s="95"/>
      <c r="DS412" s="95"/>
      <c r="DT412" s="95"/>
      <c r="DU412" s="95"/>
      <c r="DV412" s="95"/>
      <c r="DW412" s="95"/>
      <c r="DX412" s="95"/>
      <c r="DY412" s="95"/>
      <c r="DZ412" s="95"/>
    </row>
    <row r="413" spans="4:130" s="57" customFormat="1" x14ac:dyDescent="0.2">
      <c r="D413" s="114"/>
      <c r="E413" s="114"/>
      <c r="F413" s="114"/>
      <c r="G413" s="114"/>
      <c r="H413" s="114"/>
      <c r="I413" s="351"/>
      <c r="J413" s="114"/>
      <c r="K413" s="114"/>
      <c r="L413" s="114"/>
      <c r="M413" s="114"/>
      <c r="N413" s="114"/>
      <c r="O413" s="114"/>
      <c r="P413" s="351"/>
      <c r="Q413" s="351"/>
      <c r="S413" s="118"/>
      <c r="CU413" s="349"/>
      <c r="CV413" s="4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95"/>
      <c r="DM413" s="95"/>
      <c r="DN413" s="95"/>
      <c r="DO413" s="95"/>
      <c r="DP413" s="95"/>
      <c r="DQ413" s="95"/>
      <c r="DR413" s="95"/>
      <c r="DS413" s="95"/>
      <c r="DT413" s="95"/>
      <c r="DU413" s="95"/>
      <c r="DV413" s="95"/>
      <c r="DW413" s="95"/>
      <c r="DX413" s="95"/>
      <c r="DY413" s="95"/>
      <c r="DZ413" s="95"/>
    </row>
    <row r="414" spans="4:130" s="57" customFormat="1" x14ac:dyDescent="0.2">
      <c r="D414" s="114"/>
      <c r="E414" s="114"/>
      <c r="F414" s="114"/>
      <c r="G414" s="114"/>
      <c r="H414" s="114"/>
      <c r="I414" s="351"/>
      <c r="J414" s="114"/>
      <c r="K414" s="114"/>
      <c r="L414" s="114"/>
      <c r="M414" s="114"/>
      <c r="N414" s="114"/>
      <c r="O414" s="114"/>
      <c r="P414" s="351"/>
      <c r="Q414" s="351"/>
      <c r="S414" s="118"/>
      <c r="CU414" s="349"/>
      <c r="CV414" s="4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95"/>
      <c r="DM414" s="95"/>
      <c r="DN414" s="95"/>
      <c r="DO414" s="95"/>
      <c r="DP414" s="95"/>
      <c r="DQ414" s="95"/>
      <c r="DR414" s="95"/>
      <c r="DS414" s="95"/>
      <c r="DT414" s="95"/>
      <c r="DU414" s="95"/>
      <c r="DV414" s="95"/>
      <c r="DW414" s="95"/>
      <c r="DX414" s="95"/>
      <c r="DY414" s="95"/>
      <c r="DZ414" s="95"/>
    </row>
    <row r="415" spans="4:130" s="57" customFormat="1" x14ac:dyDescent="0.2">
      <c r="D415" s="114"/>
      <c r="E415" s="114"/>
      <c r="F415" s="114"/>
      <c r="G415" s="114"/>
      <c r="H415" s="114"/>
      <c r="I415" s="351"/>
      <c r="J415" s="114"/>
      <c r="K415" s="114"/>
      <c r="L415" s="114"/>
      <c r="M415" s="114"/>
      <c r="N415" s="114"/>
      <c r="O415" s="114"/>
      <c r="P415" s="351"/>
      <c r="Q415" s="351"/>
      <c r="S415" s="118"/>
      <c r="CU415" s="349"/>
      <c r="CV415" s="4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95"/>
      <c r="DM415" s="95"/>
      <c r="DN415" s="95"/>
      <c r="DO415" s="95"/>
      <c r="DP415" s="95"/>
      <c r="DQ415" s="95"/>
      <c r="DR415" s="95"/>
      <c r="DS415" s="95"/>
      <c r="DT415" s="95"/>
      <c r="DU415" s="95"/>
      <c r="DV415" s="95"/>
      <c r="DW415" s="95"/>
      <c r="DX415" s="95"/>
      <c r="DY415" s="95"/>
      <c r="DZ415" s="95"/>
    </row>
    <row r="416" spans="4:130" s="57" customFormat="1" x14ac:dyDescent="0.2">
      <c r="D416" s="114"/>
      <c r="E416" s="114"/>
      <c r="F416" s="114"/>
      <c r="G416" s="114"/>
      <c r="H416" s="114"/>
      <c r="I416" s="351"/>
      <c r="J416" s="114"/>
      <c r="K416" s="114"/>
      <c r="L416" s="114"/>
      <c r="M416" s="114"/>
      <c r="N416" s="114"/>
      <c r="O416" s="114"/>
      <c r="P416" s="351"/>
      <c r="Q416" s="351"/>
      <c r="S416" s="118"/>
      <c r="CU416" s="349"/>
      <c r="CV416" s="4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95"/>
      <c r="DM416" s="95"/>
      <c r="DN416" s="95"/>
      <c r="DO416" s="95"/>
      <c r="DP416" s="95"/>
      <c r="DQ416" s="95"/>
      <c r="DR416" s="95"/>
      <c r="DS416" s="95"/>
      <c r="DT416" s="95"/>
      <c r="DU416" s="95"/>
      <c r="DV416" s="95"/>
      <c r="DW416" s="95"/>
      <c r="DX416" s="95"/>
      <c r="DY416" s="95"/>
      <c r="DZ416" s="95"/>
    </row>
    <row r="417" spans="4:130" s="57" customFormat="1" x14ac:dyDescent="0.2">
      <c r="D417" s="114"/>
      <c r="E417" s="114"/>
      <c r="F417" s="114"/>
      <c r="G417" s="114"/>
      <c r="H417" s="114"/>
      <c r="I417" s="351"/>
      <c r="J417" s="114"/>
      <c r="K417" s="114"/>
      <c r="L417" s="114"/>
      <c r="M417" s="114"/>
      <c r="N417" s="114"/>
      <c r="O417" s="114"/>
      <c r="P417" s="351"/>
      <c r="Q417" s="351"/>
      <c r="S417" s="118"/>
      <c r="CU417" s="349"/>
      <c r="CV417" s="4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95"/>
      <c r="DM417" s="95"/>
      <c r="DN417" s="95"/>
      <c r="DO417" s="95"/>
      <c r="DP417" s="95"/>
      <c r="DQ417" s="95"/>
      <c r="DR417" s="95"/>
      <c r="DS417" s="95"/>
      <c r="DT417" s="95"/>
      <c r="DU417" s="95"/>
      <c r="DV417" s="95"/>
      <c r="DW417" s="95"/>
      <c r="DX417" s="95"/>
      <c r="DY417" s="95"/>
      <c r="DZ417" s="95"/>
    </row>
    <row r="418" spans="4:130" s="57" customFormat="1" x14ac:dyDescent="0.2">
      <c r="D418" s="114"/>
      <c r="E418" s="114"/>
      <c r="F418" s="114"/>
      <c r="G418" s="114"/>
      <c r="H418" s="114"/>
      <c r="I418" s="351"/>
      <c r="J418" s="114"/>
      <c r="K418" s="114"/>
      <c r="L418" s="114"/>
      <c r="M418" s="114"/>
      <c r="N418" s="114"/>
      <c r="O418" s="114"/>
      <c r="P418" s="351"/>
      <c r="Q418" s="351"/>
      <c r="S418" s="118"/>
      <c r="CU418" s="349"/>
      <c r="CV418" s="4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95"/>
      <c r="DM418" s="95"/>
      <c r="DN418" s="95"/>
      <c r="DO418" s="95"/>
      <c r="DP418" s="95"/>
      <c r="DQ418" s="95"/>
      <c r="DR418" s="95"/>
      <c r="DS418" s="95"/>
      <c r="DT418" s="95"/>
      <c r="DU418" s="95"/>
      <c r="DV418" s="95"/>
      <c r="DW418" s="95"/>
      <c r="DX418" s="95"/>
      <c r="DY418" s="95"/>
      <c r="DZ418" s="95"/>
    </row>
    <row r="419" spans="4:130" s="57" customFormat="1" x14ac:dyDescent="0.2">
      <c r="D419" s="114"/>
      <c r="E419" s="114"/>
      <c r="F419" s="114"/>
      <c r="G419" s="114"/>
      <c r="H419" s="114"/>
      <c r="I419" s="351"/>
      <c r="J419" s="114"/>
      <c r="K419" s="114"/>
      <c r="L419" s="114"/>
      <c r="M419" s="114"/>
      <c r="N419" s="114"/>
      <c r="O419" s="114"/>
      <c r="P419" s="351"/>
      <c r="Q419" s="351"/>
      <c r="S419" s="118"/>
      <c r="CU419" s="349"/>
      <c r="CV419" s="4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</row>
    <row r="420" spans="4:130" s="57" customFormat="1" x14ac:dyDescent="0.2">
      <c r="D420" s="114"/>
      <c r="E420" s="114"/>
      <c r="F420" s="114"/>
      <c r="G420" s="114"/>
      <c r="H420" s="114"/>
      <c r="I420" s="351"/>
      <c r="J420" s="114"/>
      <c r="K420" s="114"/>
      <c r="L420" s="114"/>
      <c r="M420" s="114"/>
      <c r="N420" s="114"/>
      <c r="O420" s="114"/>
      <c r="P420" s="351"/>
      <c r="Q420" s="351"/>
      <c r="S420" s="118"/>
      <c r="CU420" s="349"/>
      <c r="CV420" s="4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95"/>
      <c r="DM420" s="95"/>
      <c r="DN420" s="95"/>
      <c r="DO420" s="95"/>
      <c r="DP420" s="95"/>
      <c r="DQ420" s="95"/>
      <c r="DR420" s="95"/>
      <c r="DS420" s="95"/>
      <c r="DT420" s="95"/>
      <c r="DU420" s="95"/>
      <c r="DV420" s="95"/>
      <c r="DW420" s="95"/>
      <c r="DX420" s="95"/>
      <c r="DY420" s="95"/>
      <c r="DZ420" s="95"/>
    </row>
    <row r="421" spans="4:130" s="57" customFormat="1" x14ac:dyDescent="0.2">
      <c r="D421" s="114"/>
      <c r="E421" s="114"/>
      <c r="F421" s="114"/>
      <c r="G421" s="114"/>
      <c r="H421" s="114"/>
      <c r="I421" s="351"/>
      <c r="J421" s="114"/>
      <c r="K421" s="114"/>
      <c r="L421" s="114"/>
      <c r="M421" s="114"/>
      <c r="N421" s="114"/>
      <c r="O421" s="114"/>
      <c r="P421" s="351"/>
      <c r="Q421" s="351"/>
      <c r="S421" s="118"/>
      <c r="CU421" s="349"/>
      <c r="CV421" s="4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</row>
    <row r="422" spans="4:130" s="57" customFormat="1" x14ac:dyDescent="0.2">
      <c r="D422" s="114"/>
      <c r="E422" s="114"/>
      <c r="F422" s="114"/>
      <c r="G422" s="114"/>
      <c r="H422" s="114"/>
      <c r="I422" s="351"/>
      <c r="J422" s="114"/>
      <c r="K422" s="114"/>
      <c r="L422" s="114"/>
      <c r="M422" s="114"/>
      <c r="N422" s="114"/>
      <c r="O422" s="114"/>
      <c r="P422" s="351"/>
      <c r="Q422" s="351"/>
      <c r="S422" s="118"/>
      <c r="CU422" s="349"/>
      <c r="CV422" s="4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95"/>
      <c r="DM422" s="95"/>
      <c r="DN422" s="95"/>
      <c r="DO422" s="95"/>
      <c r="DP422" s="95"/>
      <c r="DQ422" s="95"/>
      <c r="DR422" s="95"/>
      <c r="DS422" s="95"/>
      <c r="DT422" s="95"/>
      <c r="DU422" s="95"/>
      <c r="DV422" s="95"/>
      <c r="DW422" s="95"/>
      <c r="DX422" s="95"/>
      <c r="DY422" s="95"/>
      <c r="DZ422" s="95"/>
    </row>
    <row r="423" spans="4:130" s="57" customFormat="1" x14ac:dyDescent="0.2">
      <c r="D423" s="114"/>
      <c r="E423" s="114"/>
      <c r="F423" s="114"/>
      <c r="G423" s="114"/>
      <c r="H423" s="114"/>
      <c r="I423" s="351"/>
      <c r="J423" s="114"/>
      <c r="K423" s="114"/>
      <c r="L423" s="114"/>
      <c r="M423" s="114"/>
      <c r="N423" s="114"/>
      <c r="O423" s="114"/>
      <c r="P423" s="351"/>
      <c r="Q423" s="351"/>
      <c r="S423" s="118"/>
      <c r="CU423" s="349"/>
      <c r="CV423" s="4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</row>
    <row r="424" spans="4:130" s="57" customFormat="1" x14ac:dyDescent="0.2">
      <c r="D424" s="114"/>
      <c r="E424" s="114"/>
      <c r="F424" s="114"/>
      <c r="G424" s="114"/>
      <c r="H424" s="114"/>
      <c r="I424" s="351"/>
      <c r="J424" s="114"/>
      <c r="K424" s="114"/>
      <c r="L424" s="114"/>
      <c r="M424" s="114"/>
      <c r="N424" s="114"/>
      <c r="O424" s="114"/>
      <c r="P424" s="351"/>
      <c r="Q424" s="351"/>
      <c r="S424" s="118"/>
      <c r="CU424" s="349"/>
      <c r="CV424" s="4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95"/>
      <c r="DM424" s="95"/>
      <c r="DN424" s="95"/>
      <c r="DO424" s="95"/>
      <c r="DP424" s="95"/>
      <c r="DQ424" s="95"/>
      <c r="DR424" s="95"/>
      <c r="DS424" s="95"/>
      <c r="DT424" s="95"/>
      <c r="DU424" s="95"/>
      <c r="DV424" s="95"/>
      <c r="DW424" s="95"/>
      <c r="DX424" s="95"/>
      <c r="DY424" s="95"/>
      <c r="DZ424" s="95"/>
    </row>
  </sheetData>
  <sheetProtection algorithmName="SHA-512" hashValue="4ON5t0ST8RiBv6mNxWxsQ7sVhu+MaPaaMit6CPegA2izXQoVwMFNR3AXKL+Pu9GLJ+7KpKmohCa3NDjDST8Atg==" saltValue="Zyc3RdR4kDlU9aDVN2b7GA==" spinCount="100000" sheet="1" objects="1" scenarios="1"/>
  <mergeCells count="1">
    <mergeCell ref="B109:P112"/>
  </mergeCells>
  <conditionalFormatting sqref="F85:H86">
    <cfRule type="cellIs" dxfId="328" priority="27" stopIfTrue="1" operator="greaterThan">
      <formula>0</formula>
    </cfRule>
  </conditionalFormatting>
  <conditionalFormatting sqref="F100:H100">
    <cfRule type="cellIs" dxfId="327" priority="12" stopIfTrue="1" operator="greaterThan">
      <formula>0</formula>
    </cfRule>
  </conditionalFormatting>
  <conditionalFormatting sqref="S16:S17 S31 S51">
    <cfRule type="notContainsBlanks" dxfId="326" priority="11" stopIfTrue="1">
      <formula>LEN(TRIM(S16))&gt;0</formula>
    </cfRule>
  </conditionalFormatting>
  <conditionalFormatting sqref="D16:O17 D31:O31">
    <cfRule type="cellIs" dxfId="325" priority="7" stopIfTrue="1" operator="greaterThan">
      <formula>0</formula>
    </cfRule>
  </conditionalFormatting>
  <conditionalFormatting sqref="D50:O51 D65:O65">
    <cfRule type="cellIs" dxfId="324" priority="5" stopIfTrue="1" operator="greaterThan">
      <formula>0</formula>
    </cfRule>
  </conditionalFormatting>
  <conditionalFormatting sqref="S100">
    <cfRule type="notContainsBlanks" dxfId="323" priority="4" stopIfTrue="1">
      <formula>LEN(TRIM(S100))&gt;0</formula>
    </cfRule>
  </conditionalFormatting>
  <conditionalFormatting sqref="S86">
    <cfRule type="notContainsBlanks" dxfId="322" priority="3" stopIfTrue="1">
      <formula>LEN(TRIM(S86))&gt;0</formula>
    </cfRule>
  </conditionalFormatting>
  <conditionalFormatting sqref="S85">
    <cfRule type="notContainsBlanks" dxfId="321" priority="2" stopIfTrue="1">
      <formula>LEN(TRIM(S85))&gt;0</formula>
    </cfRule>
  </conditionalFormatting>
  <conditionalFormatting sqref="S65">
    <cfRule type="notContainsBlanks" dxfId="320" priority="1" stopIfTrue="1">
      <formula>LEN(TRIM(S65))&gt;0</formula>
    </cfRule>
  </conditionalFormatting>
  <dataValidations count="1">
    <dataValidation type="list" allowBlank="1" showInputMessage="1" showErrorMessage="1" sqref="F3">
      <formula1>$L$2:$P$2</formula1>
    </dataValidation>
  </dataValidations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47" fitToHeight="3" orientation="landscape" r:id="rId1"/>
  <headerFooter>
    <oddFooter>&amp;L&amp;"Verdana,Standard"&amp;9&amp;A&amp;C&amp;"Verdana,Standard"&amp;9&amp;F&amp;R&amp;"Verdana,Standard"&amp;9© 2017 www.Kindermanns.de
Jürgen Erlewin</oddFooter>
  </headerFooter>
  <rowBreaks count="1" manualBreakCount="1">
    <brk id="72" min="1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22</vt:i4>
      </vt:variant>
    </vt:vector>
  </HeadingPairs>
  <TitlesOfParts>
    <vt:vector size="33" baseType="lpstr">
      <vt:lpstr>Deckblatt|Cover</vt:lpstr>
      <vt:lpstr>Vorwort|Preface</vt:lpstr>
      <vt:lpstr>Deckblatt Gruender|Data Founder</vt:lpstr>
      <vt:lpstr>1 Pers.Ausgaben|Pers Expenses</vt:lpstr>
      <vt:lpstr>2  Umsatz|Sales</vt:lpstr>
      <vt:lpstr>3 Anschaffungen|Investment</vt:lpstr>
      <vt:lpstr>4  Betriebskosten|Operation Ex</vt:lpstr>
      <vt:lpstr>5  Rentabilitaet|Profit</vt:lpstr>
      <vt:lpstr>6  Liquiditaet|Liquidity</vt:lpstr>
      <vt:lpstr>7 Finanzierung|Financing</vt:lpstr>
      <vt:lpstr> Cockpit-Chart</vt:lpstr>
      <vt:lpstr>'Vorwort|Preface'!_ftn1</vt:lpstr>
      <vt:lpstr>'Vorwort|Preface'!_ftnref1</vt:lpstr>
      <vt:lpstr>' Cockpit-Chart'!Druckbereich</vt:lpstr>
      <vt:lpstr>'1 Pers.Ausgaben|Pers Expenses'!Druckbereich</vt:lpstr>
      <vt:lpstr>'2  Umsatz|Sales'!Druckbereich</vt:lpstr>
      <vt:lpstr>'3 Anschaffungen|Investment'!Druckbereich</vt:lpstr>
      <vt:lpstr>'4  Betriebskosten|Operation Ex'!Druckbereich</vt:lpstr>
      <vt:lpstr>'5  Rentabilitaet|Profit'!Druckbereich</vt:lpstr>
      <vt:lpstr>'6  Liquiditaet|Liquidity'!Druckbereich</vt:lpstr>
      <vt:lpstr>'7 Finanzierung|Financing'!Druckbereich</vt:lpstr>
      <vt:lpstr>'Deckblatt Gruender|Data Founder'!Druckbereich</vt:lpstr>
      <vt:lpstr>'Deckblatt|Cover'!Druckbereich</vt:lpstr>
      <vt:lpstr>'Vorwort|Preface'!Druckbereich</vt:lpstr>
      <vt:lpstr>'1 Pers.Ausgaben|Pers Expenses'!Drucktitel</vt:lpstr>
      <vt:lpstr>'2  Umsatz|Sales'!Drucktitel</vt:lpstr>
      <vt:lpstr>'3 Anschaffungen|Investment'!Drucktitel</vt:lpstr>
      <vt:lpstr>'4  Betriebskosten|Operation Ex'!Drucktitel</vt:lpstr>
      <vt:lpstr>'5  Rentabilitaet|Profit'!Drucktitel</vt:lpstr>
      <vt:lpstr>'6  Liquiditaet|Liquidity'!Drucktitel</vt:lpstr>
      <vt:lpstr>'7 Finanzierung|Financing'!Drucktitel</vt:lpstr>
      <vt:lpstr>'Deckblatt Gruender|Data Founder'!Drucktitel</vt:lpstr>
      <vt:lpstr>'Vorwort|Preface'!Drucktitel</vt:lpstr>
    </vt:vector>
  </TitlesOfParts>
  <LinksUpToDate>false</LinksUpToDate>
  <SharedDoc>false</SharedDoc>
  <HyperlinkBase>www.kindermanns.de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Finanzplanung für Gründer leicht gemacht!</dc:title>
  <dc:subject>Von der Umsatzprognose bis zum Liquiditätsplan</dc:subject>
  <dc:creator>Jürgen Erlewein</dc:creator>
  <cp:keywords>Gründer, Finanzplanung, Umsatzprognose, Liquiditätsplan</cp:keywords>
  <dc:description>Abschreibungen im 2.Planjahr auf Monate verteilt; Aufbau Lagerbestand als Investition ohne Abschreibung eingeführt</dc:description>
  <cp:lastModifiedBy>Jürgen Erlewein</cp:lastModifiedBy>
  <cp:lastPrinted>2019-06-15T08:14:04Z</cp:lastPrinted>
  <dcterms:created xsi:type="dcterms:W3CDTF">2010-05-05T17:18:59Z</dcterms:created>
  <dcterms:modified xsi:type="dcterms:W3CDTF">2019-06-18T19:32:47Z</dcterms:modified>
</cp:coreProperties>
</file>